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macrosheets/sheet1.xml" ContentType="application/vnd.ms-excel.macro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3.xml" ContentType="application/vnd.openxmlformats-officedocument.drawing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 codeName="{009DFEA7-8C9C-09C3-8CAF-802165E75F88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CD3Fr\OneDrive\Desktop\Fichiers Persos\"/>
    </mc:Choice>
  </mc:AlternateContent>
  <xr:revisionPtr revIDLastSave="0" documentId="13_ncr:1_{410BC422-2B48-494C-AC17-CF147F091A17}" xr6:coauthVersionLast="43" xr6:coauthVersionMax="43" xr10:uidLastSave="{00000000-0000-0000-0000-000000000000}"/>
  <bookViews>
    <workbookView xWindow="-120" yWindow="-120" windowWidth="20730" windowHeight="11160" activeTab="2" xr2:uid="{99254B37-2F61-49EA-80DE-2DB0D138399F}"/>
  </bookViews>
  <sheets>
    <sheet name="Feuil1" sheetId="1" r:id="rId1"/>
    <sheet name="Macro1" sheetId="5" r:id="rId2"/>
    <sheet name="operations" sheetId="2" r:id="rId3"/>
    <sheet name="list" sheetId="3" r:id="rId4"/>
    <sheet name="Feuil4" sheetId="4" r:id="rId5"/>
  </sheets>
  <externalReferences>
    <externalReference r:id="rId6"/>
    <externalReference r:id="rId7"/>
  </externalReferences>
  <definedNames>
    <definedName name="_Affectations">list!$D:$D</definedName>
    <definedName name="_Comptes">list!$C:$C</definedName>
    <definedName name="_xlnm._FilterDatabase" localSheetId="2" hidden="1">operations!$A$1:$L$1388</definedName>
    <definedName name="_MoyenPaiement">list!$A:$A</definedName>
    <definedName name="_StatutInternet">list!$E:$E</definedName>
    <definedName name="_Tiers">list!$B:$B</definedName>
    <definedName name="Periode_datedebit_2019">[1]Listes!$G$2:$I$13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L412" i="2" l="1"/>
  <c r="K412" i="2"/>
  <c r="E412" i="2"/>
  <c r="L413" i="2"/>
  <c r="K413" i="2"/>
  <c r="E413" i="2"/>
  <c r="L414" i="2"/>
  <c r="K414" i="2"/>
  <c r="E414" i="2"/>
  <c r="L409" i="2"/>
  <c r="K409" i="2"/>
  <c r="E409" i="2"/>
  <c r="L408" i="2"/>
  <c r="K408" i="2"/>
  <c r="E408" i="2"/>
  <c r="K411" i="2"/>
  <c r="J411" i="2"/>
  <c r="L411" i="2" s="1"/>
  <c r="E411" i="2"/>
  <c r="K410" i="2"/>
  <c r="J410" i="2"/>
  <c r="L410" i="2" s="1"/>
  <c r="E410" i="2"/>
  <c r="L403" i="2"/>
  <c r="K403" i="2"/>
  <c r="E403" i="2"/>
  <c r="K402" i="2"/>
  <c r="J402" i="2"/>
  <c r="L402" i="2" s="1"/>
  <c r="E402" i="2"/>
  <c r="L401" i="2"/>
  <c r="K401" i="2"/>
  <c r="E401" i="2"/>
  <c r="L400" i="2"/>
  <c r="K400" i="2"/>
  <c r="E400" i="2"/>
  <c r="L407" i="2"/>
  <c r="K407" i="2"/>
  <c r="E407" i="2"/>
  <c r="L406" i="2"/>
  <c r="K406" i="2"/>
  <c r="E406" i="2"/>
  <c r="L405" i="2"/>
  <c r="K405" i="2"/>
  <c r="E405" i="2"/>
  <c r="L404" i="2"/>
  <c r="K404" i="2"/>
  <c r="E404" i="2"/>
  <c r="L399" i="2"/>
  <c r="K399" i="2"/>
  <c r="E399" i="2"/>
  <c r="L396" i="2"/>
  <c r="K396" i="2"/>
  <c r="E396" i="2"/>
  <c r="L393" i="2"/>
  <c r="K393" i="2"/>
  <c r="E393" i="2"/>
  <c r="L397" i="2"/>
  <c r="K397" i="2"/>
  <c r="E397" i="2"/>
  <c r="L395" i="2"/>
  <c r="K395" i="2"/>
  <c r="E395" i="2"/>
  <c r="L394" i="2"/>
  <c r="K394" i="2"/>
  <c r="E394" i="2"/>
  <c r="L398" i="2"/>
  <c r="K398" i="2"/>
  <c r="E398" i="2"/>
  <c r="L392" i="2"/>
  <c r="K392" i="2"/>
  <c r="E392" i="2"/>
  <c r="L389" i="2"/>
  <c r="K389" i="2"/>
  <c r="E389" i="2"/>
  <c r="L388" i="2"/>
  <c r="K388" i="2"/>
  <c r="E388" i="2"/>
  <c r="L387" i="2"/>
  <c r="K387" i="2"/>
  <c r="E387" i="2"/>
  <c r="L386" i="2"/>
  <c r="K386" i="2"/>
  <c r="E386" i="2"/>
  <c r="L385" i="2"/>
  <c r="K385" i="2"/>
  <c r="E385" i="2"/>
  <c r="L384" i="2"/>
  <c r="K384" i="2"/>
  <c r="E384" i="2"/>
  <c r="L383" i="2"/>
  <c r="K383" i="2"/>
  <c r="E383" i="2"/>
  <c r="L382" i="2"/>
  <c r="K382" i="2"/>
  <c r="E382" i="2"/>
  <c r="L381" i="2"/>
  <c r="K381" i="2"/>
  <c r="E381" i="2"/>
  <c r="L380" i="2"/>
  <c r="K380" i="2"/>
  <c r="E380" i="2"/>
  <c r="L379" i="2"/>
  <c r="K379" i="2"/>
  <c r="E379" i="2"/>
  <c r="L378" i="2"/>
  <c r="K378" i="2"/>
  <c r="E378" i="2"/>
  <c r="L377" i="2"/>
  <c r="K377" i="2"/>
  <c r="E377" i="2"/>
  <c r="L391" i="2"/>
  <c r="K391" i="2"/>
  <c r="E391" i="2"/>
  <c r="L390" i="2"/>
  <c r="K390" i="2"/>
  <c r="E390" i="2"/>
  <c r="L372" i="2"/>
  <c r="K372" i="2"/>
  <c r="E372" i="2"/>
  <c r="L371" i="2"/>
  <c r="K371" i="2"/>
  <c r="E371" i="2"/>
  <c r="L370" i="2"/>
  <c r="K370" i="2"/>
  <c r="E370" i="2"/>
  <c r="L369" i="2"/>
  <c r="K369" i="2"/>
  <c r="E369" i="2"/>
  <c r="L368" i="2"/>
  <c r="K368" i="2"/>
  <c r="E368" i="2"/>
  <c r="K376" i="2"/>
  <c r="J376" i="2"/>
  <c r="L376" i="2" s="1"/>
  <c r="E376" i="2"/>
  <c r="L375" i="2"/>
  <c r="K375" i="2"/>
  <c r="E375" i="2"/>
  <c r="L374" i="2"/>
  <c r="K374" i="2"/>
  <c r="E374" i="2"/>
  <c r="K373" i="2"/>
  <c r="J373" i="2"/>
  <c r="L373" i="2" s="1"/>
  <c r="E373" i="2"/>
  <c r="L367" i="2"/>
  <c r="K367" i="2"/>
  <c r="E367" i="2"/>
  <c r="L366" i="2"/>
  <c r="K366" i="2"/>
  <c r="E366" i="2"/>
  <c r="L365" i="2"/>
  <c r="K365" i="2"/>
  <c r="E365" i="2"/>
  <c r="L364" i="2"/>
  <c r="K364" i="2"/>
  <c r="E364" i="2"/>
  <c r="L363" i="2"/>
  <c r="K363" i="2"/>
  <c r="E363" i="2"/>
  <c r="L362" i="2"/>
  <c r="K362" i="2"/>
  <c r="E362" i="2"/>
  <c r="L361" i="2"/>
  <c r="K361" i="2"/>
  <c r="E361" i="2"/>
  <c r="K358" i="2"/>
  <c r="J358" i="2"/>
  <c r="L358" i="2" s="1"/>
  <c r="E358" i="2"/>
  <c r="K357" i="2"/>
  <c r="J357" i="2"/>
  <c r="L357" i="2" s="1"/>
  <c r="E357" i="2"/>
  <c r="L360" i="2"/>
  <c r="K360" i="2"/>
  <c r="E360" i="2"/>
  <c r="L359" i="2"/>
  <c r="K359" i="2"/>
  <c r="E359" i="2"/>
  <c r="L356" i="2"/>
  <c r="K356" i="2"/>
  <c r="E356" i="2"/>
  <c r="K351" i="2"/>
  <c r="J351" i="2"/>
  <c r="L351" i="2" s="1"/>
  <c r="E351" i="2"/>
  <c r="L350" i="2"/>
  <c r="K350" i="2"/>
  <c r="E350" i="2"/>
  <c r="L355" i="2"/>
  <c r="K355" i="2"/>
  <c r="E355" i="2"/>
  <c r="L354" i="2"/>
  <c r="K354" i="2"/>
  <c r="E354" i="2"/>
  <c r="L353" i="2"/>
  <c r="K353" i="2"/>
  <c r="E353" i="2"/>
  <c r="L352" i="2"/>
  <c r="K352" i="2"/>
  <c r="E352" i="2"/>
  <c r="L349" i="2"/>
  <c r="K349" i="2"/>
  <c r="E349" i="2"/>
  <c r="L345" i="2"/>
  <c r="K345" i="2"/>
  <c r="E345" i="2"/>
  <c r="L348" i="2"/>
  <c r="K348" i="2"/>
  <c r="E348" i="2"/>
  <c r="L347" i="2"/>
  <c r="K347" i="2"/>
  <c r="E347" i="2"/>
  <c r="L346" i="2"/>
  <c r="K346" i="2"/>
  <c r="E346" i="2"/>
  <c r="L344" i="2"/>
  <c r="K344" i="2"/>
  <c r="E344" i="2"/>
  <c r="L343" i="2"/>
  <c r="K343" i="2"/>
  <c r="E343" i="2"/>
  <c r="L338" i="2"/>
  <c r="K338" i="2"/>
  <c r="E338" i="2"/>
  <c r="L342" i="2"/>
  <c r="K342" i="2"/>
  <c r="E342" i="2"/>
  <c r="L341" i="2"/>
  <c r="K341" i="2"/>
  <c r="E341" i="2"/>
  <c r="L340" i="2"/>
  <c r="K340" i="2"/>
  <c r="E340" i="2"/>
  <c r="L339" i="2"/>
  <c r="K339" i="2"/>
  <c r="E339" i="2"/>
  <c r="L337" i="2"/>
  <c r="K337" i="2"/>
  <c r="E337" i="2"/>
  <c r="L336" i="2"/>
  <c r="K336" i="2"/>
  <c r="E336" i="2"/>
  <c r="K330" i="2"/>
  <c r="J330" i="2"/>
  <c r="L330" i="2" s="1"/>
  <c r="E330" i="2"/>
  <c r="K329" i="2"/>
  <c r="J329" i="2"/>
  <c r="L329" i="2" s="1"/>
  <c r="E329" i="2"/>
  <c r="L334" i="2"/>
  <c r="K334" i="2"/>
  <c r="E334" i="2"/>
  <c r="L333" i="2"/>
  <c r="K333" i="2"/>
  <c r="E333" i="2"/>
  <c r="L335" i="2"/>
  <c r="K335" i="2"/>
  <c r="E335" i="2"/>
  <c r="L332" i="2"/>
  <c r="K332" i="2"/>
  <c r="E332" i="2"/>
  <c r="L331" i="2"/>
  <c r="K331" i="2"/>
  <c r="E331" i="2"/>
  <c r="K328" i="2"/>
  <c r="J328" i="2"/>
  <c r="L328" i="2" s="1"/>
  <c r="E328" i="2"/>
  <c r="L326" i="2"/>
  <c r="K326" i="2"/>
  <c r="E326" i="2"/>
  <c r="L327" i="2"/>
  <c r="K327" i="2"/>
  <c r="E327" i="2"/>
  <c r="L324" i="2"/>
  <c r="K324" i="2"/>
  <c r="E324" i="2"/>
  <c r="K323" i="2"/>
  <c r="J323" i="2"/>
  <c r="L323" i="2" s="1"/>
  <c r="E323" i="2"/>
  <c r="L322" i="2"/>
  <c r="K322" i="2"/>
  <c r="E322" i="2"/>
  <c r="L321" i="2"/>
  <c r="K321" i="2"/>
  <c r="E321" i="2"/>
  <c r="L320" i="2"/>
  <c r="K320" i="2"/>
  <c r="E320" i="2"/>
  <c r="L319" i="2"/>
  <c r="K319" i="2"/>
  <c r="E319" i="2"/>
  <c r="K318" i="2"/>
  <c r="J318" i="2"/>
  <c r="L318" i="2" s="1"/>
  <c r="E318" i="2"/>
  <c r="L325" i="2"/>
  <c r="K325" i="2"/>
  <c r="E325" i="2"/>
  <c r="L317" i="2"/>
  <c r="K317" i="2"/>
  <c r="E317" i="2"/>
  <c r="L310" i="2"/>
  <c r="K310" i="2"/>
  <c r="E310" i="2"/>
  <c r="L309" i="2"/>
  <c r="K309" i="2"/>
  <c r="E309" i="2"/>
  <c r="L308" i="2"/>
  <c r="K308" i="2"/>
  <c r="E308" i="2"/>
  <c r="L316" i="2"/>
  <c r="K316" i="2"/>
  <c r="E316" i="2"/>
  <c r="L315" i="2"/>
  <c r="K315" i="2"/>
  <c r="E315" i="2"/>
  <c r="K314" i="2"/>
  <c r="J314" i="2"/>
  <c r="L314" i="2" s="1"/>
  <c r="E314" i="2"/>
  <c r="L313" i="2"/>
  <c r="K313" i="2"/>
  <c r="E313" i="2"/>
  <c r="L312" i="2"/>
  <c r="K312" i="2"/>
  <c r="E312" i="2"/>
  <c r="K311" i="2"/>
  <c r="J311" i="2"/>
  <c r="L311" i="2" s="1"/>
  <c r="E311" i="2"/>
  <c r="L307" i="2"/>
  <c r="K307" i="2"/>
  <c r="E307" i="2"/>
  <c r="L305" i="2"/>
  <c r="K305" i="2"/>
  <c r="L303" i="2"/>
  <c r="K303" i="2"/>
  <c r="E303" i="2"/>
  <c r="L302" i="2"/>
  <c r="K302" i="2"/>
  <c r="E302" i="2"/>
  <c r="L306" i="2"/>
  <c r="K306" i="2"/>
  <c r="E306" i="2"/>
  <c r="L304" i="2"/>
  <c r="K304" i="2"/>
  <c r="E304" i="2"/>
  <c r="L301" i="2"/>
  <c r="K301" i="2"/>
  <c r="E301" i="2"/>
  <c r="K290" i="2"/>
  <c r="J290" i="2"/>
  <c r="L290" i="2" s="1"/>
  <c r="E290" i="2"/>
  <c r="K289" i="2"/>
  <c r="J289" i="2"/>
  <c r="L289" i="2" s="1"/>
  <c r="E289" i="2"/>
  <c r="K295" i="2"/>
  <c r="J295" i="2"/>
  <c r="L295" i="2" s="1"/>
  <c r="E295" i="2"/>
  <c r="L294" i="2"/>
  <c r="K294" i="2"/>
  <c r="E294" i="2"/>
  <c r="L300" i="2"/>
  <c r="K300" i="2"/>
  <c r="E300" i="2"/>
  <c r="L299" i="2"/>
  <c r="K299" i="2"/>
  <c r="E299" i="2"/>
  <c r="L293" i="2"/>
  <c r="K293" i="2"/>
  <c r="E293" i="2"/>
  <c r="L298" i="2"/>
  <c r="K298" i="2"/>
  <c r="E298" i="2"/>
  <c r="L297" i="2"/>
  <c r="K297" i="2"/>
  <c r="E297" i="2"/>
  <c r="L292" i="2"/>
  <c r="K292" i="2"/>
  <c r="E292" i="2"/>
  <c r="L291" i="2"/>
  <c r="K291" i="2"/>
  <c r="E291" i="2"/>
  <c r="L296" i="2"/>
  <c r="K296" i="2"/>
  <c r="E296" i="2"/>
  <c r="L288" i="2"/>
  <c r="K288" i="2"/>
  <c r="E288" i="2"/>
  <c r="L287" i="2"/>
  <c r="K287" i="2"/>
  <c r="E287" i="2"/>
  <c r="L284" i="2"/>
  <c r="K284" i="2"/>
  <c r="E284" i="2"/>
  <c r="L286" i="2"/>
  <c r="K286" i="2"/>
  <c r="E286" i="2"/>
  <c r="L285" i="2"/>
  <c r="K285" i="2"/>
  <c r="E285" i="2"/>
  <c r="K277" i="2"/>
  <c r="J277" i="2"/>
  <c r="L277" i="2" s="1"/>
  <c r="E277" i="2"/>
  <c r="K276" i="2"/>
  <c r="J276" i="2"/>
  <c r="L276" i="2" s="1"/>
  <c r="E276" i="2"/>
  <c r="L283" i="2"/>
  <c r="K283" i="2"/>
  <c r="E283" i="2"/>
  <c r="L280" i="2"/>
  <c r="K280" i="2"/>
  <c r="E280" i="2"/>
  <c r="L279" i="2"/>
  <c r="K279" i="2"/>
  <c r="E279" i="2"/>
  <c r="L278" i="2"/>
  <c r="K278" i="2"/>
  <c r="E278" i="2"/>
  <c r="L282" i="2"/>
  <c r="K282" i="2"/>
  <c r="E282" i="2"/>
  <c r="L281" i="2"/>
  <c r="K281" i="2"/>
  <c r="E281" i="2"/>
  <c r="L275" i="2"/>
  <c r="K275" i="2"/>
  <c r="E275" i="2"/>
  <c r="L268" i="2"/>
  <c r="K268" i="2"/>
  <c r="E268" i="2"/>
  <c r="L267" i="2"/>
  <c r="K267" i="2"/>
  <c r="E267" i="2"/>
  <c r="L272" i="2"/>
  <c r="K272" i="2"/>
  <c r="E272" i="2"/>
  <c r="L271" i="2"/>
  <c r="K271" i="2"/>
  <c r="E271" i="2"/>
  <c r="L270" i="2"/>
  <c r="K270" i="2"/>
  <c r="E270" i="2"/>
  <c r="L273" i="2"/>
  <c r="K273" i="2"/>
  <c r="E273" i="2"/>
  <c r="L269" i="2"/>
  <c r="K269" i="2"/>
  <c r="E269" i="2"/>
  <c r="L274" i="2"/>
  <c r="K274" i="2"/>
  <c r="E274" i="2"/>
  <c r="L262" i="2"/>
  <c r="K262" i="2"/>
  <c r="E262" i="2"/>
  <c r="L261" i="2"/>
  <c r="K261" i="2"/>
  <c r="E261" i="2"/>
  <c r="K265" i="2"/>
  <c r="J265" i="2"/>
  <c r="L265" i="2" s="1"/>
  <c r="E265" i="2"/>
  <c r="L264" i="2"/>
  <c r="K264" i="2"/>
  <c r="E264" i="2"/>
  <c r="L263" i="2"/>
  <c r="K263" i="2"/>
  <c r="E263" i="2"/>
  <c r="L266" i="2"/>
  <c r="K266" i="2"/>
  <c r="E266" i="2"/>
  <c r="L258" i="2"/>
  <c r="K258" i="2"/>
  <c r="E258" i="2"/>
  <c r="L257" i="2"/>
  <c r="K257" i="2"/>
  <c r="E257" i="2"/>
  <c r="L253" i="2"/>
  <c r="K253" i="2"/>
  <c r="E253" i="2"/>
  <c r="K256" i="2"/>
  <c r="J256" i="2"/>
  <c r="L256" i="2" s="1"/>
  <c r="E256" i="2"/>
  <c r="K255" i="2"/>
  <c r="J255" i="2"/>
  <c r="L255" i="2" s="1"/>
  <c r="E255" i="2"/>
  <c r="K254" i="2"/>
  <c r="J254" i="2"/>
  <c r="L254" i="2" s="1"/>
  <c r="E254" i="2"/>
  <c r="L260" i="2"/>
  <c r="K260" i="2"/>
  <c r="E260" i="2"/>
  <c r="L259" i="2"/>
  <c r="K259" i="2"/>
  <c r="E259" i="2"/>
  <c r="L245" i="2"/>
  <c r="K245" i="2"/>
  <c r="E245" i="2"/>
  <c r="L252" i="2"/>
  <c r="K252" i="2"/>
  <c r="E252" i="2"/>
  <c r="L248" i="2"/>
  <c r="K248" i="2"/>
  <c r="E248" i="2"/>
  <c r="L247" i="2"/>
  <c r="K247" i="2"/>
  <c r="E247" i="2"/>
  <c r="L251" i="2"/>
  <c r="K251" i="2"/>
  <c r="E251" i="2"/>
  <c r="L250" i="2"/>
  <c r="K250" i="2"/>
  <c r="E250" i="2"/>
  <c r="L246" i="2"/>
  <c r="K246" i="2"/>
  <c r="E246" i="2"/>
  <c r="L249" i="2"/>
  <c r="K249" i="2"/>
  <c r="E249" i="2"/>
  <c r="K241" i="2"/>
  <c r="J241" i="2"/>
  <c r="L241" i="2" s="1"/>
  <c r="E241" i="2"/>
  <c r="L244" i="2"/>
  <c r="K244" i="2"/>
  <c r="E244" i="2"/>
  <c r="L243" i="2"/>
  <c r="K243" i="2"/>
  <c r="E243" i="2"/>
  <c r="L242" i="2"/>
  <c r="K242" i="2"/>
  <c r="E242" i="2"/>
  <c r="K238" i="2"/>
  <c r="J238" i="2"/>
  <c r="L238" i="2" s="1"/>
  <c r="E238" i="2"/>
  <c r="L237" i="2"/>
  <c r="K237" i="2"/>
  <c r="E237" i="2"/>
  <c r="L240" i="2"/>
  <c r="K240" i="2"/>
  <c r="E240" i="2"/>
  <c r="L239" i="2"/>
  <c r="K239" i="2"/>
  <c r="E239" i="2"/>
  <c r="L231" i="2"/>
  <c r="K231" i="2"/>
  <c r="E231" i="2"/>
  <c r="L230" i="2"/>
  <c r="K230" i="2"/>
  <c r="E230" i="2"/>
  <c r="L229" i="2"/>
  <c r="K229" i="2"/>
  <c r="E229" i="2"/>
  <c r="L236" i="2"/>
  <c r="K236" i="2"/>
  <c r="E236" i="2"/>
  <c r="L228" i="2"/>
  <c r="K228" i="2"/>
  <c r="E228" i="2"/>
  <c r="L227" i="2"/>
  <c r="K227" i="2"/>
  <c r="E227" i="2"/>
  <c r="L235" i="2"/>
  <c r="K235" i="2"/>
  <c r="E235" i="2"/>
  <c r="L234" i="2"/>
  <c r="K234" i="2"/>
  <c r="E234" i="2"/>
  <c r="L233" i="2"/>
  <c r="K233" i="2"/>
  <c r="E233" i="2"/>
  <c r="L232" i="2"/>
  <c r="K232" i="2"/>
  <c r="E232" i="2"/>
  <c r="L226" i="2"/>
  <c r="K226" i="2"/>
  <c r="E226" i="2"/>
  <c r="L225" i="2"/>
  <c r="K225" i="2"/>
  <c r="E225" i="2"/>
  <c r="L224" i="2"/>
  <c r="K224" i="2"/>
  <c r="E224" i="2"/>
  <c r="L223" i="2"/>
  <c r="K223" i="2"/>
  <c r="E223" i="2"/>
  <c r="L220" i="2"/>
  <c r="K220" i="2"/>
  <c r="E220" i="2"/>
  <c r="L219" i="2"/>
  <c r="K219" i="2"/>
  <c r="E219" i="2"/>
  <c r="L218" i="2"/>
  <c r="K218" i="2"/>
  <c r="E218" i="2"/>
  <c r="L217" i="2"/>
  <c r="K217" i="2"/>
  <c r="E217" i="2"/>
  <c r="L216" i="2"/>
  <c r="K216" i="2"/>
  <c r="E216" i="2"/>
  <c r="L222" i="2"/>
  <c r="K222" i="2"/>
  <c r="E222" i="2"/>
  <c r="L221" i="2"/>
  <c r="K221" i="2"/>
  <c r="E221" i="2"/>
  <c r="L213" i="2"/>
  <c r="K213" i="2"/>
  <c r="E213" i="2"/>
  <c r="L215" i="2"/>
  <c r="K215" i="2"/>
  <c r="E215" i="2"/>
  <c r="L212" i="2"/>
  <c r="K212" i="2"/>
  <c r="E212" i="2"/>
  <c r="L211" i="2"/>
  <c r="K211" i="2"/>
  <c r="E211" i="2"/>
  <c r="L214" i="2"/>
  <c r="K214" i="2"/>
  <c r="E214" i="2"/>
  <c r="L210" i="2"/>
  <c r="K210" i="2"/>
  <c r="E210" i="2"/>
  <c r="L206" i="2"/>
  <c r="K206" i="2"/>
  <c r="E206" i="2"/>
  <c r="L205" i="2"/>
  <c r="K205" i="2"/>
  <c r="E205" i="2"/>
  <c r="L209" i="2"/>
  <c r="K209" i="2"/>
  <c r="E209" i="2"/>
  <c r="K208" i="2"/>
  <c r="J208" i="2"/>
  <c r="L208" i="2" s="1"/>
  <c r="E208" i="2"/>
  <c r="K207" i="2"/>
  <c r="J207" i="2"/>
  <c r="L207" i="2" s="1"/>
  <c r="E207" i="2"/>
  <c r="L204" i="2"/>
  <c r="K204" i="2"/>
  <c r="E204" i="2"/>
  <c r="L203" i="2"/>
  <c r="K203" i="2"/>
  <c r="E203" i="2"/>
  <c r="L202" i="2"/>
  <c r="K202" i="2"/>
  <c r="E202" i="2"/>
  <c r="L201" i="2"/>
  <c r="K201" i="2"/>
  <c r="E201" i="2"/>
  <c r="K200" i="2"/>
  <c r="J200" i="2"/>
  <c r="L200" i="2" s="1"/>
  <c r="E200" i="2"/>
  <c r="L199" i="2"/>
  <c r="K199" i="2"/>
  <c r="E199" i="2"/>
  <c r="K193" i="2"/>
  <c r="J193" i="2"/>
  <c r="L193" i="2" s="1"/>
  <c r="E193" i="2"/>
  <c r="K192" i="2"/>
  <c r="J192" i="2"/>
  <c r="L192" i="2" s="1"/>
  <c r="E192" i="2"/>
  <c r="K191" i="2"/>
  <c r="J191" i="2"/>
  <c r="L191" i="2" s="1"/>
  <c r="E191" i="2"/>
  <c r="L196" i="2"/>
  <c r="K196" i="2"/>
  <c r="E196" i="2"/>
  <c r="L195" i="2"/>
  <c r="K195" i="2"/>
  <c r="L194" i="2"/>
  <c r="K194" i="2"/>
  <c r="L190" i="2"/>
  <c r="K190" i="2"/>
  <c r="E190" i="2"/>
  <c r="L198" i="2"/>
  <c r="K198" i="2"/>
  <c r="E198" i="2"/>
  <c r="L189" i="2"/>
  <c r="K189" i="2"/>
  <c r="E189" i="2"/>
  <c r="L197" i="2"/>
  <c r="K197" i="2"/>
  <c r="E197" i="2"/>
  <c r="L186" i="2"/>
  <c r="K186" i="2"/>
  <c r="E186" i="2"/>
  <c r="L185" i="2"/>
  <c r="K185" i="2"/>
  <c r="E185" i="2"/>
  <c r="L187" i="2"/>
  <c r="K187" i="2"/>
  <c r="E187" i="2"/>
  <c r="L183" i="2"/>
  <c r="K183" i="2"/>
  <c r="E183" i="2"/>
  <c r="L182" i="2"/>
  <c r="K182" i="2"/>
  <c r="E182" i="2"/>
  <c r="L184" i="2"/>
  <c r="K184" i="2"/>
  <c r="E184" i="2"/>
  <c r="L188" i="2"/>
  <c r="K188" i="2"/>
  <c r="E188" i="2"/>
  <c r="L181" i="2"/>
  <c r="K181" i="2"/>
  <c r="E181" i="2"/>
  <c r="L180" i="2"/>
  <c r="K180" i="2"/>
  <c r="E180" i="2"/>
  <c r="L177" i="2"/>
  <c r="K177" i="2"/>
  <c r="E177" i="2"/>
  <c r="K179" i="2"/>
  <c r="J179" i="2"/>
  <c r="L179" i="2" s="1"/>
  <c r="E179" i="2"/>
  <c r="L178" i="2"/>
  <c r="K178" i="2"/>
  <c r="E178" i="2"/>
  <c r="L176" i="2"/>
  <c r="K176" i="2"/>
  <c r="E176" i="2"/>
  <c r="L175" i="2"/>
  <c r="K175" i="2"/>
  <c r="E175" i="2"/>
  <c r="L174" i="2"/>
  <c r="K174" i="2"/>
  <c r="E174" i="2"/>
  <c r="L173" i="2"/>
  <c r="K173" i="2"/>
  <c r="E173" i="2"/>
  <c r="L172" i="2"/>
  <c r="K172" i="2"/>
  <c r="E172" i="2"/>
  <c r="L171" i="2"/>
  <c r="K171" i="2"/>
  <c r="E171" i="2"/>
  <c r="L170" i="2"/>
  <c r="K170" i="2"/>
  <c r="E170" i="2"/>
  <c r="L169" i="2"/>
  <c r="K169" i="2"/>
  <c r="E169" i="2"/>
  <c r="L168" i="2"/>
  <c r="K168" i="2"/>
  <c r="E168" i="2"/>
  <c r="L167" i="2"/>
  <c r="K167" i="2"/>
  <c r="E167" i="2"/>
  <c r="L166" i="2"/>
  <c r="K166" i="2"/>
  <c r="E166" i="2"/>
  <c r="K165" i="2"/>
  <c r="J165" i="2"/>
  <c r="L165" i="2" s="1"/>
  <c r="E165" i="2"/>
  <c r="L164" i="2"/>
  <c r="K164" i="2"/>
  <c r="E164" i="2"/>
  <c r="L163" i="2"/>
  <c r="K163" i="2"/>
  <c r="E163" i="2"/>
  <c r="L162" i="2"/>
  <c r="K162" i="2"/>
  <c r="E162" i="2"/>
  <c r="L157" i="2"/>
  <c r="K157" i="2"/>
  <c r="E157" i="2"/>
  <c r="L156" i="2"/>
  <c r="K156" i="2"/>
  <c r="E156" i="2"/>
  <c r="L155" i="2"/>
  <c r="K155" i="2"/>
  <c r="E155" i="2"/>
  <c r="L158" i="2"/>
  <c r="K158" i="2"/>
  <c r="E158" i="2"/>
  <c r="L161" i="2"/>
  <c r="K161" i="2"/>
  <c r="E161" i="2"/>
  <c r="L160" i="2"/>
  <c r="K160" i="2"/>
  <c r="E160" i="2"/>
  <c r="L159" i="2"/>
  <c r="K159" i="2"/>
  <c r="E159" i="2"/>
  <c r="L150" i="2"/>
  <c r="K150" i="2"/>
  <c r="L149" i="2"/>
  <c r="K149" i="2"/>
  <c r="E149" i="2"/>
  <c r="L148" i="2"/>
  <c r="K148" i="2"/>
  <c r="E148" i="2"/>
  <c r="L154" i="2"/>
  <c r="K154" i="2"/>
  <c r="E154" i="2"/>
  <c r="L153" i="2"/>
  <c r="K153" i="2"/>
  <c r="E153" i="2"/>
  <c r="L152" i="2"/>
  <c r="K152" i="2"/>
  <c r="E152" i="2"/>
  <c r="L151" i="2"/>
  <c r="K151" i="2"/>
  <c r="E151" i="2"/>
  <c r="L145" i="2"/>
  <c r="K145" i="2"/>
  <c r="E145" i="2"/>
  <c r="L147" i="2"/>
  <c r="K147" i="2"/>
  <c r="E147" i="2"/>
  <c r="L140" i="2"/>
  <c r="K140" i="2"/>
  <c r="E140" i="2"/>
  <c r="L144" i="2"/>
  <c r="K144" i="2"/>
  <c r="E144" i="2"/>
  <c r="L142" i="2"/>
  <c r="K142" i="2"/>
  <c r="E142" i="2"/>
  <c r="L141" i="2"/>
  <c r="K141" i="2"/>
  <c r="E141" i="2"/>
  <c r="L143" i="2"/>
  <c r="K143" i="2"/>
  <c r="E143" i="2"/>
  <c r="L146" i="2"/>
  <c r="K146" i="2"/>
  <c r="E146" i="2"/>
  <c r="L137" i="2"/>
  <c r="K137" i="2"/>
  <c r="L136" i="2"/>
  <c r="K136" i="2"/>
  <c r="E136" i="2"/>
  <c r="L133" i="2"/>
  <c r="K133" i="2"/>
  <c r="E133" i="2"/>
  <c r="L139" i="2"/>
  <c r="K139" i="2"/>
  <c r="E139" i="2"/>
  <c r="L138" i="2"/>
  <c r="K138" i="2"/>
  <c r="E138" i="2"/>
  <c r="L135" i="2"/>
  <c r="K135" i="2"/>
  <c r="E135" i="2"/>
  <c r="L132" i="2"/>
  <c r="K132" i="2"/>
  <c r="E132" i="2"/>
  <c r="L134" i="2"/>
  <c r="K134" i="2"/>
  <c r="E134" i="2"/>
  <c r="L131" i="2"/>
  <c r="K131" i="2"/>
  <c r="E131" i="2"/>
  <c r="K127" i="2"/>
  <c r="J127" i="2"/>
  <c r="L127" i="2" s="1"/>
  <c r="E127" i="2"/>
  <c r="L130" i="2"/>
  <c r="K130" i="2"/>
  <c r="E130" i="2"/>
  <c r="L129" i="2"/>
  <c r="K129" i="2"/>
  <c r="E129" i="2"/>
  <c r="L128" i="2"/>
  <c r="K128" i="2"/>
  <c r="E128" i="2"/>
  <c r="L126" i="2"/>
  <c r="K126" i="2"/>
  <c r="E126" i="2"/>
  <c r="L125" i="2"/>
  <c r="K125" i="2"/>
  <c r="E125" i="2"/>
  <c r="K124" i="2"/>
  <c r="J124" i="2"/>
  <c r="L124" i="2" s="1"/>
  <c r="E124" i="2"/>
  <c r="L123" i="2"/>
  <c r="K123" i="2"/>
  <c r="E123" i="2"/>
  <c r="L118" i="2"/>
  <c r="K118" i="2"/>
  <c r="E118" i="2"/>
  <c r="L117" i="2"/>
  <c r="K117" i="2"/>
  <c r="E117" i="2"/>
  <c r="L116" i="2"/>
  <c r="K116" i="2"/>
  <c r="E116" i="2"/>
  <c r="L115" i="2"/>
  <c r="K115" i="2"/>
  <c r="E115" i="2"/>
  <c r="L122" i="2"/>
  <c r="K122" i="2"/>
  <c r="E122" i="2"/>
  <c r="L121" i="2"/>
  <c r="K121" i="2"/>
  <c r="E121" i="2"/>
  <c r="L120" i="2"/>
  <c r="K120" i="2"/>
  <c r="E120" i="2"/>
  <c r="L119" i="2"/>
  <c r="K119" i="2"/>
  <c r="E119" i="2"/>
  <c r="L113" i="2"/>
  <c r="K113" i="2"/>
  <c r="L114" i="2"/>
  <c r="K114" i="2"/>
  <c r="E114" i="2"/>
  <c r="L109" i="2"/>
  <c r="K109" i="2"/>
  <c r="E109" i="2"/>
  <c r="L110" i="2"/>
  <c r="K110" i="2"/>
  <c r="E110" i="2"/>
  <c r="L108" i="2"/>
  <c r="K108" i="2"/>
  <c r="E108" i="2"/>
  <c r="L112" i="2"/>
  <c r="K112" i="2"/>
  <c r="E112" i="2"/>
  <c r="L111" i="2"/>
  <c r="K111" i="2"/>
  <c r="E111" i="2"/>
  <c r="L105" i="2"/>
  <c r="K105" i="2"/>
  <c r="E105" i="2"/>
  <c r="K95" i="2"/>
  <c r="J95" i="2"/>
  <c r="L95" i="2" s="1"/>
  <c r="E95" i="2"/>
  <c r="L94" i="2"/>
  <c r="K94" i="2"/>
  <c r="E94" i="2"/>
  <c r="L107" i="2"/>
  <c r="K107" i="2"/>
  <c r="E107" i="2"/>
  <c r="L106" i="2"/>
  <c r="K106" i="2"/>
  <c r="E106" i="2"/>
  <c r="L93" i="2"/>
  <c r="K93" i="2"/>
  <c r="E93" i="2"/>
  <c r="L92" i="2"/>
  <c r="K92" i="2"/>
  <c r="E92" i="2"/>
  <c r="L98" i="2"/>
  <c r="K98" i="2"/>
  <c r="E98" i="2"/>
  <c r="K104" i="2"/>
  <c r="J104" i="2"/>
  <c r="L104" i="2" s="1"/>
  <c r="E104" i="2"/>
  <c r="L103" i="2"/>
  <c r="K103" i="2"/>
  <c r="E103" i="2"/>
  <c r="L102" i="2"/>
  <c r="K102" i="2"/>
  <c r="E102" i="2"/>
  <c r="L101" i="2"/>
  <c r="K101" i="2"/>
  <c r="E101" i="2"/>
  <c r="L100" i="2"/>
  <c r="K100" i="2"/>
  <c r="E100" i="2"/>
  <c r="L99" i="2"/>
  <c r="K99" i="2"/>
  <c r="E99" i="2"/>
  <c r="L97" i="2"/>
  <c r="K97" i="2"/>
  <c r="E97" i="2"/>
  <c r="L96" i="2"/>
  <c r="K96" i="2"/>
  <c r="E96" i="2"/>
  <c r="L91" i="2"/>
  <c r="K91" i="2"/>
  <c r="E91" i="2"/>
  <c r="L85" i="2"/>
  <c r="K85" i="2"/>
  <c r="E85" i="2"/>
  <c r="L84" i="2"/>
  <c r="K84" i="2"/>
  <c r="E84" i="2"/>
  <c r="L83" i="2"/>
  <c r="K83" i="2"/>
  <c r="E83" i="2"/>
  <c r="L86" i="2"/>
  <c r="K86" i="2"/>
  <c r="E86" i="2"/>
  <c r="L87" i="2"/>
  <c r="K87" i="2"/>
  <c r="E87" i="2"/>
  <c r="L88" i="2"/>
  <c r="K88" i="2"/>
  <c r="E88" i="2"/>
  <c r="L90" i="2"/>
  <c r="K90" i="2"/>
  <c r="E90" i="2"/>
  <c r="L89" i="2"/>
  <c r="K89" i="2"/>
  <c r="E89" i="2"/>
  <c r="K79" i="2"/>
  <c r="J79" i="2"/>
  <c r="L79" i="2" s="1"/>
  <c r="E79" i="2"/>
  <c r="L82" i="2"/>
  <c r="K82" i="2"/>
  <c r="E82" i="2"/>
  <c r="L80" i="2"/>
  <c r="K80" i="2"/>
  <c r="E80" i="2"/>
  <c r="L78" i="2"/>
  <c r="K78" i="2"/>
  <c r="E78" i="2"/>
  <c r="L77" i="2"/>
  <c r="K77" i="2"/>
  <c r="E77" i="2"/>
  <c r="L81" i="2"/>
  <c r="K81" i="2"/>
  <c r="E81" i="2"/>
  <c r="L76" i="2"/>
  <c r="K76" i="2"/>
  <c r="E76" i="2"/>
  <c r="L67" i="2"/>
  <c r="K67" i="2"/>
  <c r="E67" i="2"/>
  <c r="L66" i="2"/>
  <c r="K66" i="2"/>
  <c r="E66" i="2"/>
  <c r="K72" i="2"/>
  <c r="J72" i="2"/>
  <c r="L72" i="2" s="1"/>
  <c r="E72" i="2"/>
  <c r="K71" i="2"/>
  <c r="J71" i="2"/>
  <c r="L71" i="2" s="1"/>
  <c r="E71" i="2"/>
  <c r="K70" i="2"/>
  <c r="J70" i="2"/>
  <c r="L70" i="2" s="1"/>
  <c r="E70" i="2"/>
  <c r="L69" i="2"/>
  <c r="K69" i="2"/>
  <c r="E69" i="2"/>
  <c r="K68" i="2"/>
  <c r="J68" i="2"/>
  <c r="L68" i="2" s="1"/>
  <c r="E68" i="2"/>
  <c r="L75" i="2"/>
  <c r="K75" i="2"/>
  <c r="E75" i="2"/>
  <c r="L73" i="2"/>
  <c r="K73" i="2"/>
  <c r="E73" i="2"/>
  <c r="L74" i="2"/>
  <c r="K74" i="2"/>
  <c r="E74" i="2"/>
  <c r="L59" i="2"/>
  <c r="K59" i="2"/>
  <c r="E59" i="2"/>
  <c r="K57" i="2"/>
  <c r="J57" i="2"/>
  <c r="L57" i="2" s="1"/>
  <c r="E57" i="2"/>
  <c r="L56" i="2"/>
  <c r="K56" i="2"/>
  <c r="E56" i="2"/>
  <c r="L55" i="2"/>
  <c r="K55" i="2"/>
  <c r="E55" i="2"/>
  <c r="L65" i="2"/>
  <c r="K65" i="2"/>
  <c r="E65" i="2"/>
  <c r="L58" i="2"/>
  <c r="K58" i="2"/>
  <c r="E58" i="2"/>
  <c r="L64" i="2"/>
  <c r="K64" i="2"/>
  <c r="L63" i="2"/>
  <c r="K63" i="2"/>
  <c r="E63" i="2"/>
  <c r="L62" i="2"/>
  <c r="K62" i="2"/>
  <c r="E62" i="2"/>
  <c r="L61" i="2"/>
  <c r="K61" i="2"/>
  <c r="E61" i="2"/>
  <c r="L60" i="2"/>
  <c r="K60" i="2"/>
  <c r="E60" i="2"/>
  <c r="L54" i="2"/>
  <c r="K54" i="2"/>
  <c r="E54" i="2"/>
  <c r="L53" i="2"/>
  <c r="K53" i="2"/>
  <c r="E53" i="2"/>
  <c r="L52" i="2"/>
  <c r="K52" i="2"/>
  <c r="E52" i="2"/>
  <c r="L51" i="2"/>
  <c r="K51" i="2"/>
  <c r="E51" i="2"/>
  <c r="L50" i="2"/>
  <c r="K50" i="2"/>
  <c r="E50" i="2"/>
  <c r="L49" i="2"/>
  <c r="K49" i="2"/>
  <c r="E49" i="2"/>
  <c r="L48" i="2"/>
  <c r="K48" i="2"/>
  <c r="E48" i="2"/>
  <c r="L45" i="2"/>
  <c r="K45" i="2"/>
  <c r="E45" i="2"/>
  <c r="L44" i="2"/>
  <c r="K44" i="2"/>
  <c r="E44" i="2"/>
  <c r="L43" i="2"/>
  <c r="K43" i="2"/>
  <c r="E43" i="2"/>
  <c r="L47" i="2"/>
  <c r="K47" i="2"/>
  <c r="E47" i="2"/>
  <c r="L46" i="2"/>
  <c r="K46" i="2"/>
  <c r="E46" i="2"/>
  <c r="L41" i="2"/>
  <c r="K41" i="2"/>
  <c r="E41" i="2"/>
  <c r="L40" i="2"/>
  <c r="K40" i="2"/>
  <c r="E40" i="2"/>
  <c r="L39" i="2"/>
  <c r="K39" i="2"/>
  <c r="E39" i="2"/>
  <c r="L42" i="2"/>
  <c r="K42" i="2"/>
  <c r="E42" i="2"/>
  <c r="K38" i="2"/>
  <c r="J38" i="2"/>
  <c r="L38" i="2" s="1"/>
  <c r="L37" i="2"/>
  <c r="K37" i="2"/>
  <c r="L36" i="2"/>
  <c r="K36" i="2"/>
  <c r="L35" i="2"/>
  <c r="K35" i="2"/>
  <c r="E35" i="2"/>
  <c r="L32" i="2"/>
  <c r="K32" i="2"/>
  <c r="L34" i="2"/>
  <c r="K34" i="2"/>
  <c r="E34" i="2"/>
  <c r="L33" i="2"/>
  <c r="K33" i="2"/>
  <c r="E33" i="2"/>
  <c r="L31" i="2"/>
  <c r="K31" i="2"/>
  <c r="L30" i="2"/>
  <c r="K30" i="2"/>
  <c r="E30" i="2"/>
  <c r="L29" i="2"/>
  <c r="K29" i="2"/>
  <c r="E29" i="2"/>
  <c r="L28" i="2"/>
  <c r="K28" i="2"/>
  <c r="E28" i="2"/>
  <c r="L27" i="2"/>
  <c r="K27" i="2"/>
  <c r="E27" i="2"/>
  <c r="L26" i="2"/>
  <c r="K26" i="2"/>
  <c r="E26" i="2"/>
  <c r="L25" i="2"/>
  <c r="K25" i="2"/>
  <c r="E25" i="2"/>
  <c r="L24" i="2"/>
  <c r="K24" i="2"/>
  <c r="E24" i="2"/>
  <c r="L23" i="2"/>
  <c r="K23" i="2"/>
  <c r="E23" i="2"/>
  <c r="L22" i="2"/>
  <c r="K22" i="2"/>
  <c r="E22" i="2"/>
  <c r="L21" i="2"/>
  <c r="K21" i="2"/>
  <c r="E21" i="2"/>
  <c r="L20" i="2"/>
  <c r="K20" i="2"/>
  <c r="E20" i="2"/>
  <c r="L19" i="2"/>
  <c r="K19" i="2"/>
  <c r="E19" i="2"/>
  <c r="L18" i="2"/>
  <c r="K18" i="2"/>
  <c r="E18" i="2"/>
  <c r="L16" i="2"/>
  <c r="K16" i="2"/>
  <c r="E16" i="2"/>
  <c r="L17" i="2"/>
  <c r="K17" i="2"/>
  <c r="E17" i="2"/>
  <c r="L15" i="2"/>
  <c r="K15" i="2"/>
  <c r="E15" i="2"/>
  <c r="L14" i="2"/>
  <c r="K14" i="2"/>
  <c r="E14" i="2"/>
  <c r="L13" i="2"/>
  <c r="K13" i="2"/>
  <c r="E13" i="2"/>
  <c r="L12" i="2"/>
  <c r="K12" i="2"/>
  <c r="E12" i="2"/>
  <c r="L11" i="2"/>
  <c r="K11" i="2"/>
  <c r="E11" i="2"/>
  <c r="L10" i="2"/>
  <c r="K10" i="2"/>
  <c r="E10" i="2"/>
  <c r="L9" i="2"/>
  <c r="K9" i="2"/>
  <c r="E9" i="2"/>
  <c r="L8" i="2"/>
  <c r="K8" i="2"/>
  <c r="E8" i="2"/>
  <c r="L7" i="2"/>
  <c r="K7" i="2"/>
  <c r="E7" i="2"/>
  <c r="L6" i="2"/>
  <c r="K6" i="2"/>
  <c r="E6" i="2"/>
  <c r="L4" i="2"/>
  <c r="K4" i="2"/>
  <c r="E4" i="2"/>
  <c r="L3" i="2"/>
  <c r="K3" i="2"/>
  <c r="E3" i="2"/>
  <c r="L2" i="2"/>
  <c r="K2" i="2"/>
  <c r="E2" i="2"/>
  <c r="L5" i="2"/>
  <c r="K5" i="2"/>
  <c r="E5" i="2"/>
  <c r="E2" i="4" l="1"/>
  <c r="K2" i="4"/>
  <c r="L2" i="4"/>
  <c r="L414" i="4"/>
  <c r="K414" i="4"/>
  <c r="E414" i="4"/>
  <c r="L413" i="4"/>
  <c r="K413" i="4"/>
  <c r="E413" i="4"/>
  <c r="L412" i="4"/>
  <c r="K412" i="4"/>
  <c r="E412" i="4"/>
  <c r="L411" i="4"/>
  <c r="K411" i="4"/>
  <c r="E411" i="4"/>
  <c r="L410" i="4"/>
  <c r="K410" i="4"/>
  <c r="E410" i="4"/>
  <c r="K409" i="4"/>
  <c r="J409" i="4"/>
  <c r="L409" i="4" s="1"/>
  <c r="E409" i="4"/>
  <c r="K408" i="4"/>
  <c r="J408" i="4"/>
  <c r="L408" i="4" s="1"/>
  <c r="E408" i="4"/>
  <c r="L407" i="4"/>
  <c r="K407" i="4"/>
  <c r="E407" i="4"/>
  <c r="K406" i="4"/>
  <c r="J406" i="4"/>
  <c r="L406" i="4" s="1"/>
  <c r="E406" i="4"/>
  <c r="L405" i="4"/>
  <c r="K405" i="4"/>
  <c r="E405" i="4"/>
  <c r="L404" i="4"/>
  <c r="K404" i="4"/>
  <c r="E404" i="4"/>
  <c r="L403" i="4"/>
  <c r="K403" i="4"/>
  <c r="E403" i="4"/>
  <c r="L402" i="4"/>
  <c r="K402" i="4"/>
  <c r="E402" i="4"/>
  <c r="L401" i="4"/>
  <c r="K401" i="4"/>
  <c r="E401" i="4"/>
  <c r="L400" i="4"/>
  <c r="K400" i="4"/>
  <c r="E400" i="4"/>
  <c r="L399" i="4"/>
  <c r="K399" i="4"/>
  <c r="E399" i="4"/>
  <c r="L398" i="4"/>
  <c r="K398" i="4"/>
  <c r="E398" i="4"/>
  <c r="L397" i="4"/>
  <c r="K397" i="4"/>
  <c r="E397" i="4"/>
  <c r="L396" i="4"/>
  <c r="K396" i="4"/>
  <c r="E396" i="4"/>
  <c r="L395" i="4"/>
  <c r="K395" i="4"/>
  <c r="E395" i="4"/>
  <c r="L394" i="4"/>
  <c r="K394" i="4"/>
  <c r="E394" i="4"/>
  <c r="L393" i="4"/>
  <c r="K393" i="4"/>
  <c r="E393" i="4"/>
  <c r="L392" i="4"/>
  <c r="K392" i="4"/>
  <c r="E392" i="4"/>
  <c r="L391" i="4"/>
  <c r="K391" i="4"/>
  <c r="E391" i="4"/>
  <c r="L390" i="4"/>
  <c r="K390" i="4"/>
  <c r="E390" i="4"/>
  <c r="L389" i="4"/>
  <c r="K389" i="4"/>
  <c r="E389" i="4"/>
  <c r="L388" i="4"/>
  <c r="K388" i="4"/>
  <c r="E388" i="4"/>
  <c r="L387" i="4"/>
  <c r="K387" i="4"/>
  <c r="E387" i="4"/>
  <c r="L386" i="4"/>
  <c r="K386" i="4"/>
  <c r="E386" i="4"/>
  <c r="L385" i="4"/>
  <c r="K385" i="4"/>
  <c r="E385" i="4"/>
  <c r="L384" i="4"/>
  <c r="K384" i="4"/>
  <c r="E384" i="4"/>
  <c r="L383" i="4"/>
  <c r="K383" i="4"/>
  <c r="E383" i="4"/>
  <c r="L382" i="4"/>
  <c r="K382" i="4"/>
  <c r="E382" i="4"/>
  <c r="L381" i="4"/>
  <c r="K381" i="4"/>
  <c r="E381" i="4"/>
  <c r="L380" i="4"/>
  <c r="K380" i="4"/>
  <c r="E380" i="4"/>
  <c r="L379" i="4"/>
  <c r="K379" i="4"/>
  <c r="E379" i="4"/>
  <c r="L378" i="4"/>
  <c r="K378" i="4"/>
  <c r="E378" i="4"/>
  <c r="L377" i="4"/>
  <c r="K377" i="4"/>
  <c r="E377" i="4"/>
  <c r="L376" i="4"/>
  <c r="K376" i="4"/>
  <c r="E376" i="4"/>
  <c r="L375" i="4"/>
  <c r="K375" i="4"/>
  <c r="E375" i="4"/>
  <c r="L374" i="4"/>
  <c r="K374" i="4"/>
  <c r="E374" i="4"/>
  <c r="L373" i="4"/>
  <c r="K373" i="4"/>
  <c r="E373" i="4"/>
  <c r="L372" i="4"/>
  <c r="K372" i="4"/>
  <c r="E372" i="4"/>
  <c r="K371" i="4"/>
  <c r="J371" i="4"/>
  <c r="L371" i="4" s="1"/>
  <c r="E371" i="4"/>
  <c r="L370" i="4"/>
  <c r="K370" i="4"/>
  <c r="E370" i="4"/>
  <c r="L369" i="4"/>
  <c r="K369" i="4"/>
  <c r="E369" i="4"/>
  <c r="L368" i="4"/>
  <c r="K368" i="4"/>
  <c r="J368" i="4"/>
  <c r="E368" i="4"/>
  <c r="L367" i="4"/>
  <c r="K367" i="4"/>
  <c r="E367" i="4"/>
  <c r="L366" i="4"/>
  <c r="K366" i="4"/>
  <c r="E366" i="4"/>
  <c r="L365" i="4"/>
  <c r="K365" i="4"/>
  <c r="E365" i="4"/>
  <c r="L364" i="4"/>
  <c r="K364" i="4"/>
  <c r="E364" i="4"/>
  <c r="L363" i="4"/>
  <c r="K363" i="4"/>
  <c r="E363" i="4"/>
  <c r="L362" i="4"/>
  <c r="K362" i="4"/>
  <c r="E362" i="4"/>
  <c r="L361" i="4"/>
  <c r="K361" i="4"/>
  <c r="E361" i="4"/>
  <c r="K360" i="4"/>
  <c r="J360" i="4"/>
  <c r="L360" i="4" s="1"/>
  <c r="E360" i="4"/>
  <c r="K359" i="4"/>
  <c r="J359" i="4"/>
  <c r="L359" i="4" s="1"/>
  <c r="E359" i="4"/>
  <c r="L358" i="4"/>
  <c r="K358" i="4"/>
  <c r="E358" i="4"/>
  <c r="L357" i="4"/>
  <c r="K357" i="4"/>
  <c r="E357" i="4"/>
  <c r="L356" i="4"/>
  <c r="K356" i="4"/>
  <c r="E356" i="4"/>
  <c r="K355" i="4"/>
  <c r="J355" i="4"/>
  <c r="L355" i="4" s="1"/>
  <c r="E355" i="4"/>
  <c r="L354" i="4"/>
  <c r="K354" i="4"/>
  <c r="E354" i="4"/>
  <c r="L353" i="4"/>
  <c r="K353" i="4"/>
  <c r="E353" i="4"/>
  <c r="L352" i="4"/>
  <c r="K352" i="4"/>
  <c r="E352" i="4"/>
  <c r="L351" i="4"/>
  <c r="K351" i="4"/>
  <c r="E351" i="4"/>
  <c r="L350" i="4"/>
  <c r="K350" i="4"/>
  <c r="E350" i="4"/>
  <c r="L349" i="4"/>
  <c r="K349" i="4"/>
  <c r="E349" i="4"/>
  <c r="L348" i="4"/>
  <c r="K348" i="4"/>
  <c r="E348" i="4"/>
  <c r="L347" i="4"/>
  <c r="K347" i="4"/>
  <c r="E347" i="4"/>
  <c r="L346" i="4"/>
  <c r="K346" i="4"/>
  <c r="E346" i="4"/>
  <c r="L345" i="4"/>
  <c r="K345" i="4"/>
  <c r="E345" i="4"/>
  <c r="L344" i="4"/>
  <c r="K344" i="4"/>
  <c r="E344" i="4"/>
  <c r="L343" i="4"/>
  <c r="K343" i="4"/>
  <c r="E343" i="4"/>
  <c r="L342" i="4"/>
  <c r="K342" i="4"/>
  <c r="E342" i="4"/>
  <c r="L341" i="4"/>
  <c r="K341" i="4"/>
  <c r="E341" i="4"/>
  <c r="L340" i="4"/>
  <c r="K340" i="4"/>
  <c r="E340" i="4"/>
  <c r="L339" i="4"/>
  <c r="K339" i="4"/>
  <c r="E339" i="4"/>
  <c r="L338" i="4"/>
  <c r="K338" i="4"/>
  <c r="E338" i="4"/>
  <c r="L337" i="4"/>
  <c r="K337" i="4"/>
  <c r="E337" i="4"/>
  <c r="L336" i="4"/>
  <c r="K336" i="4"/>
  <c r="E336" i="4"/>
  <c r="L335" i="4"/>
  <c r="K335" i="4"/>
  <c r="J335" i="4"/>
  <c r="E335" i="4"/>
  <c r="L334" i="4"/>
  <c r="K334" i="4"/>
  <c r="J334" i="4"/>
  <c r="E334" i="4"/>
  <c r="L333" i="4"/>
  <c r="K333" i="4"/>
  <c r="E333" i="4"/>
  <c r="L332" i="4"/>
  <c r="K332" i="4"/>
  <c r="E332" i="4"/>
  <c r="L331" i="4"/>
  <c r="K331" i="4"/>
  <c r="E331" i="4"/>
  <c r="L330" i="4"/>
  <c r="K330" i="4"/>
  <c r="E330" i="4"/>
  <c r="L329" i="4"/>
  <c r="K329" i="4"/>
  <c r="E329" i="4"/>
  <c r="K328" i="4"/>
  <c r="J328" i="4"/>
  <c r="L328" i="4" s="1"/>
  <c r="E328" i="4"/>
  <c r="L327" i="4"/>
  <c r="K327" i="4"/>
  <c r="E327" i="4"/>
  <c r="L326" i="4"/>
  <c r="K326" i="4"/>
  <c r="E326" i="4"/>
  <c r="L325" i="4"/>
  <c r="K325" i="4"/>
  <c r="E325" i="4"/>
  <c r="L324" i="4"/>
  <c r="K324" i="4"/>
  <c r="J324" i="4"/>
  <c r="E324" i="4"/>
  <c r="L323" i="4"/>
  <c r="K323" i="4"/>
  <c r="E323" i="4"/>
  <c r="L322" i="4"/>
  <c r="K322" i="4"/>
  <c r="E322" i="4"/>
  <c r="L321" i="4"/>
  <c r="K321" i="4"/>
  <c r="E321" i="4"/>
  <c r="L320" i="4"/>
  <c r="K320" i="4"/>
  <c r="E320" i="4"/>
  <c r="L319" i="4"/>
  <c r="K319" i="4"/>
  <c r="J319" i="4"/>
  <c r="E319" i="4"/>
  <c r="L318" i="4"/>
  <c r="K318" i="4"/>
  <c r="E318" i="4"/>
  <c r="L317" i="4"/>
  <c r="K317" i="4"/>
  <c r="E317" i="4"/>
  <c r="L316" i="4"/>
  <c r="K316" i="4"/>
  <c r="E316" i="4"/>
  <c r="L315" i="4"/>
  <c r="K315" i="4"/>
  <c r="E315" i="4"/>
  <c r="L314" i="4"/>
  <c r="K314" i="4"/>
  <c r="E314" i="4"/>
  <c r="L313" i="4"/>
  <c r="K313" i="4"/>
  <c r="E313" i="4"/>
  <c r="L312" i="4"/>
  <c r="K312" i="4"/>
  <c r="E312" i="4"/>
  <c r="L311" i="4"/>
  <c r="K311" i="4"/>
  <c r="J311" i="4"/>
  <c r="E311" i="4"/>
  <c r="L310" i="4"/>
  <c r="K310" i="4"/>
  <c r="E310" i="4"/>
  <c r="L309" i="4"/>
  <c r="K309" i="4"/>
  <c r="E309" i="4"/>
  <c r="K308" i="4"/>
  <c r="J308" i="4"/>
  <c r="L308" i="4" s="1"/>
  <c r="E308" i="4"/>
  <c r="L307" i="4"/>
  <c r="K307" i="4"/>
  <c r="E307" i="4"/>
  <c r="L306" i="4"/>
  <c r="K306" i="4"/>
  <c r="L305" i="4"/>
  <c r="K305" i="4"/>
  <c r="E305" i="4"/>
  <c r="L304" i="4"/>
  <c r="K304" i="4"/>
  <c r="E304" i="4"/>
  <c r="L303" i="4"/>
  <c r="K303" i="4"/>
  <c r="E303" i="4"/>
  <c r="L302" i="4"/>
  <c r="K302" i="4"/>
  <c r="E302" i="4"/>
  <c r="L301" i="4"/>
  <c r="K301" i="4"/>
  <c r="E301" i="4"/>
  <c r="K300" i="4"/>
  <c r="J300" i="4"/>
  <c r="L300" i="4" s="1"/>
  <c r="E300" i="4"/>
  <c r="K299" i="4"/>
  <c r="J299" i="4"/>
  <c r="L299" i="4" s="1"/>
  <c r="E299" i="4"/>
  <c r="K298" i="4"/>
  <c r="J298" i="4"/>
  <c r="L298" i="4" s="1"/>
  <c r="E298" i="4"/>
  <c r="L297" i="4"/>
  <c r="K297" i="4"/>
  <c r="E297" i="4"/>
  <c r="L296" i="4"/>
  <c r="K296" i="4"/>
  <c r="E296" i="4"/>
  <c r="L295" i="4"/>
  <c r="K295" i="4"/>
  <c r="E295" i="4"/>
  <c r="L294" i="4"/>
  <c r="K294" i="4"/>
  <c r="E294" i="4"/>
  <c r="L293" i="4"/>
  <c r="K293" i="4"/>
  <c r="E293" i="4"/>
  <c r="L292" i="4"/>
  <c r="K292" i="4"/>
  <c r="E292" i="4"/>
  <c r="L291" i="4"/>
  <c r="K291" i="4"/>
  <c r="E291" i="4"/>
  <c r="L290" i="4"/>
  <c r="K290" i="4"/>
  <c r="E290" i="4"/>
  <c r="L289" i="4"/>
  <c r="K289" i="4"/>
  <c r="E289" i="4"/>
  <c r="L288" i="4"/>
  <c r="K288" i="4"/>
  <c r="E288" i="4"/>
  <c r="L287" i="4"/>
  <c r="K287" i="4"/>
  <c r="E287" i="4"/>
  <c r="L286" i="4"/>
  <c r="K286" i="4"/>
  <c r="E286" i="4"/>
  <c r="L285" i="4"/>
  <c r="K285" i="4"/>
  <c r="E285" i="4"/>
  <c r="L284" i="4"/>
  <c r="K284" i="4"/>
  <c r="E284" i="4"/>
  <c r="L283" i="4"/>
  <c r="K283" i="4"/>
  <c r="J283" i="4"/>
  <c r="E283" i="4"/>
  <c r="L282" i="4"/>
  <c r="K282" i="4"/>
  <c r="J282" i="4"/>
  <c r="E282" i="4"/>
  <c r="L281" i="4"/>
  <c r="K281" i="4"/>
  <c r="E281" i="4"/>
  <c r="L280" i="4"/>
  <c r="K280" i="4"/>
  <c r="E280" i="4"/>
  <c r="L279" i="4"/>
  <c r="K279" i="4"/>
  <c r="E279" i="4"/>
  <c r="L278" i="4"/>
  <c r="K278" i="4"/>
  <c r="E278" i="4"/>
  <c r="L277" i="4"/>
  <c r="K277" i="4"/>
  <c r="E277" i="4"/>
  <c r="L276" i="4"/>
  <c r="K276" i="4"/>
  <c r="E276" i="4"/>
  <c r="L275" i="4"/>
  <c r="K275" i="4"/>
  <c r="E275" i="4"/>
  <c r="L274" i="4"/>
  <c r="K274" i="4"/>
  <c r="E274" i="4"/>
  <c r="L273" i="4"/>
  <c r="K273" i="4"/>
  <c r="E273" i="4"/>
  <c r="L272" i="4"/>
  <c r="K272" i="4"/>
  <c r="E272" i="4"/>
  <c r="L271" i="4"/>
  <c r="K271" i="4"/>
  <c r="E271" i="4"/>
  <c r="L270" i="4"/>
  <c r="K270" i="4"/>
  <c r="E270" i="4"/>
  <c r="L269" i="4"/>
  <c r="K269" i="4"/>
  <c r="E269" i="4"/>
  <c r="L268" i="4"/>
  <c r="K268" i="4"/>
  <c r="E268" i="4"/>
  <c r="L267" i="4"/>
  <c r="K267" i="4"/>
  <c r="E267" i="4"/>
  <c r="L266" i="4"/>
  <c r="K266" i="4"/>
  <c r="E266" i="4"/>
  <c r="L265" i="4"/>
  <c r="K265" i="4"/>
  <c r="E265" i="4"/>
  <c r="L264" i="4"/>
  <c r="K264" i="4"/>
  <c r="J264" i="4"/>
  <c r="E264" i="4"/>
  <c r="L263" i="4"/>
  <c r="K263" i="4"/>
  <c r="E263" i="4"/>
  <c r="L262" i="4"/>
  <c r="K262" i="4"/>
  <c r="E262" i="4"/>
  <c r="L261" i="4"/>
  <c r="K261" i="4"/>
  <c r="E261" i="4"/>
  <c r="L260" i="4"/>
  <c r="K260" i="4"/>
  <c r="E260" i="4"/>
  <c r="L259" i="4"/>
  <c r="K259" i="4"/>
  <c r="E259" i="4"/>
  <c r="L258" i="4"/>
  <c r="K258" i="4"/>
  <c r="E258" i="4"/>
  <c r="K257" i="4"/>
  <c r="J257" i="4"/>
  <c r="L257" i="4" s="1"/>
  <c r="E257" i="4"/>
  <c r="K256" i="4"/>
  <c r="J256" i="4"/>
  <c r="L256" i="4" s="1"/>
  <c r="E256" i="4"/>
  <c r="K255" i="4"/>
  <c r="J255" i="4"/>
  <c r="L255" i="4" s="1"/>
  <c r="E255" i="4"/>
  <c r="L254" i="4"/>
  <c r="K254" i="4"/>
  <c r="E254" i="4"/>
  <c r="L253" i="4"/>
  <c r="K253" i="4"/>
  <c r="E253" i="4"/>
  <c r="L252" i="4"/>
  <c r="K252" i="4"/>
  <c r="E252" i="4"/>
  <c r="L251" i="4"/>
  <c r="K251" i="4"/>
  <c r="E251" i="4"/>
  <c r="L250" i="4"/>
  <c r="K250" i="4"/>
  <c r="E250" i="4"/>
  <c r="L249" i="4"/>
  <c r="K249" i="4"/>
  <c r="E249" i="4"/>
  <c r="L248" i="4"/>
  <c r="K248" i="4"/>
  <c r="E248" i="4"/>
  <c r="L247" i="4"/>
  <c r="K247" i="4"/>
  <c r="E247" i="4"/>
  <c r="L246" i="4"/>
  <c r="K246" i="4"/>
  <c r="E246" i="4"/>
  <c r="L245" i="4"/>
  <c r="K245" i="4"/>
  <c r="E245" i="4"/>
  <c r="L244" i="4"/>
  <c r="K244" i="4"/>
  <c r="J244" i="4"/>
  <c r="E244" i="4"/>
  <c r="L243" i="4"/>
  <c r="K243" i="4"/>
  <c r="E243" i="4"/>
  <c r="L242" i="4"/>
  <c r="K242" i="4"/>
  <c r="E242" i="4"/>
  <c r="L241" i="4"/>
  <c r="K241" i="4"/>
  <c r="E241" i="4"/>
  <c r="L240" i="4"/>
  <c r="K240" i="4"/>
  <c r="J240" i="4"/>
  <c r="E240" i="4"/>
  <c r="L239" i="4"/>
  <c r="K239" i="4"/>
  <c r="E239" i="4"/>
  <c r="L238" i="4"/>
  <c r="K238" i="4"/>
  <c r="E238" i="4"/>
  <c r="L237" i="4"/>
  <c r="K237" i="4"/>
  <c r="E237" i="4"/>
  <c r="L236" i="4"/>
  <c r="K236" i="4"/>
  <c r="E236" i="4"/>
  <c r="L235" i="4"/>
  <c r="K235" i="4"/>
  <c r="E235" i="4"/>
  <c r="L234" i="4"/>
  <c r="K234" i="4"/>
  <c r="E234" i="4"/>
  <c r="L233" i="4"/>
  <c r="K233" i="4"/>
  <c r="E233" i="4"/>
  <c r="L232" i="4"/>
  <c r="K232" i="4"/>
  <c r="E232" i="4"/>
  <c r="L231" i="4"/>
  <c r="K231" i="4"/>
  <c r="E231" i="4"/>
  <c r="L230" i="4"/>
  <c r="K230" i="4"/>
  <c r="E230" i="4"/>
  <c r="L229" i="4"/>
  <c r="K229" i="4"/>
  <c r="E229" i="4"/>
  <c r="L228" i="4"/>
  <c r="K228" i="4"/>
  <c r="E228" i="4"/>
  <c r="L227" i="4"/>
  <c r="K227" i="4"/>
  <c r="E227" i="4"/>
  <c r="L226" i="4"/>
  <c r="K226" i="4"/>
  <c r="E226" i="4"/>
  <c r="L225" i="4"/>
  <c r="K225" i="4"/>
  <c r="E225" i="4"/>
  <c r="L224" i="4"/>
  <c r="K224" i="4"/>
  <c r="E224" i="4"/>
  <c r="L223" i="4"/>
  <c r="K223" i="4"/>
  <c r="E223" i="4"/>
  <c r="L222" i="4"/>
  <c r="K222" i="4"/>
  <c r="E222" i="4"/>
  <c r="L221" i="4"/>
  <c r="K221" i="4"/>
  <c r="E221" i="4"/>
  <c r="L220" i="4"/>
  <c r="K220" i="4"/>
  <c r="E220" i="4"/>
  <c r="L219" i="4"/>
  <c r="K219" i="4"/>
  <c r="E219" i="4"/>
  <c r="L218" i="4"/>
  <c r="K218" i="4"/>
  <c r="E218" i="4"/>
  <c r="L217" i="4"/>
  <c r="K217" i="4"/>
  <c r="E217" i="4"/>
  <c r="L216" i="4"/>
  <c r="K216" i="4"/>
  <c r="E216" i="4"/>
  <c r="L215" i="4"/>
  <c r="K215" i="4"/>
  <c r="E215" i="4"/>
  <c r="L214" i="4"/>
  <c r="K214" i="4"/>
  <c r="E214" i="4"/>
  <c r="L213" i="4"/>
  <c r="K213" i="4"/>
  <c r="E213" i="4"/>
  <c r="L212" i="4"/>
  <c r="K212" i="4"/>
  <c r="E212" i="4"/>
  <c r="L211" i="4"/>
  <c r="K211" i="4"/>
  <c r="E211" i="4"/>
  <c r="L210" i="4"/>
  <c r="K210" i="4"/>
  <c r="E210" i="4"/>
  <c r="L209" i="4"/>
  <c r="K209" i="4"/>
  <c r="E209" i="4"/>
  <c r="L208" i="4"/>
  <c r="K208" i="4"/>
  <c r="E208" i="4"/>
  <c r="L207" i="4"/>
  <c r="K207" i="4"/>
  <c r="E207" i="4"/>
  <c r="L206" i="4"/>
  <c r="K206" i="4"/>
  <c r="J206" i="4"/>
  <c r="E206" i="4"/>
  <c r="L205" i="4"/>
  <c r="K205" i="4"/>
  <c r="J205" i="4"/>
  <c r="E205" i="4"/>
  <c r="L204" i="4"/>
  <c r="K204" i="4"/>
  <c r="E204" i="4"/>
  <c r="L203" i="4"/>
  <c r="K203" i="4"/>
  <c r="E203" i="4"/>
  <c r="L202" i="4"/>
  <c r="K202" i="4"/>
  <c r="E202" i="4"/>
  <c r="L201" i="4"/>
  <c r="K201" i="4"/>
  <c r="E201" i="4"/>
  <c r="L200" i="4"/>
  <c r="K200" i="4"/>
  <c r="J200" i="4"/>
  <c r="E200" i="4"/>
  <c r="L199" i="4"/>
  <c r="K199" i="4"/>
  <c r="E199" i="4"/>
  <c r="K198" i="4"/>
  <c r="J198" i="4"/>
  <c r="L198" i="4" s="1"/>
  <c r="E198" i="4"/>
  <c r="K197" i="4"/>
  <c r="J197" i="4"/>
  <c r="L197" i="4" s="1"/>
  <c r="E197" i="4"/>
  <c r="K196" i="4"/>
  <c r="J196" i="4"/>
  <c r="L196" i="4" s="1"/>
  <c r="E196" i="4"/>
  <c r="L195" i="4"/>
  <c r="K195" i="4"/>
  <c r="E195" i="4"/>
  <c r="L194" i="4"/>
  <c r="K194" i="4"/>
  <c r="L193" i="4"/>
  <c r="K193" i="4"/>
  <c r="L192" i="4"/>
  <c r="K192" i="4"/>
  <c r="E192" i="4"/>
  <c r="L191" i="4"/>
  <c r="K191" i="4"/>
  <c r="E191" i="4"/>
  <c r="L190" i="4"/>
  <c r="K190" i="4"/>
  <c r="E190" i="4"/>
  <c r="L189" i="4"/>
  <c r="K189" i="4"/>
  <c r="E189" i="4"/>
  <c r="L188" i="4"/>
  <c r="K188" i="4"/>
  <c r="E188" i="4"/>
  <c r="L187" i="4"/>
  <c r="K187" i="4"/>
  <c r="E187" i="4"/>
  <c r="L186" i="4"/>
  <c r="K186" i="4"/>
  <c r="E186" i="4"/>
  <c r="L185" i="4"/>
  <c r="K185" i="4"/>
  <c r="E185" i="4"/>
  <c r="L184" i="4"/>
  <c r="K184" i="4"/>
  <c r="E184" i="4"/>
  <c r="L183" i="4"/>
  <c r="K183" i="4"/>
  <c r="E183" i="4"/>
  <c r="L182" i="4"/>
  <c r="K182" i="4"/>
  <c r="E182" i="4"/>
  <c r="L181" i="4"/>
  <c r="K181" i="4"/>
  <c r="E181" i="4"/>
  <c r="L180" i="4"/>
  <c r="K180" i="4"/>
  <c r="E180" i="4"/>
  <c r="L179" i="4"/>
  <c r="K179" i="4"/>
  <c r="E179" i="4"/>
  <c r="L178" i="4"/>
  <c r="K178" i="4"/>
  <c r="J178" i="4"/>
  <c r="E178" i="4"/>
  <c r="L177" i="4"/>
  <c r="K177" i="4"/>
  <c r="E177" i="4"/>
  <c r="L176" i="4"/>
  <c r="K176" i="4"/>
  <c r="E176" i="4"/>
  <c r="L175" i="4"/>
  <c r="K175" i="4"/>
  <c r="E175" i="4"/>
  <c r="L174" i="4"/>
  <c r="K174" i="4"/>
  <c r="E174" i="4"/>
  <c r="L173" i="4"/>
  <c r="K173" i="4"/>
  <c r="E173" i="4"/>
  <c r="L172" i="4"/>
  <c r="K172" i="4"/>
  <c r="E172" i="4"/>
  <c r="L171" i="4"/>
  <c r="K171" i="4"/>
  <c r="E171" i="4"/>
  <c r="L170" i="4"/>
  <c r="K170" i="4"/>
  <c r="E170" i="4"/>
  <c r="L169" i="4"/>
  <c r="K169" i="4"/>
  <c r="E169" i="4"/>
  <c r="L168" i="4"/>
  <c r="K168" i="4"/>
  <c r="E168" i="4"/>
  <c r="L167" i="4"/>
  <c r="K167" i="4"/>
  <c r="E167" i="4"/>
  <c r="L166" i="4"/>
  <c r="K166" i="4"/>
  <c r="E166" i="4"/>
  <c r="L165" i="4"/>
  <c r="K165" i="4"/>
  <c r="J165" i="4"/>
  <c r="E165" i="4"/>
  <c r="L164" i="4"/>
  <c r="K164" i="4"/>
  <c r="E164" i="4"/>
  <c r="L163" i="4"/>
  <c r="K163" i="4"/>
  <c r="E163" i="4"/>
  <c r="L162" i="4"/>
  <c r="K162" i="4"/>
  <c r="E162" i="4"/>
  <c r="L161" i="4"/>
  <c r="K161" i="4"/>
  <c r="E161" i="4"/>
  <c r="L160" i="4"/>
  <c r="K160" i="4"/>
  <c r="E160" i="4"/>
  <c r="L159" i="4"/>
  <c r="K159" i="4"/>
  <c r="E159" i="4"/>
  <c r="L158" i="4"/>
  <c r="K158" i="4"/>
  <c r="E158" i="4"/>
  <c r="L157" i="4"/>
  <c r="K157" i="4"/>
  <c r="E157" i="4"/>
  <c r="L156" i="4"/>
  <c r="K156" i="4"/>
  <c r="E156" i="4"/>
  <c r="L155" i="4"/>
  <c r="K155" i="4"/>
  <c r="E155" i="4"/>
  <c r="L154" i="4"/>
  <c r="K154" i="4"/>
  <c r="L153" i="4"/>
  <c r="K153" i="4"/>
  <c r="E153" i="4"/>
  <c r="L152" i="4"/>
  <c r="K152" i="4"/>
  <c r="E152" i="4"/>
  <c r="L151" i="4"/>
  <c r="K151" i="4"/>
  <c r="E151" i="4"/>
  <c r="L150" i="4"/>
  <c r="K150" i="4"/>
  <c r="E150" i="4"/>
  <c r="L149" i="4"/>
  <c r="K149" i="4"/>
  <c r="E149" i="4"/>
  <c r="L148" i="4"/>
  <c r="K148" i="4"/>
  <c r="E148" i="4"/>
  <c r="L147" i="4"/>
  <c r="K147" i="4"/>
  <c r="E147" i="4"/>
  <c r="L146" i="4"/>
  <c r="K146" i="4"/>
  <c r="E146" i="4"/>
  <c r="L145" i="4"/>
  <c r="K145" i="4"/>
  <c r="E145" i="4"/>
  <c r="L144" i="4"/>
  <c r="K144" i="4"/>
  <c r="E144" i="4"/>
  <c r="L143" i="4"/>
  <c r="K143" i="4"/>
  <c r="E143" i="4"/>
  <c r="L142" i="4"/>
  <c r="K142" i="4"/>
  <c r="E142" i="4"/>
  <c r="L141" i="4"/>
  <c r="K141" i="4"/>
  <c r="E141" i="4"/>
  <c r="L140" i="4"/>
  <c r="K140" i="4"/>
  <c r="E140" i="4"/>
  <c r="L139" i="4"/>
  <c r="K139" i="4"/>
  <c r="L138" i="4"/>
  <c r="K138" i="4"/>
  <c r="E138" i="4"/>
  <c r="L137" i="4"/>
  <c r="K137" i="4"/>
  <c r="E137" i="4"/>
  <c r="L136" i="4"/>
  <c r="K136" i="4"/>
  <c r="E136" i="4"/>
  <c r="L135" i="4"/>
  <c r="K135" i="4"/>
  <c r="E135" i="4"/>
  <c r="L134" i="4"/>
  <c r="K134" i="4"/>
  <c r="E134" i="4"/>
  <c r="L133" i="4"/>
  <c r="K133" i="4"/>
  <c r="E133" i="4"/>
  <c r="L132" i="4"/>
  <c r="K132" i="4"/>
  <c r="E132" i="4"/>
  <c r="L131" i="4"/>
  <c r="K131" i="4"/>
  <c r="E131" i="4"/>
  <c r="L130" i="4"/>
  <c r="K130" i="4"/>
  <c r="J130" i="4"/>
  <c r="E130" i="4"/>
  <c r="L129" i="4"/>
  <c r="K129" i="4"/>
  <c r="E129" i="4"/>
  <c r="L128" i="4"/>
  <c r="K128" i="4"/>
  <c r="E128" i="4"/>
  <c r="L127" i="4"/>
  <c r="K127" i="4"/>
  <c r="E127" i="4"/>
  <c r="L126" i="4"/>
  <c r="K126" i="4"/>
  <c r="E126" i="4"/>
  <c r="L125" i="4"/>
  <c r="K125" i="4"/>
  <c r="E125" i="4"/>
  <c r="K124" i="4"/>
  <c r="J124" i="4"/>
  <c r="L124" i="4" s="1"/>
  <c r="E124" i="4"/>
  <c r="L123" i="4"/>
  <c r="K123" i="4"/>
  <c r="E123" i="4"/>
  <c r="L122" i="4"/>
  <c r="K122" i="4"/>
  <c r="E122" i="4"/>
  <c r="L121" i="4"/>
  <c r="K121" i="4"/>
  <c r="E121" i="4"/>
  <c r="L120" i="4"/>
  <c r="K120" i="4"/>
  <c r="E120" i="4"/>
  <c r="L119" i="4"/>
  <c r="K119" i="4"/>
  <c r="E119" i="4"/>
  <c r="L118" i="4"/>
  <c r="K118" i="4"/>
  <c r="E118" i="4"/>
  <c r="L117" i="4"/>
  <c r="K117" i="4"/>
  <c r="E117" i="4"/>
  <c r="L116" i="4"/>
  <c r="K116" i="4"/>
  <c r="E116" i="4"/>
  <c r="L115" i="4"/>
  <c r="K115" i="4"/>
  <c r="E115" i="4"/>
  <c r="L114" i="4"/>
  <c r="K114" i="4"/>
  <c r="L113" i="4"/>
  <c r="K113" i="4"/>
  <c r="E113" i="4"/>
  <c r="L112" i="4"/>
  <c r="K112" i="4"/>
  <c r="E112" i="4"/>
  <c r="L111" i="4"/>
  <c r="K111" i="4"/>
  <c r="E111" i="4"/>
  <c r="L110" i="4"/>
  <c r="K110" i="4"/>
  <c r="E110" i="4"/>
  <c r="L109" i="4"/>
  <c r="K109" i="4"/>
  <c r="E109" i="4"/>
  <c r="L108" i="4"/>
  <c r="K108" i="4"/>
  <c r="E108" i="4"/>
  <c r="L107" i="4"/>
  <c r="K107" i="4"/>
  <c r="E107" i="4"/>
  <c r="L106" i="4"/>
  <c r="K106" i="4"/>
  <c r="J106" i="4"/>
  <c r="E106" i="4"/>
  <c r="L105" i="4"/>
  <c r="K105" i="4"/>
  <c r="E105" i="4"/>
  <c r="L104" i="4"/>
  <c r="K104" i="4"/>
  <c r="E104" i="4"/>
  <c r="L103" i="4"/>
  <c r="K103" i="4"/>
  <c r="E103" i="4"/>
  <c r="L102" i="4"/>
  <c r="K102" i="4"/>
  <c r="E102" i="4"/>
  <c r="L101" i="4"/>
  <c r="K101" i="4"/>
  <c r="E101" i="4"/>
  <c r="L100" i="4"/>
  <c r="K100" i="4"/>
  <c r="E100" i="4"/>
  <c r="K99" i="4"/>
  <c r="J99" i="4"/>
  <c r="L99" i="4" s="1"/>
  <c r="E99" i="4"/>
  <c r="L98" i="4"/>
  <c r="K98" i="4"/>
  <c r="E98" i="4"/>
  <c r="L97" i="4"/>
  <c r="K97" i="4"/>
  <c r="E97" i="4"/>
  <c r="L96" i="4"/>
  <c r="K96" i="4"/>
  <c r="E96" i="4"/>
  <c r="L95" i="4"/>
  <c r="K95" i="4"/>
  <c r="E95" i="4"/>
  <c r="L94" i="4"/>
  <c r="K94" i="4"/>
  <c r="E94" i="4"/>
  <c r="L93" i="4"/>
  <c r="K93" i="4"/>
  <c r="E93" i="4"/>
  <c r="L92" i="4"/>
  <c r="K92" i="4"/>
  <c r="E92" i="4"/>
  <c r="L91" i="4"/>
  <c r="K91" i="4"/>
  <c r="E91" i="4"/>
  <c r="L90" i="4"/>
  <c r="K90" i="4"/>
  <c r="E90" i="4"/>
  <c r="L89" i="4"/>
  <c r="K89" i="4"/>
  <c r="E89" i="4"/>
  <c r="L88" i="4"/>
  <c r="K88" i="4"/>
  <c r="E88" i="4"/>
  <c r="L87" i="4"/>
  <c r="K87" i="4"/>
  <c r="E87" i="4"/>
  <c r="L86" i="4"/>
  <c r="K86" i="4"/>
  <c r="E86" i="4"/>
  <c r="L85" i="4"/>
  <c r="K85" i="4"/>
  <c r="E85" i="4"/>
  <c r="L84" i="4"/>
  <c r="K84" i="4"/>
  <c r="E84" i="4"/>
  <c r="L83" i="4"/>
  <c r="K83" i="4"/>
  <c r="E83" i="4"/>
  <c r="K82" i="4"/>
  <c r="J82" i="4"/>
  <c r="L82" i="4" s="1"/>
  <c r="E82" i="4"/>
  <c r="L81" i="4"/>
  <c r="K81" i="4"/>
  <c r="E81" i="4"/>
  <c r="L80" i="4"/>
  <c r="K80" i="4"/>
  <c r="E80" i="4"/>
  <c r="L79" i="4"/>
  <c r="K79" i="4"/>
  <c r="E79" i="4"/>
  <c r="L78" i="4"/>
  <c r="K78" i="4"/>
  <c r="E78" i="4"/>
  <c r="L77" i="4"/>
  <c r="K77" i="4"/>
  <c r="E77" i="4"/>
  <c r="L76" i="4"/>
  <c r="K76" i="4"/>
  <c r="E76" i="4"/>
  <c r="L75" i="4"/>
  <c r="K75" i="4"/>
  <c r="E75" i="4"/>
  <c r="L74" i="4"/>
  <c r="K74" i="4"/>
  <c r="E74" i="4"/>
  <c r="K73" i="4"/>
  <c r="J73" i="4"/>
  <c r="L73" i="4" s="1"/>
  <c r="E73" i="4"/>
  <c r="K72" i="4"/>
  <c r="J72" i="4"/>
  <c r="L72" i="4" s="1"/>
  <c r="E72" i="4"/>
  <c r="K71" i="4"/>
  <c r="J71" i="4"/>
  <c r="L71" i="4" s="1"/>
  <c r="E71" i="4"/>
  <c r="L70" i="4"/>
  <c r="K70" i="4"/>
  <c r="E70" i="4"/>
  <c r="K69" i="4"/>
  <c r="J69" i="4"/>
  <c r="L69" i="4" s="1"/>
  <c r="E69" i="4"/>
  <c r="L68" i="4"/>
  <c r="K68" i="4"/>
  <c r="E68" i="4"/>
  <c r="L67" i="4"/>
  <c r="K67" i="4"/>
  <c r="E67" i="4"/>
  <c r="L66" i="4"/>
  <c r="K66" i="4"/>
  <c r="E66" i="4"/>
  <c r="L65" i="4"/>
  <c r="K65" i="4"/>
  <c r="E65" i="4"/>
  <c r="K64" i="4"/>
  <c r="J64" i="4"/>
  <c r="L64" i="4" s="1"/>
  <c r="E64" i="4"/>
  <c r="L63" i="4"/>
  <c r="K63" i="4"/>
  <c r="E63" i="4"/>
  <c r="L62" i="4"/>
  <c r="K62" i="4"/>
  <c r="E62" i="4"/>
  <c r="L61" i="4"/>
  <c r="K61" i="4"/>
  <c r="E61" i="4"/>
  <c r="L60" i="4"/>
  <c r="K60" i="4"/>
  <c r="E60" i="4"/>
  <c r="L59" i="4"/>
  <c r="K59" i="4"/>
  <c r="L58" i="4"/>
  <c r="K58" i="4"/>
  <c r="E58" i="4"/>
  <c r="L57" i="4"/>
  <c r="K57" i="4"/>
  <c r="E57" i="4"/>
  <c r="L56" i="4"/>
  <c r="K56" i="4"/>
  <c r="E56" i="4"/>
  <c r="L55" i="4"/>
  <c r="K55" i="4"/>
  <c r="E55" i="4"/>
  <c r="L54" i="4"/>
  <c r="K54" i="4"/>
  <c r="E54" i="4"/>
  <c r="L53" i="4"/>
  <c r="K53" i="4"/>
  <c r="E53" i="4"/>
  <c r="L52" i="4"/>
  <c r="K52" i="4"/>
  <c r="E52" i="4"/>
  <c r="L51" i="4"/>
  <c r="K51" i="4"/>
  <c r="E51" i="4"/>
  <c r="L50" i="4"/>
  <c r="K50" i="4"/>
  <c r="E50" i="4"/>
  <c r="L49" i="4"/>
  <c r="K49" i="4"/>
  <c r="E49" i="4"/>
  <c r="L48" i="4"/>
  <c r="K48" i="4"/>
  <c r="E48" i="4"/>
  <c r="L47" i="4"/>
  <c r="K47" i="4"/>
  <c r="E47" i="4"/>
  <c r="L46" i="4"/>
  <c r="K46" i="4"/>
  <c r="E46" i="4"/>
  <c r="L45" i="4"/>
  <c r="K45" i="4"/>
  <c r="E45" i="4"/>
  <c r="L44" i="4"/>
  <c r="K44" i="4"/>
  <c r="E44" i="4"/>
  <c r="L43" i="4"/>
  <c r="K43" i="4"/>
  <c r="E43" i="4"/>
  <c r="L42" i="4"/>
  <c r="K42" i="4"/>
  <c r="E42" i="4"/>
  <c r="L41" i="4"/>
  <c r="K41" i="4"/>
  <c r="E41" i="4"/>
  <c r="L40" i="4"/>
  <c r="K40" i="4"/>
  <c r="E40" i="4"/>
  <c r="L39" i="4"/>
  <c r="K39" i="4"/>
  <c r="E39" i="4"/>
  <c r="L38" i="4"/>
  <c r="K38" i="4"/>
  <c r="J38" i="4"/>
  <c r="L37" i="4"/>
  <c r="K37" i="4"/>
  <c r="L36" i="4"/>
  <c r="K36" i="4"/>
  <c r="L35" i="4"/>
  <c r="K35" i="4"/>
  <c r="E35" i="4"/>
  <c r="L34" i="4"/>
  <c r="K34" i="4"/>
  <c r="L33" i="4"/>
  <c r="K33" i="4"/>
  <c r="E33" i="4"/>
  <c r="L32" i="4"/>
  <c r="K32" i="4"/>
  <c r="E32" i="4"/>
  <c r="L31" i="4"/>
  <c r="K31" i="4"/>
  <c r="L30" i="4"/>
  <c r="K30" i="4"/>
  <c r="E30" i="4"/>
  <c r="L29" i="4"/>
  <c r="K29" i="4"/>
  <c r="E29" i="4"/>
  <c r="L28" i="4"/>
  <c r="K28" i="4"/>
  <c r="E28" i="4"/>
  <c r="L27" i="4"/>
  <c r="K27" i="4"/>
  <c r="E27" i="4"/>
  <c r="L26" i="4"/>
  <c r="K26" i="4"/>
  <c r="E26" i="4"/>
  <c r="L25" i="4"/>
  <c r="K25" i="4"/>
  <c r="E25" i="4"/>
  <c r="L24" i="4"/>
  <c r="K24" i="4"/>
  <c r="E24" i="4"/>
  <c r="L23" i="4"/>
  <c r="K23" i="4"/>
  <c r="E23" i="4"/>
  <c r="L22" i="4"/>
  <c r="K22" i="4"/>
  <c r="E22" i="4"/>
  <c r="L21" i="4"/>
  <c r="K21" i="4"/>
  <c r="E21" i="4"/>
  <c r="L20" i="4"/>
  <c r="K20" i="4"/>
  <c r="E20" i="4"/>
  <c r="L19" i="4"/>
  <c r="K19" i="4"/>
  <c r="E19" i="4"/>
  <c r="L18" i="4"/>
  <c r="K18" i="4"/>
  <c r="E18" i="4"/>
  <c r="L17" i="4"/>
  <c r="K17" i="4"/>
  <c r="E17" i="4"/>
  <c r="L16" i="4"/>
  <c r="K16" i="4"/>
  <c r="E16" i="4"/>
  <c r="L15" i="4"/>
  <c r="K15" i="4"/>
  <c r="E15" i="4"/>
  <c r="L14" i="4"/>
  <c r="K14" i="4"/>
  <c r="E14" i="4"/>
  <c r="L13" i="4"/>
  <c r="K13" i="4"/>
  <c r="E13" i="4"/>
  <c r="L12" i="4"/>
  <c r="K12" i="4"/>
  <c r="E12" i="4"/>
  <c r="L11" i="4"/>
  <c r="K11" i="4"/>
  <c r="E11" i="4"/>
  <c r="L10" i="4"/>
  <c r="K10" i="4"/>
  <c r="E10" i="4"/>
  <c r="L9" i="4"/>
  <c r="K9" i="4"/>
  <c r="E9" i="4"/>
  <c r="L8" i="4"/>
  <c r="K8" i="4"/>
  <c r="E8" i="4"/>
  <c r="L7" i="4"/>
  <c r="K7" i="4"/>
  <c r="E7" i="4"/>
  <c r="L6" i="4"/>
  <c r="K6" i="4"/>
  <c r="E6" i="4"/>
  <c r="L5" i="4"/>
  <c r="K5" i="4"/>
  <c r="E5" i="4"/>
  <c r="L4" i="4"/>
  <c r="K4" i="4"/>
  <c r="E4" i="4"/>
  <c r="L3" i="4"/>
  <c r="K3" i="4"/>
  <c r="E3" i="4"/>
  <c r="L999" i="2" l="1"/>
  <c r="K999" i="2"/>
  <c r="E999" i="2"/>
  <c r="L998" i="2"/>
  <c r="K998" i="2"/>
  <c r="E998" i="2"/>
  <c r="L997" i="2"/>
  <c r="K997" i="2"/>
  <c r="E997" i="2"/>
  <c r="L996" i="2"/>
  <c r="K996" i="2"/>
  <c r="E996" i="2"/>
  <c r="L995" i="2"/>
  <c r="K995" i="2"/>
  <c r="E995" i="2"/>
  <c r="L1405" i="2"/>
  <c r="K1405" i="2"/>
  <c r="E1405" i="2"/>
  <c r="L1404" i="2"/>
  <c r="K1404" i="2"/>
  <c r="E1404" i="2"/>
  <c r="L1403" i="2"/>
  <c r="K1403" i="2"/>
  <c r="E1403" i="2"/>
  <c r="L1402" i="2"/>
  <c r="K1402" i="2"/>
  <c r="E1402" i="2"/>
  <c r="L1400" i="2"/>
  <c r="K1400" i="2"/>
  <c r="E1400" i="2"/>
  <c r="L1399" i="2"/>
  <c r="K1399" i="2"/>
  <c r="E1399" i="2"/>
  <c r="L1398" i="2"/>
  <c r="K1398" i="2"/>
  <c r="E1398" i="2"/>
  <c r="L1397" i="2"/>
  <c r="K1397" i="2"/>
  <c r="E1397" i="2"/>
  <c r="L1396" i="2"/>
  <c r="K1396" i="2"/>
  <c r="E1396" i="2"/>
  <c r="L1395" i="2"/>
  <c r="K1395" i="2"/>
  <c r="E1395" i="2"/>
  <c r="L1394" i="2"/>
  <c r="K1394" i="2"/>
  <c r="E1394" i="2"/>
  <c r="L1393" i="2"/>
  <c r="K1393" i="2"/>
  <c r="E1393" i="2"/>
  <c r="L1392" i="2"/>
  <c r="K1392" i="2"/>
  <c r="E1392" i="2"/>
  <c r="L1391" i="2"/>
  <c r="K1391" i="2"/>
  <c r="E1391" i="2"/>
  <c r="L1390" i="2"/>
  <c r="K1390" i="2"/>
  <c r="E1390" i="2"/>
  <c r="L1389" i="2"/>
  <c r="K1389" i="2"/>
  <c r="E1389" i="2"/>
  <c r="L1388" i="2"/>
  <c r="K1388" i="2"/>
  <c r="E1388" i="2"/>
  <c r="L1401" i="2"/>
  <c r="K1401" i="2"/>
  <c r="E1401" i="2"/>
  <c r="L1387" i="2"/>
  <c r="K1387" i="2"/>
  <c r="E1387" i="2"/>
  <c r="L1386" i="2"/>
  <c r="K1386" i="2"/>
  <c r="E1386" i="2"/>
  <c r="L1385" i="2"/>
  <c r="K1385" i="2"/>
  <c r="E1385" i="2"/>
  <c r="L1384" i="2"/>
  <c r="K1384" i="2"/>
  <c r="E1384" i="2"/>
  <c r="L1383" i="2"/>
  <c r="K1383" i="2"/>
  <c r="E1383" i="2"/>
  <c r="L1382" i="2"/>
  <c r="K1382" i="2"/>
  <c r="E1382" i="2"/>
  <c r="L1381" i="2"/>
  <c r="K1381" i="2"/>
  <c r="E1381" i="2"/>
  <c r="L1380" i="2"/>
  <c r="K1380" i="2"/>
  <c r="E1380" i="2"/>
  <c r="L1379" i="2"/>
  <c r="K1379" i="2"/>
  <c r="E1379" i="2"/>
  <c r="L1378" i="2"/>
  <c r="K1378" i="2"/>
  <c r="E1378" i="2"/>
  <c r="L1377" i="2"/>
  <c r="K1377" i="2"/>
  <c r="E1377" i="2"/>
  <c r="L1376" i="2"/>
  <c r="K1376" i="2"/>
  <c r="E1376" i="2"/>
  <c r="L1375" i="2"/>
  <c r="K1375" i="2"/>
  <c r="E1375" i="2"/>
  <c r="L1374" i="2"/>
  <c r="K1374" i="2"/>
  <c r="E1374" i="2"/>
  <c r="L1373" i="2"/>
  <c r="K1373" i="2"/>
  <c r="E1373" i="2"/>
  <c r="L1372" i="2"/>
  <c r="K1372" i="2"/>
  <c r="E1372" i="2"/>
  <c r="L1371" i="2"/>
  <c r="K1371" i="2"/>
  <c r="E1371" i="2"/>
  <c r="L1370" i="2"/>
  <c r="K1370" i="2"/>
  <c r="E1370" i="2"/>
  <c r="L1369" i="2"/>
  <c r="K1369" i="2"/>
  <c r="E1369" i="2"/>
  <c r="L1368" i="2"/>
  <c r="K1368" i="2"/>
  <c r="E1368" i="2"/>
  <c r="L1367" i="2"/>
  <c r="K1367" i="2"/>
  <c r="E1367" i="2"/>
  <c r="L1366" i="2"/>
  <c r="K1366" i="2"/>
  <c r="E1366" i="2"/>
  <c r="L1365" i="2"/>
  <c r="K1365" i="2"/>
  <c r="E1365" i="2"/>
  <c r="L1364" i="2"/>
  <c r="K1364" i="2"/>
  <c r="E1364" i="2"/>
  <c r="L1363" i="2"/>
  <c r="K1363" i="2"/>
  <c r="E1363" i="2"/>
  <c r="L1362" i="2"/>
  <c r="K1362" i="2"/>
  <c r="E1362" i="2"/>
  <c r="L1361" i="2"/>
  <c r="K1361" i="2"/>
  <c r="E1361" i="2"/>
  <c r="L1360" i="2"/>
  <c r="K1360" i="2"/>
  <c r="E1360" i="2"/>
  <c r="L1359" i="2"/>
  <c r="K1359" i="2"/>
  <c r="E1359" i="2"/>
  <c r="L1358" i="2"/>
  <c r="K1358" i="2"/>
  <c r="E1358" i="2"/>
  <c r="L1357" i="2"/>
  <c r="K1357" i="2"/>
  <c r="E1357" i="2"/>
  <c r="L1356" i="2"/>
  <c r="K1356" i="2"/>
  <c r="E1356" i="2"/>
  <c r="L1355" i="2"/>
  <c r="K1355" i="2"/>
  <c r="E1355" i="2"/>
  <c r="L1354" i="2"/>
  <c r="K1354" i="2"/>
  <c r="E1354" i="2"/>
  <c r="L1353" i="2"/>
  <c r="K1353" i="2"/>
  <c r="E1353" i="2"/>
  <c r="L1352" i="2"/>
  <c r="K1352" i="2"/>
  <c r="E1352" i="2"/>
  <c r="L1351" i="2"/>
  <c r="K1351" i="2"/>
  <c r="E1351" i="2"/>
  <c r="L1350" i="2"/>
  <c r="K1350" i="2"/>
  <c r="E1350" i="2"/>
  <c r="L1349" i="2"/>
  <c r="K1349" i="2"/>
  <c r="E1349" i="2"/>
  <c r="L1348" i="2"/>
  <c r="K1348" i="2"/>
  <c r="E1348" i="2"/>
  <c r="L1346" i="2"/>
  <c r="K1346" i="2"/>
  <c r="E1346" i="2"/>
  <c r="L1345" i="2"/>
  <c r="K1345" i="2"/>
  <c r="E1345" i="2"/>
  <c r="L1344" i="2"/>
  <c r="K1344" i="2"/>
  <c r="E1344" i="2"/>
  <c r="L1343" i="2"/>
  <c r="K1343" i="2"/>
  <c r="E1343" i="2"/>
  <c r="L1342" i="2"/>
  <c r="K1342" i="2"/>
  <c r="E1342" i="2"/>
  <c r="L1341" i="2"/>
  <c r="K1341" i="2"/>
  <c r="E1341" i="2"/>
  <c r="L1340" i="2"/>
  <c r="K1340" i="2"/>
  <c r="E1340" i="2"/>
  <c r="L1339" i="2"/>
  <c r="K1339" i="2"/>
  <c r="E1339" i="2"/>
  <c r="L1338" i="2"/>
  <c r="K1338" i="2"/>
  <c r="E1338" i="2"/>
  <c r="L1337" i="2"/>
  <c r="K1337" i="2"/>
  <c r="E1337" i="2"/>
  <c r="L1336" i="2"/>
  <c r="K1336" i="2"/>
  <c r="E1336" i="2"/>
  <c r="L1335" i="2"/>
  <c r="K1335" i="2"/>
  <c r="E1335" i="2"/>
  <c r="L1334" i="2"/>
  <c r="K1334" i="2"/>
  <c r="E1334" i="2"/>
  <c r="L1347" i="2"/>
  <c r="K1347" i="2"/>
  <c r="E1347" i="2"/>
  <c r="L1333" i="2"/>
  <c r="K1333" i="2"/>
  <c r="E1333" i="2"/>
  <c r="L1332" i="2"/>
  <c r="K1332" i="2"/>
  <c r="E1332" i="2"/>
  <c r="L1331" i="2"/>
  <c r="K1331" i="2"/>
  <c r="E1331" i="2"/>
  <c r="L1330" i="2"/>
  <c r="K1330" i="2"/>
  <c r="E1330" i="2"/>
  <c r="L1329" i="2"/>
  <c r="K1329" i="2"/>
  <c r="E1329" i="2"/>
  <c r="L1328" i="2"/>
  <c r="K1328" i="2"/>
  <c r="E1328" i="2"/>
  <c r="L1327" i="2"/>
  <c r="K1327" i="2"/>
  <c r="E1327" i="2"/>
  <c r="L1326" i="2"/>
  <c r="K1326" i="2"/>
  <c r="E1326" i="2"/>
  <c r="L1325" i="2"/>
  <c r="K1325" i="2"/>
  <c r="E1325" i="2"/>
  <c r="L1324" i="2"/>
  <c r="K1324" i="2"/>
  <c r="E1324" i="2"/>
  <c r="L1323" i="2"/>
  <c r="K1323" i="2"/>
  <c r="E1323" i="2"/>
  <c r="L1322" i="2"/>
  <c r="K1322" i="2"/>
  <c r="E1322" i="2"/>
  <c r="L1321" i="2"/>
  <c r="K1321" i="2"/>
  <c r="E1321" i="2"/>
  <c r="L1320" i="2"/>
  <c r="K1320" i="2"/>
  <c r="E1320" i="2"/>
  <c r="L1319" i="2"/>
  <c r="K1319" i="2"/>
  <c r="E1319" i="2"/>
  <c r="L1318" i="2"/>
  <c r="K1318" i="2"/>
  <c r="E1318" i="2"/>
  <c r="L1317" i="2"/>
  <c r="K1317" i="2"/>
  <c r="E1317" i="2"/>
  <c r="L1316" i="2"/>
  <c r="K1316" i="2"/>
  <c r="E1316" i="2"/>
  <c r="L1315" i="2"/>
  <c r="K1315" i="2"/>
  <c r="E1315" i="2"/>
  <c r="L1314" i="2"/>
  <c r="K1314" i="2"/>
  <c r="E1314" i="2"/>
  <c r="L1313" i="2"/>
  <c r="K1313" i="2"/>
  <c r="E1313" i="2"/>
  <c r="L1312" i="2"/>
  <c r="K1312" i="2"/>
  <c r="E1312" i="2"/>
  <c r="L1311" i="2"/>
  <c r="K1311" i="2"/>
  <c r="E1311" i="2"/>
  <c r="L1310" i="2"/>
  <c r="K1310" i="2"/>
  <c r="E1310" i="2"/>
  <c r="L1309" i="2"/>
  <c r="K1309" i="2"/>
  <c r="E1309" i="2"/>
  <c r="L1308" i="2"/>
  <c r="K1308" i="2"/>
  <c r="E1308" i="2"/>
  <c r="L1307" i="2"/>
  <c r="K1307" i="2"/>
  <c r="E1307" i="2"/>
  <c r="L1306" i="2"/>
  <c r="K1306" i="2"/>
  <c r="E1306" i="2"/>
  <c r="L1305" i="2"/>
  <c r="K1305" i="2"/>
  <c r="E1305" i="2"/>
  <c r="L1304" i="2"/>
  <c r="K1304" i="2"/>
  <c r="E1304" i="2"/>
  <c r="L1303" i="2"/>
  <c r="K1303" i="2"/>
  <c r="E1303" i="2"/>
  <c r="L1302" i="2"/>
  <c r="K1302" i="2"/>
  <c r="E1302" i="2"/>
  <c r="L1301" i="2"/>
  <c r="K1301" i="2"/>
  <c r="E1301" i="2"/>
  <c r="L1300" i="2"/>
  <c r="K1300" i="2"/>
  <c r="E1300" i="2"/>
  <c r="L1299" i="2"/>
  <c r="K1299" i="2"/>
  <c r="E1299" i="2"/>
  <c r="L1298" i="2"/>
  <c r="K1298" i="2"/>
  <c r="E1298" i="2"/>
  <c r="L1297" i="2"/>
  <c r="K1297" i="2"/>
  <c r="E1297" i="2"/>
  <c r="L1296" i="2"/>
  <c r="K1296" i="2"/>
  <c r="E1296" i="2"/>
  <c r="L1295" i="2"/>
  <c r="K1295" i="2"/>
  <c r="E1295" i="2"/>
  <c r="L1294" i="2"/>
  <c r="K1294" i="2"/>
  <c r="E1294" i="2"/>
  <c r="L1292" i="2"/>
  <c r="K1292" i="2"/>
  <c r="E1292" i="2"/>
  <c r="L1291" i="2"/>
  <c r="K1291" i="2"/>
  <c r="E1291" i="2"/>
  <c r="L1290" i="2"/>
  <c r="K1290" i="2"/>
  <c r="E1290" i="2"/>
  <c r="L1289" i="2"/>
  <c r="K1289" i="2"/>
  <c r="E1289" i="2"/>
  <c r="L1288" i="2"/>
  <c r="K1288" i="2"/>
  <c r="E1288" i="2"/>
  <c r="L1287" i="2"/>
  <c r="K1287" i="2"/>
  <c r="E1287" i="2"/>
  <c r="L1286" i="2"/>
  <c r="K1286" i="2"/>
  <c r="E1286" i="2"/>
  <c r="L1285" i="2"/>
  <c r="K1285" i="2"/>
  <c r="E1285" i="2"/>
  <c r="L1284" i="2"/>
  <c r="K1284" i="2"/>
  <c r="E1284" i="2"/>
  <c r="L1283" i="2"/>
  <c r="K1283" i="2"/>
  <c r="E1283" i="2"/>
  <c r="L1282" i="2"/>
  <c r="K1282" i="2"/>
  <c r="E1282" i="2"/>
  <c r="L1281" i="2"/>
  <c r="K1281" i="2"/>
  <c r="E1281" i="2"/>
  <c r="L1280" i="2"/>
  <c r="K1280" i="2"/>
  <c r="E1280" i="2"/>
  <c r="L1293" i="2"/>
  <c r="K1293" i="2"/>
  <c r="E1293" i="2"/>
  <c r="L1279" i="2"/>
  <c r="K1279" i="2"/>
  <c r="E1279" i="2"/>
  <c r="L1278" i="2"/>
  <c r="K1278" i="2"/>
  <c r="E1278" i="2"/>
  <c r="L1277" i="2"/>
  <c r="K1277" i="2"/>
  <c r="E1277" i="2"/>
  <c r="L1276" i="2"/>
  <c r="K1276" i="2"/>
  <c r="E1276" i="2"/>
  <c r="L1275" i="2"/>
  <c r="K1275" i="2"/>
  <c r="E1275" i="2"/>
  <c r="L1274" i="2"/>
  <c r="K1274" i="2"/>
  <c r="E1274" i="2"/>
  <c r="L1273" i="2"/>
  <c r="K1273" i="2"/>
  <c r="E1273" i="2"/>
  <c r="L1272" i="2"/>
  <c r="K1272" i="2"/>
  <c r="E1272" i="2"/>
  <c r="L1271" i="2"/>
  <c r="K1271" i="2"/>
  <c r="E1271" i="2"/>
  <c r="L1270" i="2"/>
  <c r="K1270" i="2"/>
  <c r="E1270" i="2"/>
  <c r="L1269" i="2"/>
  <c r="K1269" i="2"/>
  <c r="E1269" i="2"/>
  <c r="L1268" i="2"/>
  <c r="K1268" i="2"/>
  <c r="E1268" i="2"/>
  <c r="L1267" i="2"/>
  <c r="K1267" i="2"/>
  <c r="E1267" i="2"/>
  <c r="L1266" i="2"/>
  <c r="K1266" i="2"/>
  <c r="E1266" i="2"/>
  <c r="L1265" i="2"/>
  <c r="K1265" i="2"/>
  <c r="E1265" i="2"/>
  <c r="L1264" i="2"/>
  <c r="K1264" i="2"/>
  <c r="E1264" i="2"/>
  <c r="L1263" i="2"/>
  <c r="K1263" i="2"/>
  <c r="E1263" i="2"/>
  <c r="L1262" i="2"/>
  <c r="K1262" i="2"/>
  <c r="E1262" i="2"/>
  <c r="L1261" i="2"/>
  <c r="K1261" i="2"/>
  <c r="E1261" i="2"/>
  <c r="L1260" i="2"/>
  <c r="K1260" i="2"/>
  <c r="E1260" i="2"/>
  <c r="L1259" i="2"/>
  <c r="K1259" i="2"/>
  <c r="E1259" i="2"/>
  <c r="L1258" i="2"/>
  <c r="K1258" i="2"/>
  <c r="E1258" i="2"/>
  <c r="L1257" i="2"/>
  <c r="K1257" i="2"/>
  <c r="E1257" i="2"/>
  <c r="L1256" i="2"/>
  <c r="K1256" i="2"/>
  <c r="E1256" i="2"/>
  <c r="L1255" i="2"/>
  <c r="K1255" i="2"/>
  <c r="E1255" i="2"/>
  <c r="L1254" i="2"/>
  <c r="K1254" i="2"/>
  <c r="E1254" i="2"/>
  <c r="L1253" i="2"/>
  <c r="K1253" i="2"/>
  <c r="E1253" i="2"/>
  <c r="L1252" i="2"/>
  <c r="K1252" i="2"/>
  <c r="E1252" i="2"/>
  <c r="L1251" i="2"/>
  <c r="K1251" i="2"/>
  <c r="E1251" i="2"/>
  <c r="L1250" i="2"/>
  <c r="K1250" i="2"/>
  <c r="E1250" i="2"/>
  <c r="L1249" i="2"/>
  <c r="K1249" i="2"/>
  <c r="E1249" i="2"/>
  <c r="L1248" i="2"/>
  <c r="K1248" i="2"/>
  <c r="E1248" i="2"/>
  <c r="L1247" i="2"/>
  <c r="K1247" i="2"/>
  <c r="E1247" i="2"/>
  <c r="L1246" i="2"/>
  <c r="K1246" i="2"/>
  <c r="E1246" i="2"/>
  <c r="L1245" i="2"/>
  <c r="K1245" i="2"/>
  <c r="E1245" i="2"/>
  <c r="L1244" i="2"/>
  <c r="K1244" i="2"/>
  <c r="E1244" i="2"/>
  <c r="L1243" i="2"/>
  <c r="K1243" i="2"/>
  <c r="E1243" i="2"/>
  <c r="L1242" i="2"/>
  <c r="K1242" i="2"/>
  <c r="E1242" i="2"/>
  <c r="L1241" i="2"/>
  <c r="K1241" i="2"/>
  <c r="E1241" i="2"/>
  <c r="L1240" i="2"/>
  <c r="K1240" i="2"/>
  <c r="E1240" i="2"/>
  <c r="L1238" i="2"/>
  <c r="K1238" i="2"/>
  <c r="E1238" i="2"/>
  <c r="L1237" i="2"/>
  <c r="K1237" i="2"/>
  <c r="E1237" i="2"/>
  <c r="L1236" i="2"/>
  <c r="K1236" i="2"/>
  <c r="E1236" i="2"/>
  <c r="L1235" i="2"/>
  <c r="K1235" i="2"/>
  <c r="E1235" i="2"/>
  <c r="L1234" i="2"/>
  <c r="K1234" i="2"/>
  <c r="E1234" i="2"/>
  <c r="L1233" i="2"/>
  <c r="K1233" i="2"/>
  <c r="E1233" i="2"/>
  <c r="L1232" i="2"/>
  <c r="K1232" i="2"/>
  <c r="E1232" i="2"/>
  <c r="L1231" i="2"/>
  <c r="K1231" i="2"/>
  <c r="E1231" i="2"/>
  <c r="L1230" i="2"/>
  <c r="K1230" i="2"/>
  <c r="E1230" i="2"/>
  <c r="L1229" i="2"/>
  <c r="K1229" i="2"/>
  <c r="E1229" i="2"/>
  <c r="L1228" i="2"/>
  <c r="K1228" i="2"/>
  <c r="E1228" i="2"/>
  <c r="L1227" i="2"/>
  <c r="K1227" i="2"/>
  <c r="E1227" i="2"/>
  <c r="L1226" i="2"/>
  <c r="K1226" i="2"/>
  <c r="E1226" i="2"/>
  <c r="L1239" i="2"/>
  <c r="K1239" i="2"/>
  <c r="E1239" i="2"/>
  <c r="L1225" i="2"/>
  <c r="K1225" i="2"/>
  <c r="E1225" i="2"/>
  <c r="L1224" i="2"/>
  <c r="K1224" i="2"/>
  <c r="E1224" i="2"/>
  <c r="L1223" i="2"/>
  <c r="K1223" i="2"/>
  <c r="E1223" i="2"/>
  <c r="L1222" i="2"/>
  <c r="K1222" i="2"/>
  <c r="E1222" i="2"/>
  <c r="L1221" i="2"/>
  <c r="K1221" i="2"/>
  <c r="E1221" i="2"/>
  <c r="L1220" i="2"/>
  <c r="K1220" i="2"/>
  <c r="E1220" i="2"/>
  <c r="L1219" i="2"/>
  <c r="K1219" i="2"/>
  <c r="E1219" i="2"/>
  <c r="L1218" i="2"/>
  <c r="K1218" i="2"/>
  <c r="E1218" i="2"/>
  <c r="L1217" i="2"/>
  <c r="K1217" i="2"/>
  <c r="E1217" i="2"/>
  <c r="L1216" i="2"/>
  <c r="K1216" i="2"/>
  <c r="E1216" i="2"/>
  <c r="L1215" i="2"/>
  <c r="K1215" i="2"/>
  <c r="E1215" i="2"/>
  <c r="L1214" i="2"/>
  <c r="K1214" i="2"/>
  <c r="E1214" i="2"/>
  <c r="L1213" i="2"/>
  <c r="K1213" i="2"/>
  <c r="E1213" i="2"/>
  <c r="L1212" i="2"/>
  <c r="K1212" i="2"/>
  <c r="E1212" i="2"/>
  <c r="L1211" i="2"/>
  <c r="K1211" i="2"/>
  <c r="E1211" i="2"/>
  <c r="L1210" i="2"/>
  <c r="K1210" i="2"/>
  <c r="E1210" i="2"/>
  <c r="L1209" i="2"/>
  <c r="K1209" i="2"/>
  <c r="E1209" i="2"/>
  <c r="L1208" i="2"/>
  <c r="K1208" i="2"/>
  <c r="E1208" i="2"/>
  <c r="L1207" i="2"/>
  <c r="K1207" i="2"/>
  <c r="E1207" i="2"/>
  <c r="L1206" i="2"/>
  <c r="K1206" i="2"/>
  <c r="E1206" i="2"/>
  <c r="L1205" i="2"/>
  <c r="K1205" i="2"/>
  <c r="E1205" i="2"/>
  <c r="L1204" i="2"/>
  <c r="K1204" i="2"/>
  <c r="E1204" i="2"/>
  <c r="L1203" i="2"/>
  <c r="K1203" i="2"/>
  <c r="E1203" i="2"/>
  <c r="L1202" i="2"/>
  <c r="K1202" i="2"/>
  <c r="E1202" i="2"/>
  <c r="L1201" i="2"/>
  <c r="K1201" i="2"/>
  <c r="E1201" i="2"/>
  <c r="L1200" i="2"/>
  <c r="K1200" i="2"/>
  <c r="E1200" i="2"/>
  <c r="L1199" i="2"/>
  <c r="K1199" i="2"/>
  <c r="E1199" i="2"/>
  <c r="L1198" i="2"/>
  <c r="K1198" i="2"/>
  <c r="E1198" i="2"/>
  <c r="L1197" i="2"/>
  <c r="K1197" i="2"/>
  <c r="E1197" i="2"/>
  <c r="L1196" i="2"/>
  <c r="K1196" i="2"/>
  <c r="E1196" i="2"/>
  <c r="L1195" i="2"/>
  <c r="K1195" i="2"/>
  <c r="E1195" i="2"/>
  <c r="L1194" i="2"/>
  <c r="K1194" i="2"/>
  <c r="E1194" i="2"/>
  <c r="L1193" i="2"/>
  <c r="K1193" i="2"/>
  <c r="E1193" i="2"/>
  <c r="L1192" i="2"/>
  <c r="K1192" i="2"/>
  <c r="E1192" i="2"/>
  <c r="L1191" i="2"/>
  <c r="K1191" i="2"/>
  <c r="E1191" i="2"/>
  <c r="L1190" i="2"/>
  <c r="K1190" i="2"/>
  <c r="E1190" i="2"/>
  <c r="L1189" i="2"/>
  <c r="K1189" i="2"/>
  <c r="E1189" i="2"/>
  <c r="L1188" i="2"/>
  <c r="K1188" i="2"/>
  <c r="E1188" i="2"/>
  <c r="L1187" i="2"/>
  <c r="K1187" i="2"/>
  <c r="E1187" i="2"/>
  <c r="L1186" i="2"/>
  <c r="K1186" i="2"/>
  <c r="E1186" i="2"/>
  <c r="L1184" i="2"/>
  <c r="K1184" i="2"/>
  <c r="E1184" i="2"/>
  <c r="L1183" i="2"/>
  <c r="K1183" i="2"/>
  <c r="E1183" i="2"/>
  <c r="L1182" i="2"/>
  <c r="K1182" i="2"/>
  <c r="E1182" i="2"/>
  <c r="L1181" i="2"/>
  <c r="K1181" i="2"/>
  <c r="E1181" i="2"/>
  <c r="L1180" i="2"/>
  <c r="K1180" i="2"/>
  <c r="E1180" i="2"/>
  <c r="L1179" i="2"/>
  <c r="K1179" i="2"/>
  <c r="E1179" i="2"/>
  <c r="L1178" i="2"/>
  <c r="K1178" i="2"/>
  <c r="E1178" i="2"/>
  <c r="L1177" i="2"/>
  <c r="K1177" i="2"/>
  <c r="E1177" i="2"/>
  <c r="L1176" i="2"/>
  <c r="K1176" i="2"/>
  <c r="E1176" i="2"/>
  <c r="L1175" i="2"/>
  <c r="K1175" i="2"/>
  <c r="E1175" i="2"/>
  <c r="L1174" i="2"/>
  <c r="K1174" i="2"/>
  <c r="E1174" i="2"/>
  <c r="L1173" i="2"/>
  <c r="K1173" i="2"/>
  <c r="E1173" i="2"/>
  <c r="L1172" i="2"/>
  <c r="K1172" i="2"/>
  <c r="E1172" i="2"/>
  <c r="L1185" i="2"/>
  <c r="K1185" i="2"/>
  <c r="E1185" i="2"/>
  <c r="L1171" i="2"/>
  <c r="K1171" i="2"/>
  <c r="E1171" i="2"/>
  <c r="L1170" i="2"/>
  <c r="K1170" i="2"/>
  <c r="E1170" i="2"/>
  <c r="L1169" i="2"/>
  <c r="K1169" i="2"/>
  <c r="E1169" i="2"/>
  <c r="L1168" i="2"/>
  <c r="K1168" i="2"/>
  <c r="E1168" i="2"/>
  <c r="L1167" i="2"/>
  <c r="K1167" i="2"/>
  <c r="E1167" i="2"/>
  <c r="L1166" i="2"/>
  <c r="K1166" i="2"/>
  <c r="E1166" i="2"/>
  <c r="L1165" i="2"/>
  <c r="K1165" i="2"/>
  <c r="E1165" i="2"/>
  <c r="L1164" i="2"/>
  <c r="K1164" i="2"/>
  <c r="E1164" i="2"/>
  <c r="L1163" i="2"/>
  <c r="K1163" i="2"/>
  <c r="E1163" i="2"/>
  <c r="L1162" i="2"/>
  <c r="K1162" i="2"/>
  <c r="E1162" i="2"/>
  <c r="L1161" i="2"/>
  <c r="K1161" i="2"/>
  <c r="E1161" i="2"/>
  <c r="L1160" i="2"/>
  <c r="K1160" i="2"/>
  <c r="E1160" i="2"/>
  <c r="L1159" i="2"/>
  <c r="K1159" i="2"/>
  <c r="E1159" i="2"/>
  <c r="L1158" i="2"/>
  <c r="K1158" i="2"/>
  <c r="E1158" i="2"/>
  <c r="L1157" i="2"/>
  <c r="K1157" i="2"/>
  <c r="E1157" i="2"/>
  <c r="L1156" i="2"/>
  <c r="K1156" i="2"/>
  <c r="E1156" i="2"/>
  <c r="L1155" i="2"/>
  <c r="K1155" i="2"/>
  <c r="E1155" i="2"/>
  <c r="L1154" i="2"/>
  <c r="K1154" i="2"/>
  <c r="E1154" i="2"/>
  <c r="L1153" i="2"/>
  <c r="K1153" i="2"/>
  <c r="E1153" i="2"/>
  <c r="L1152" i="2"/>
  <c r="K1152" i="2"/>
  <c r="E1152" i="2"/>
  <c r="L1151" i="2"/>
  <c r="K1151" i="2"/>
  <c r="E1151" i="2"/>
  <c r="L1150" i="2"/>
  <c r="K1150" i="2"/>
  <c r="E1150" i="2"/>
  <c r="L1149" i="2"/>
  <c r="K1149" i="2"/>
  <c r="E1149" i="2"/>
  <c r="L1148" i="2"/>
  <c r="K1148" i="2"/>
  <c r="E1148" i="2"/>
  <c r="L1147" i="2"/>
  <c r="K1147" i="2"/>
  <c r="E1147" i="2"/>
  <c r="L1146" i="2"/>
  <c r="K1146" i="2"/>
  <c r="E1146" i="2"/>
  <c r="L1145" i="2"/>
  <c r="K1145" i="2"/>
  <c r="E1145" i="2"/>
  <c r="L1144" i="2"/>
  <c r="K1144" i="2"/>
  <c r="E1144" i="2"/>
  <c r="L1143" i="2"/>
  <c r="K1143" i="2"/>
  <c r="E1143" i="2"/>
  <c r="L1142" i="2"/>
  <c r="K1142" i="2"/>
  <c r="E1142" i="2"/>
  <c r="L1141" i="2"/>
  <c r="K1141" i="2"/>
  <c r="E1141" i="2"/>
  <c r="L1140" i="2"/>
  <c r="K1140" i="2"/>
  <c r="E1140" i="2"/>
  <c r="L1139" i="2"/>
  <c r="K1139" i="2"/>
  <c r="E1139" i="2"/>
  <c r="L1138" i="2"/>
  <c r="K1138" i="2"/>
  <c r="E1138" i="2"/>
  <c r="L1137" i="2"/>
  <c r="K1137" i="2"/>
  <c r="E1137" i="2"/>
  <c r="L1136" i="2"/>
  <c r="K1136" i="2"/>
  <c r="E1136" i="2"/>
  <c r="L1135" i="2"/>
  <c r="K1135" i="2"/>
  <c r="E1135" i="2"/>
  <c r="L1134" i="2"/>
  <c r="K1134" i="2"/>
  <c r="E1134" i="2"/>
  <c r="L1133" i="2"/>
  <c r="K1133" i="2"/>
  <c r="E1133" i="2"/>
  <c r="L1132" i="2"/>
  <c r="K1132" i="2"/>
  <c r="E1132" i="2"/>
  <c r="L1130" i="2"/>
  <c r="K1130" i="2"/>
  <c r="E1130" i="2"/>
  <c r="L1129" i="2"/>
  <c r="K1129" i="2"/>
  <c r="E1129" i="2"/>
  <c r="L1128" i="2"/>
  <c r="K1128" i="2"/>
  <c r="E1128" i="2"/>
  <c r="L1127" i="2"/>
  <c r="K1127" i="2"/>
  <c r="E1127" i="2"/>
  <c r="L1126" i="2"/>
  <c r="K1126" i="2"/>
  <c r="E1126" i="2"/>
  <c r="L1125" i="2"/>
  <c r="K1125" i="2"/>
  <c r="E1125" i="2"/>
  <c r="L1124" i="2"/>
  <c r="K1124" i="2"/>
  <c r="E1124" i="2"/>
  <c r="L1123" i="2"/>
  <c r="K1123" i="2"/>
  <c r="E1123" i="2"/>
  <c r="L1122" i="2"/>
  <c r="K1122" i="2"/>
  <c r="E1122" i="2"/>
  <c r="L1121" i="2"/>
  <c r="K1121" i="2"/>
  <c r="E1121" i="2"/>
  <c r="L1120" i="2"/>
  <c r="K1120" i="2"/>
  <c r="E1120" i="2"/>
  <c r="L1119" i="2"/>
  <c r="K1119" i="2"/>
  <c r="E1119" i="2"/>
  <c r="L1118" i="2"/>
  <c r="K1118" i="2"/>
  <c r="E1118" i="2"/>
  <c r="L1131" i="2"/>
  <c r="K1131" i="2"/>
  <c r="E1131" i="2"/>
  <c r="L1117" i="2"/>
  <c r="K1117" i="2"/>
  <c r="E1117" i="2"/>
  <c r="L1116" i="2"/>
  <c r="K1116" i="2"/>
  <c r="E1116" i="2"/>
  <c r="L1115" i="2"/>
  <c r="K1115" i="2"/>
  <c r="E1115" i="2"/>
  <c r="L1114" i="2"/>
  <c r="K1114" i="2"/>
  <c r="E1114" i="2"/>
  <c r="L1113" i="2"/>
  <c r="K1113" i="2"/>
  <c r="E1113" i="2"/>
  <c r="L1112" i="2"/>
  <c r="K1112" i="2"/>
  <c r="E1112" i="2"/>
  <c r="L1111" i="2"/>
  <c r="K1111" i="2"/>
  <c r="E1111" i="2"/>
  <c r="L1110" i="2"/>
  <c r="K1110" i="2"/>
  <c r="E1110" i="2"/>
  <c r="L1109" i="2"/>
  <c r="K1109" i="2"/>
  <c r="E1109" i="2"/>
  <c r="L1108" i="2"/>
  <c r="K1108" i="2"/>
  <c r="E1108" i="2"/>
  <c r="L1107" i="2"/>
  <c r="K1107" i="2"/>
  <c r="E1107" i="2"/>
  <c r="L1106" i="2"/>
  <c r="K1106" i="2"/>
  <c r="E1106" i="2"/>
  <c r="L1105" i="2"/>
  <c r="K1105" i="2"/>
  <c r="E1105" i="2"/>
  <c r="L1104" i="2"/>
  <c r="K1104" i="2"/>
  <c r="E1104" i="2"/>
  <c r="L1103" i="2"/>
  <c r="K1103" i="2"/>
  <c r="E1103" i="2"/>
  <c r="L1102" i="2"/>
  <c r="K1102" i="2"/>
  <c r="E1102" i="2"/>
  <c r="L1101" i="2"/>
  <c r="K1101" i="2"/>
  <c r="E1101" i="2"/>
  <c r="L1100" i="2"/>
  <c r="K1100" i="2"/>
  <c r="E1100" i="2"/>
  <c r="L1099" i="2"/>
  <c r="K1099" i="2"/>
  <c r="E1099" i="2"/>
  <c r="L1098" i="2"/>
  <c r="K1098" i="2"/>
  <c r="E1098" i="2"/>
  <c r="L1097" i="2"/>
  <c r="K1097" i="2"/>
  <c r="E1097" i="2"/>
  <c r="L1096" i="2"/>
  <c r="K1096" i="2"/>
  <c r="E1096" i="2"/>
  <c r="L1095" i="2"/>
  <c r="K1095" i="2"/>
  <c r="E1095" i="2"/>
  <c r="L1094" i="2"/>
  <c r="K1094" i="2"/>
  <c r="E1094" i="2"/>
  <c r="L1093" i="2"/>
  <c r="K1093" i="2"/>
  <c r="E1093" i="2"/>
  <c r="L1092" i="2"/>
  <c r="K1092" i="2"/>
  <c r="E1092" i="2"/>
  <c r="L1091" i="2"/>
  <c r="K1091" i="2"/>
  <c r="E1091" i="2"/>
  <c r="L1090" i="2"/>
  <c r="K1090" i="2"/>
  <c r="E1090" i="2"/>
  <c r="L1089" i="2"/>
  <c r="K1089" i="2"/>
  <c r="E1089" i="2"/>
  <c r="L1088" i="2"/>
  <c r="K1088" i="2"/>
  <c r="E1088" i="2"/>
  <c r="L1087" i="2"/>
  <c r="K1087" i="2"/>
  <c r="E1087" i="2"/>
  <c r="L1086" i="2"/>
  <c r="K1086" i="2"/>
  <c r="E1086" i="2"/>
  <c r="L1085" i="2"/>
  <c r="K1085" i="2"/>
  <c r="E1085" i="2"/>
  <c r="L1084" i="2"/>
  <c r="K1084" i="2"/>
  <c r="E1084" i="2"/>
  <c r="L1083" i="2"/>
  <c r="K1083" i="2"/>
  <c r="E1083" i="2"/>
  <c r="L1082" i="2"/>
  <c r="K1082" i="2"/>
  <c r="E1082" i="2"/>
  <c r="L1081" i="2"/>
  <c r="K1081" i="2"/>
  <c r="E1081" i="2"/>
  <c r="L1080" i="2"/>
  <c r="K1080" i="2"/>
  <c r="E1080" i="2"/>
  <c r="L1079" i="2"/>
  <c r="K1079" i="2"/>
  <c r="E1079" i="2"/>
  <c r="L1078" i="2"/>
  <c r="K1078" i="2"/>
  <c r="E1078" i="2"/>
  <c r="L1076" i="2"/>
  <c r="K1076" i="2"/>
  <c r="E1076" i="2"/>
  <c r="L1075" i="2"/>
  <c r="K1075" i="2"/>
  <c r="E1075" i="2"/>
  <c r="L1074" i="2"/>
  <c r="K1074" i="2"/>
  <c r="E1074" i="2"/>
  <c r="L1073" i="2"/>
  <c r="K1073" i="2"/>
  <c r="E1073" i="2"/>
  <c r="L1072" i="2"/>
  <c r="K1072" i="2"/>
  <c r="E1072" i="2"/>
  <c r="L1071" i="2"/>
  <c r="K1071" i="2"/>
  <c r="E1071" i="2"/>
  <c r="L1070" i="2"/>
  <c r="K1070" i="2"/>
  <c r="E1070" i="2"/>
  <c r="L1069" i="2"/>
  <c r="K1069" i="2"/>
  <c r="E1069" i="2"/>
  <c r="L1068" i="2"/>
  <c r="K1068" i="2"/>
  <c r="E1068" i="2"/>
  <c r="L1067" i="2"/>
  <c r="K1067" i="2"/>
  <c r="E1067" i="2"/>
  <c r="L1066" i="2"/>
  <c r="K1066" i="2"/>
  <c r="E1066" i="2"/>
  <c r="L1065" i="2"/>
  <c r="K1065" i="2"/>
  <c r="E1065" i="2"/>
  <c r="L1064" i="2"/>
  <c r="K1064" i="2"/>
  <c r="E1064" i="2"/>
  <c r="L1077" i="2"/>
  <c r="K1077" i="2"/>
  <c r="E1077" i="2"/>
  <c r="L1063" i="2"/>
  <c r="K1063" i="2"/>
  <c r="E1063" i="2"/>
  <c r="L1062" i="2"/>
  <c r="K1062" i="2"/>
  <c r="E1062" i="2"/>
  <c r="L1061" i="2"/>
  <c r="K1061" i="2"/>
  <c r="E1061" i="2"/>
  <c r="L1060" i="2"/>
  <c r="K1060" i="2"/>
  <c r="E1060" i="2"/>
  <c r="L1059" i="2"/>
  <c r="K1059" i="2"/>
  <c r="E1059" i="2"/>
  <c r="L1058" i="2"/>
  <c r="K1058" i="2"/>
  <c r="E1058" i="2"/>
  <c r="L1057" i="2"/>
  <c r="K1057" i="2"/>
  <c r="E1057" i="2"/>
  <c r="L1056" i="2"/>
  <c r="K1056" i="2"/>
  <c r="E1056" i="2"/>
  <c r="L1055" i="2"/>
  <c r="K1055" i="2"/>
  <c r="E1055" i="2"/>
  <c r="L1054" i="2"/>
  <c r="K1054" i="2"/>
  <c r="E1054" i="2"/>
  <c r="L1053" i="2"/>
  <c r="K1053" i="2"/>
  <c r="E1053" i="2"/>
  <c r="L1052" i="2"/>
  <c r="K1052" i="2"/>
  <c r="E1052" i="2"/>
  <c r="L1051" i="2"/>
  <c r="K1051" i="2"/>
  <c r="E1051" i="2"/>
  <c r="L1050" i="2"/>
  <c r="K1050" i="2"/>
  <c r="E1050" i="2"/>
  <c r="L1049" i="2"/>
  <c r="K1049" i="2"/>
  <c r="E1049" i="2"/>
  <c r="L1048" i="2"/>
  <c r="K1048" i="2"/>
  <c r="E1048" i="2"/>
  <c r="L1047" i="2"/>
  <c r="K1047" i="2"/>
  <c r="E1047" i="2"/>
  <c r="L1046" i="2"/>
  <c r="K1046" i="2"/>
  <c r="E1046" i="2"/>
  <c r="L1045" i="2"/>
  <c r="K1045" i="2"/>
  <c r="E1045" i="2"/>
  <c r="L1044" i="2"/>
  <c r="K1044" i="2"/>
  <c r="E1044" i="2"/>
  <c r="L1043" i="2"/>
  <c r="K1043" i="2"/>
  <c r="E1043" i="2"/>
  <c r="L1042" i="2"/>
  <c r="K1042" i="2"/>
  <c r="E1042" i="2"/>
  <c r="L1041" i="2"/>
  <c r="K1041" i="2"/>
  <c r="E1041" i="2"/>
  <c r="L1040" i="2"/>
  <c r="K1040" i="2"/>
  <c r="E1040" i="2"/>
  <c r="L1039" i="2"/>
  <c r="K1039" i="2"/>
  <c r="E1039" i="2"/>
  <c r="L1038" i="2"/>
  <c r="K1038" i="2"/>
  <c r="E1038" i="2"/>
  <c r="L1037" i="2"/>
  <c r="K1037" i="2"/>
  <c r="E1037" i="2"/>
  <c r="L1036" i="2"/>
  <c r="K1036" i="2"/>
  <c r="E1036" i="2"/>
  <c r="L1035" i="2"/>
  <c r="K1035" i="2"/>
  <c r="E1035" i="2"/>
  <c r="L1034" i="2"/>
  <c r="K1034" i="2"/>
  <c r="E1034" i="2"/>
  <c r="L1033" i="2"/>
  <c r="K1033" i="2"/>
  <c r="E1033" i="2"/>
  <c r="L1032" i="2"/>
  <c r="K1032" i="2"/>
  <c r="E1032" i="2"/>
  <c r="L1031" i="2"/>
  <c r="K1031" i="2"/>
  <c r="E1031" i="2"/>
  <c r="L1030" i="2"/>
  <c r="K1030" i="2"/>
  <c r="E1030" i="2"/>
  <c r="L1029" i="2"/>
  <c r="K1029" i="2"/>
  <c r="E1029" i="2"/>
  <c r="L1028" i="2"/>
  <c r="K1028" i="2"/>
  <c r="E1028" i="2"/>
  <c r="L1027" i="2"/>
  <c r="K1027" i="2"/>
  <c r="E1027" i="2"/>
  <c r="L1026" i="2"/>
  <c r="K1026" i="2"/>
  <c r="E1026" i="2"/>
  <c r="L1024" i="2"/>
  <c r="K1024" i="2"/>
  <c r="E1024" i="2"/>
  <c r="L1025" i="2"/>
  <c r="K1025" i="2"/>
  <c r="E1025" i="2"/>
  <c r="L1023" i="2"/>
  <c r="K1023" i="2"/>
  <c r="E1023" i="2"/>
  <c r="L1022" i="2"/>
  <c r="K1022" i="2"/>
  <c r="E1022" i="2"/>
  <c r="L1021" i="2"/>
  <c r="K1021" i="2"/>
  <c r="E1021" i="2"/>
  <c r="L1020" i="2"/>
  <c r="K1020" i="2"/>
  <c r="E1020" i="2"/>
  <c r="L1019" i="2"/>
  <c r="K1019" i="2"/>
  <c r="E1019" i="2"/>
  <c r="L1017" i="2"/>
  <c r="K1017" i="2"/>
  <c r="E1017" i="2"/>
  <c r="L1018" i="2"/>
  <c r="K1018" i="2"/>
  <c r="E1018" i="2"/>
  <c r="L1016" i="2"/>
  <c r="K1016" i="2"/>
  <c r="E1016" i="2"/>
  <c r="L1015" i="2"/>
  <c r="K1015" i="2"/>
  <c r="E1015" i="2"/>
  <c r="L1013" i="2"/>
  <c r="K1013" i="2"/>
  <c r="E1013" i="2"/>
  <c r="L1012" i="2"/>
  <c r="K1012" i="2"/>
  <c r="E1012" i="2"/>
  <c r="L1011" i="2"/>
  <c r="K1011" i="2"/>
  <c r="E1011" i="2"/>
  <c r="L1010" i="2"/>
  <c r="K1010" i="2"/>
  <c r="E1010" i="2"/>
  <c r="L1009" i="2"/>
  <c r="K1009" i="2"/>
  <c r="E1009" i="2"/>
  <c r="L1008" i="2"/>
  <c r="K1008" i="2"/>
  <c r="E1008" i="2"/>
  <c r="L1007" i="2"/>
  <c r="K1007" i="2"/>
  <c r="E1007" i="2"/>
  <c r="L1006" i="2"/>
  <c r="K1006" i="2"/>
  <c r="E1006" i="2"/>
  <c r="L1005" i="2"/>
  <c r="K1005" i="2"/>
  <c r="E1005" i="2"/>
  <c r="L1004" i="2"/>
  <c r="K1004" i="2"/>
  <c r="E1004" i="2"/>
  <c r="L1003" i="2"/>
  <c r="K1003" i="2"/>
  <c r="E1003" i="2"/>
  <c r="L1002" i="2"/>
  <c r="K1002" i="2"/>
  <c r="E1002" i="2"/>
  <c r="L1001" i="2"/>
  <c r="K1001" i="2"/>
  <c r="E1001" i="2"/>
  <c r="L1014" i="2"/>
  <c r="K1014" i="2"/>
  <c r="E1014" i="2"/>
  <c r="L1000" i="2"/>
  <c r="K1000" i="2"/>
  <c r="E1000" i="2"/>
  <c r="L991" i="2"/>
  <c r="K991" i="2"/>
  <c r="E991" i="2"/>
  <c r="L990" i="2"/>
  <c r="K990" i="2"/>
  <c r="E990" i="2"/>
  <c r="L989" i="2"/>
  <c r="K989" i="2"/>
  <c r="E989" i="2"/>
  <c r="L994" i="2"/>
  <c r="K994" i="2"/>
  <c r="E994" i="2"/>
  <c r="L993" i="2"/>
  <c r="K993" i="2"/>
  <c r="E993" i="2"/>
  <c r="L988" i="2"/>
  <c r="K988" i="2"/>
  <c r="E988" i="2"/>
  <c r="L992" i="2"/>
  <c r="K992" i="2"/>
  <c r="E992" i="2"/>
  <c r="L987" i="2"/>
  <c r="K987" i="2"/>
  <c r="E987" i="2"/>
  <c r="L986" i="2"/>
  <c r="K986" i="2"/>
  <c r="E986" i="2"/>
  <c r="L985" i="2"/>
  <c r="K985" i="2"/>
  <c r="E985" i="2"/>
  <c r="L981" i="2"/>
  <c r="K981" i="2"/>
  <c r="E981" i="2"/>
  <c r="L983" i="2"/>
  <c r="K983" i="2"/>
  <c r="E983" i="2"/>
  <c r="L982" i="2"/>
  <c r="K982" i="2"/>
  <c r="E982" i="2"/>
  <c r="L984" i="2"/>
  <c r="K984" i="2"/>
  <c r="E984" i="2"/>
  <c r="L980" i="2"/>
  <c r="K980" i="2"/>
  <c r="E980" i="2"/>
  <c r="L979" i="2"/>
  <c r="K979" i="2"/>
  <c r="E979" i="2"/>
  <c r="L978" i="2"/>
  <c r="K978" i="2"/>
  <c r="E978" i="2"/>
  <c r="L974" i="2"/>
  <c r="K974" i="2"/>
  <c r="E974" i="2"/>
  <c r="K977" i="2"/>
  <c r="J977" i="2"/>
  <c r="L977" i="2" s="1"/>
  <c r="E977" i="2"/>
  <c r="K976" i="2"/>
  <c r="J976" i="2"/>
  <c r="L976" i="2" s="1"/>
  <c r="E976" i="2"/>
  <c r="L975" i="2"/>
  <c r="K975" i="2"/>
  <c r="E975" i="2"/>
  <c r="L968" i="2"/>
  <c r="K968" i="2"/>
  <c r="E968" i="2"/>
  <c r="L967" i="2"/>
  <c r="K967" i="2"/>
  <c r="E967" i="2"/>
  <c r="L973" i="2"/>
  <c r="K973" i="2"/>
  <c r="E973" i="2"/>
  <c r="L972" i="2"/>
  <c r="K972" i="2"/>
  <c r="E972" i="2"/>
  <c r="L971" i="2"/>
  <c r="K971" i="2"/>
  <c r="E971" i="2"/>
  <c r="K970" i="2"/>
  <c r="J970" i="2"/>
  <c r="L970" i="2" s="1"/>
  <c r="E970" i="2"/>
  <c r="K969" i="2"/>
  <c r="J969" i="2"/>
  <c r="L969" i="2" s="1"/>
  <c r="E969" i="2"/>
  <c r="L958" i="2"/>
  <c r="K958" i="2"/>
  <c r="E958" i="2"/>
  <c r="L962" i="2"/>
  <c r="K962" i="2"/>
  <c r="E962" i="2"/>
  <c r="L961" i="2"/>
  <c r="K961" i="2"/>
  <c r="E961" i="2"/>
  <c r="L960" i="2"/>
  <c r="K960" i="2"/>
  <c r="E960" i="2"/>
  <c r="L959" i="2"/>
  <c r="K959" i="2"/>
  <c r="E959" i="2"/>
  <c r="L966" i="2"/>
  <c r="K966" i="2"/>
  <c r="E966" i="2"/>
  <c r="L965" i="2"/>
  <c r="K965" i="2"/>
  <c r="E965" i="2"/>
  <c r="L964" i="2"/>
  <c r="K964" i="2"/>
  <c r="E964" i="2"/>
  <c r="L963" i="2"/>
  <c r="K963" i="2"/>
  <c r="E963" i="2"/>
  <c r="L954" i="2"/>
  <c r="K954" i="2"/>
  <c r="E954" i="2"/>
  <c r="K953" i="2"/>
  <c r="J953" i="2"/>
  <c r="L953" i="2" s="1"/>
  <c r="E953" i="2"/>
  <c r="K952" i="2"/>
  <c r="J952" i="2"/>
  <c r="L952" i="2" s="1"/>
  <c r="E952" i="2"/>
  <c r="L957" i="2"/>
  <c r="K957" i="2"/>
  <c r="E957" i="2"/>
  <c r="L956" i="2"/>
  <c r="K956" i="2"/>
  <c r="E956" i="2"/>
  <c r="L955" i="2"/>
  <c r="K955" i="2"/>
  <c r="E955" i="2"/>
  <c r="L951" i="2"/>
  <c r="K951" i="2"/>
  <c r="E951" i="2"/>
  <c r="L950" i="2"/>
  <c r="K950" i="2"/>
  <c r="E950" i="2"/>
  <c r="L949" i="2"/>
  <c r="K949" i="2"/>
  <c r="E949" i="2"/>
  <c r="K947" i="2"/>
  <c r="J947" i="2"/>
  <c r="L947" i="2" s="1"/>
  <c r="E947" i="2"/>
  <c r="L946" i="2"/>
  <c r="K946" i="2"/>
  <c r="E946" i="2"/>
  <c r="L942" i="2"/>
  <c r="K942" i="2"/>
  <c r="E942" i="2"/>
  <c r="L945" i="2"/>
  <c r="K945" i="2"/>
  <c r="E945" i="2"/>
  <c r="L944" i="2"/>
  <c r="K944" i="2"/>
  <c r="E944" i="2"/>
  <c r="L943" i="2"/>
  <c r="K943" i="2"/>
  <c r="E943" i="2"/>
  <c r="L940" i="2"/>
  <c r="K940" i="2"/>
  <c r="E940" i="2"/>
  <c r="L939" i="2"/>
  <c r="K939" i="2"/>
  <c r="E939" i="2"/>
  <c r="K923" i="2"/>
  <c r="J923" i="2"/>
  <c r="L923" i="2" s="1"/>
  <c r="E923" i="2"/>
  <c r="K922" i="2"/>
  <c r="J922" i="2"/>
  <c r="L922" i="2" s="1"/>
  <c r="E922" i="2"/>
  <c r="L930" i="2"/>
  <c r="K930" i="2"/>
  <c r="E930" i="2"/>
  <c r="L929" i="2"/>
  <c r="K929" i="2"/>
  <c r="E929" i="2"/>
  <c r="L928" i="2"/>
  <c r="K928" i="2"/>
  <c r="E928" i="2"/>
  <c r="L927" i="2"/>
  <c r="K927" i="2"/>
  <c r="E927" i="2"/>
  <c r="L926" i="2"/>
  <c r="K926" i="2"/>
  <c r="E926" i="2"/>
  <c r="L938" i="2"/>
  <c r="K938" i="2"/>
  <c r="E938" i="2"/>
  <c r="L921" i="2"/>
  <c r="K921" i="2"/>
  <c r="E921" i="2"/>
  <c r="L920" i="2"/>
  <c r="K920" i="2"/>
  <c r="E920" i="2"/>
  <c r="L919" i="2"/>
  <c r="K919" i="2"/>
  <c r="E919" i="2"/>
  <c r="L931" i="2"/>
  <c r="K931" i="2"/>
  <c r="E931" i="2"/>
  <c r="L937" i="2"/>
  <c r="K937" i="2"/>
  <c r="E937" i="2"/>
  <c r="L936" i="2"/>
  <c r="K936" i="2"/>
  <c r="E936" i="2"/>
  <c r="L935" i="2"/>
  <c r="K935" i="2"/>
  <c r="E935" i="2"/>
  <c r="L925" i="2"/>
  <c r="K925" i="2"/>
  <c r="E925" i="2"/>
  <c r="L924" i="2"/>
  <c r="K924" i="2"/>
  <c r="E924" i="2"/>
  <c r="L934" i="2"/>
  <c r="K934" i="2"/>
  <c r="E934" i="2"/>
  <c r="L933" i="2"/>
  <c r="K933" i="2"/>
  <c r="E933" i="2"/>
  <c r="L932" i="2"/>
  <c r="K932" i="2"/>
  <c r="E932" i="2"/>
  <c r="L914" i="2"/>
  <c r="K914" i="2"/>
  <c r="E914" i="2"/>
  <c r="L913" i="2"/>
  <c r="K913" i="2"/>
  <c r="E913" i="2"/>
  <c r="K912" i="2"/>
  <c r="J912" i="2"/>
  <c r="L912" i="2" s="1"/>
  <c r="E912" i="2"/>
  <c r="L911" i="2"/>
  <c r="K911" i="2"/>
  <c r="E911" i="2"/>
  <c r="L910" i="2"/>
  <c r="K910" i="2"/>
  <c r="E910" i="2"/>
  <c r="L918" i="2"/>
  <c r="K918" i="2"/>
  <c r="E918" i="2"/>
  <c r="L917" i="2"/>
  <c r="K917" i="2"/>
  <c r="E917" i="2"/>
  <c r="L916" i="2"/>
  <c r="K916" i="2"/>
  <c r="E916" i="2"/>
  <c r="L915" i="2"/>
  <c r="K915" i="2"/>
  <c r="E915" i="2"/>
  <c r="L948" i="2"/>
  <c r="K948" i="2"/>
  <c r="E948" i="2"/>
  <c r="L884" i="2"/>
  <c r="K884" i="2"/>
  <c r="E884" i="2"/>
  <c r="K909" i="2"/>
  <c r="J909" i="2"/>
  <c r="L909" i="2" s="1"/>
  <c r="E909" i="2"/>
  <c r="L908" i="2"/>
  <c r="K908" i="2"/>
  <c r="E908" i="2"/>
  <c r="L902" i="2"/>
  <c r="K902" i="2"/>
  <c r="E902" i="2"/>
  <c r="L901" i="2"/>
  <c r="K901" i="2"/>
  <c r="E901" i="2"/>
  <c r="K904" i="2"/>
  <c r="J904" i="2"/>
  <c r="L904" i="2" s="1"/>
  <c r="E904" i="2"/>
  <c r="K903" i="2"/>
  <c r="J903" i="2"/>
  <c r="L903" i="2" s="1"/>
  <c r="E903" i="2"/>
  <c r="L907" i="2"/>
  <c r="K907" i="2"/>
  <c r="E907" i="2"/>
  <c r="L906" i="2"/>
  <c r="K906" i="2"/>
  <c r="E906" i="2"/>
  <c r="L905" i="2"/>
  <c r="K905" i="2"/>
  <c r="E905" i="2"/>
  <c r="L900" i="2"/>
  <c r="K900" i="2"/>
  <c r="E900" i="2"/>
  <c r="L895" i="2"/>
  <c r="K895" i="2"/>
  <c r="E895" i="2"/>
  <c r="L894" i="2"/>
  <c r="K894" i="2"/>
  <c r="E894" i="2"/>
  <c r="L896" i="2"/>
  <c r="K896" i="2"/>
  <c r="E896" i="2"/>
  <c r="L899" i="2"/>
  <c r="K899" i="2"/>
  <c r="E899" i="2"/>
  <c r="L898" i="2"/>
  <c r="K898" i="2"/>
  <c r="E898" i="2"/>
  <c r="L897" i="2"/>
  <c r="K897" i="2"/>
  <c r="E897" i="2"/>
  <c r="L889" i="2"/>
  <c r="K889" i="2"/>
  <c r="E889" i="2"/>
  <c r="L890" i="2"/>
  <c r="K890" i="2"/>
  <c r="E890" i="2"/>
  <c r="L893" i="2"/>
  <c r="K893" i="2"/>
  <c r="E893" i="2"/>
  <c r="L892" i="2"/>
  <c r="K892" i="2"/>
  <c r="E892" i="2"/>
  <c r="L891" i="2"/>
  <c r="K891" i="2"/>
  <c r="E891" i="2"/>
  <c r="L886" i="2"/>
  <c r="K886" i="2"/>
  <c r="E886" i="2"/>
  <c r="L876" i="2"/>
  <c r="K876" i="2"/>
  <c r="E876" i="2"/>
  <c r="L885" i="2"/>
  <c r="K885" i="2"/>
  <c r="E885" i="2"/>
  <c r="L880" i="2"/>
  <c r="K880" i="2"/>
  <c r="E880" i="2"/>
  <c r="L879" i="2"/>
  <c r="K879" i="2"/>
  <c r="E879" i="2"/>
  <c r="L878" i="2"/>
  <c r="K878" i="2"/>
  <c r="E878" i="2"/>
  <c r="L877" i="2"/>
  <c r="K877" i="2"/>
  <c r="E877" i="2"/>
  <c r="L883" i="2"/>
  <c r="K883" i="2"/>
  <c r="E883" i="2"/>
  <c r="L888" i="2"/>
  <c r="K888" i="2"/>
  <c r="E888" i="2"/>
  <c r="L887" i="2"/>
  <c r="K887" i="2"/>
  <c r="E887" i="2"/>
  <c r="K882" i="2"/>
  <c r="J882" i="2"/>
  <c r="L882" i="2" s="1"/>
  <c r="E882" i="2"/>
  <c r="L881" i="2"/>
  <c r="K881" i="2"/>
  <c r="E881" i="2"/>
  <c r="L872" i="2"/>
  <c r="K872" i="2"/>
  <c r="E872" i="2"/>
  <c r="L871" i="2"/>
  <c r="K871" i="2"/>
  <c r="E871" i="2"/>
  <c r="K870" i="2"/>
  <c r="J870" i="2"/>
  <c r="L870" i="2" s="1"/>
  <c r="E870" i="2"/>
  <c r="K869" i="2"/>
  <c r="J869" i="2"/>
  <c r="L869" i="2" s="1"/>
  <c r="E869" i="2"/>
  <c r="K874" i="2"/>
  <c r="J874" i="2"/>
  <c r="L874" i="2" s="1"/>
  <c r="E874" i="2"/>
  <c r="K873" i="2"/>
  <c r="J873" i="2"/>
  <c r="L873" i="2" s="1"/>
  <c r="E873" i="2"/>
  <c r="L875" i="2"/>
  <c r="K875" i="2"/>
  <c r="E875" i="2"/>
  <c r="L863" i="2"/>
  <c r="K863" i="2"/>
  <c r="E863" i="2"/>
  <c r="K856" i="2"/>
  <c r="J856" i="2"/>
  <c r="L856" i="2" s="1"/>
  <c r="E856" i="2"/>
  <c r="L855" i="2"/>
  <c r="K855" i="2"/>
  <c r="E855" i="2"/>
  <c r="L862" i="2"/>
  <c r="K862" i="2"/>
  <c r="E862" i="2"/>
  <c r="L861" i="2"/>
  <c r="K861" i="2"/>
  <c r="E861" i="2"/>
  <c r="L860" i="2"/>
  <c r="K860" i="2"/>
  <c r="E860" i="2"/>
  <c r="L857" i="2"/>
  <c r="K857" i="2"/>
  <c r="E857" i="2"/>
  <c r="L859" i="2"/>
  <c r="K859" i="2"/>
  <c r="E859" i="2"/>
  <c r="L868" i="2"/>
  <c r="K868" i="2"/>
  <c r="E868" i="2"/>
  <c r="L867" i="2"/>
  <c r="K867" i="2"/>
  <c r="E867" i="2"/>
  <c r="L866" i="2"/>
  <c r="K866" i="2"/>
  <c r="E866" i="2"/>
  <c r="L865" i="2"/>
  <c r="K865" i="2"/>
  <c r="E865" i="2"/>
  <c r="L858" i="2"/>
  <c r="K858" i="2"/>
  <c r="E858" i="2"/>
  <c r="L864" i="2"/>
  <c r="K864" i="2"/>
  <c r="E864" i="2"/>
  <c r="K854" i="2"/>
  <c r="J854" i="2"/>
  <c r="L854" i="2" s="1"/>
  <c r="E854" i="2"/>
  <c r="L853" i="2"/>
  <c r="K853" i="2"/>
  <c r="E853" i="2"/>
  <c r="L852" i="2"/>
  <c r="K852" i="2"/>
  <c r="E852" i="2"/>
  <c r="L851" i="2"/>
  <c r="K851" i="2"/>
  <c r="E851" i="2"/>
  <c r="L850" i="2"/>
  <c r="K850" i="2"/>
  <c r="E850" i="2"/>
  <c r="L849" i="2"/>
  <c r="K849" i="2"/>
  <c r="E849" i="2"/>
  <c r="L848" i="2"/>
  <c r="K848" i="2"/>
  <c r="E848" i="2"/>
  <c r="K842" i="2"/>
  <c r="J842" i="2"/>
  <c r="L842" i="2" s="1"/>
  <c r="E842" i="2"/>
  <c r="L841" i="2"/>
  <c r="K841" i="2"/>
  <c r="E841" i="2"/>
  <c r="L844" i="2"/>
  <c r="K844" i="2"/>
  <c r="E844" i="2"/>
  <c r="L843" i="2"/>
  <c r="K843" i="2"/>
  <c r="E843" i="2"/>
  <c r="L847" i="2"/>
  <c r="K847" i="2"/>
  <c r="E847" i="2"/>
  <c r="L846" i="2"/>
  <c r="K846" i="2"/>
  <c r="E846" i="2"/>
  <c r="L845" i="2"/>
  <c r="K845" i="2"/>
  <c r="E845" i="2"/>
  <c r="L837" i="2"/>
  <c r="K837" i="2"/>
  <c r="E837" i="2"/>
  <c r="L839" i="2"/>
  <c r="K839" i="2"/>
  <c r="E839" i="2"/>
  <c r="L830" i="2"/>
  <c r="K830" i="2"/>
  <c r="E830" i="2"/>
  <c r="L829" i="2"/>
  <c r="K829" i="2"/>
  <c r="E829" i="2"/>
  <c r="K828" i="2"/>
  <c r="J828" i="2"/>
  <c r="L828" i="2" s="1"/>
  <c r="E828" i="2"/>
  <c r="L840" i="2"/>
  <c r="K840" i="2"/>
  <c r="E840" i="2"/>
  <c r="L838" i="2"/>
  <c r="K838" i="2"/>
  <c r="E838" i="2"/>
  <c r="L836" i="2"/>
  <c r="K836" i="2"/>
  <c r="E836" i="2"/>
  <c r="L835" i="2"/>
  <c r="K835" i="2"/>
  <c r="E835" i="2"/>
  <c r="K834" i="2"/>
  <c r="J834" i="2"/>
  <c r="L834" i="2" s="1"/>
  <c r="E834" i="2"/>
  <c r="L833" i="2"/>
  <c r="K833" i="2"/>
  <c r="E833" i="2"/>
  <c r="L832" i="2"/>
  <c r="K832" i="2"/>
  <c r="E832" i="2"/>
  <c r="L831" i="2"/>
  <c r="K831" i="2"/>
  <c r="E831" i="2"/>
  <c r="L826" i="2"/>
  <c r="K826" i="2"/>
  <c r="E826" i="2"/>
  <c r="L827" i="2"/>
  <c r="K827" i="2"/>
  <c r="E827" i="2"/>
  <c r="L825" i="2"/>
  <c r="K825" i="2"/>
  <c r="E825" i="2"/>
  <c r="L816" i="2"/>
  <c r="K816" i="2"/>
  <c r="E816" i="2"/>
  <c r="L824" i="2"/>
  <c r="K824" i="2"/>
  <c r="E824" i="2"/>
  <c r="K819" i="2"/>
  <c r="J819" i="2"/>
  <c r="L819" i="2" s="1"/>
  <c r="E819" i="2"/>
  <c r="L818" i="2"/>
  <c r="K818" i="2"/>
  <c r="E818" i="2"/>
  <c r="L817" i="2"/>
  <c r="K817" i="2"/>
  <c r="E817" i="2"/>
  <c r="L823" i="2"/>
  <c r="K823" i="2"/>
  <c r="E823" i="2"/>
  <c r="L815" i="2"/>
  <c r="K815" i="2"/>
  <c r="E815" i="2"/>
  <c r="L814" i="2"/>
  <c r="K814" i="2"/>
  <c r="E814" i="2"/>
  <c r="L822" i="2"/>
  <c r="K822" i="2"/>
  <c r="E822" i="2"/>
  <c r="K821" i="2"/>
  <c r="J821" i="2"/>
  <c r="L821" i="2" s="1"/>
  <c r="E821" i="2"/>
  <c r="L820" i="2"/>
  <c r="K820" i="2"/>
  <c r="E820" i="2"/>
  <c r="L795" i="2"/>
  <c r="K795" i="2"/>
  <c r="E795" i="2"/>
  <c r="K797" i="2"/>
  <c r="J797" i="2"/>
  <c r="L797" i="2" s="1"/>
  <c r="E797" i="2"/>
  <c r="K796" i="2"/>
  <c r="J796" i="2"/>
  <c r="L796" i="2" s="1"/>
  <c r="E796" i="2"/>
  <c r="L811" i="2"/>
  <c r="K811" i="2"/>
  <c r="E811" i="2"/>
  <c r="L810" i="2"/>
  <c r="K810" i="2"/>
  <c r="E810" i="2"/>
  <c r="L809" i="2"/>
  <c r="K809" i="2"/>
  <c r="E809" i="2"/>
  <c r="L808" i="2"/>
  <c r="K808" i="2"/>
  <c r="E808" i="2"/>
  <c r="L807" i="2"/>
  <c r="K807" i="2"/>
  <c r="E807" i="2"/>
  <c r="L806" i="2"/>
  <c r="K806" i="2"/>
  <c r="E806" i="2"/>
  <c r="L805" i="2"/>
  <c r="K805" i="2"/>
  <c r="E805" i="2"/>
  <c r="L813" i="2"/>
  <c r="K813" i="2"/>
  <c r="E813" i="2"/>
  <c r="L812" i="2"/>
  <c r="K812" i="2"/>
  <c r="E812" i="2"/>
  <c r="L804" i="2"/>
  <c r="K804" i="2"/>
  <c r="E804" i="2"/>
  <c r="L803" i="2"/>
  <c r="K803" i="2"/>
  <c r="E803" i="2"/>
  <c r="L802" i="2"/>
  <c r="K802" i="2"/>
  <c r="E802" i="2"/>
  <c r="L801" i="2"/>
  <c r="K801" i="2"/>
  <c r="E801" i="2"/>
  <c r="L800" i="2"/>
  <c r="K800" i="2"/>
  <c r="E800" i="2"/>
  <c r="L799" i="2"/>
  <c r="K799" i="2"/>
  <c r="E799" i="2"/>
  <c r="L798" i="2"/>
  <c r="K798" i="2"/>
  <c r="E798" i="2"/>
  <c r="L794" i="2"/>
  <c r="K794" i="2"/>
  <c r="E794" i="2"/>
  <c r="L784" i="2"/>
  <c r="K784" i="2"/>
  <c r="E784" i="2"/>
  <c r="L793" i="2"/>
  <c r="K793" i="2"/>
  <c r="E793" i="2"/>
  <c r="L790" i="2"/>
  <c r="K790" i="2"/>
  <c r="E790" i="2"/>
  <c r="L789" i="2"/>
  <c r="K789" i="2"/>
  <c r="E789" i="2"/>
  <c r="K788" i="2"/>
  <c r="J788" i="2"/>
  <c r="L788" i="2" s="1"/>
  <c r="E788" i="2"/>
  <c r="L787" i="2"/>
  <c r="K787" i="2"/>
  <c r="E787" i="2"/>
  <c r="K786" i="2"/>
  <c r="J786" i="2"/>
  <c r="L786" i="2" s="1"/>
  <c r="E786" i="2"/>
  <c r="L785" i="2"/>
  <c r="K785" i="2"/>
  <c r="E785" i="2"/>
  <c r="L792" i="2"/>
  <c r="K792" i="2"/>
  <c r="E792" i="2"/>
  <c r="L791" i="2"/>
  <c r="K791" i="2"/>
  <c r="E791" i="2"/>
  <c r="L783" i="2"/>
  <c r="K783" i="2"/>
  <c r="E783" i="2"/>
  <c r="L782" i="2"/>
  <c r="K782" i="2"/>
  <c r="E782" i="2"/>
  <c r="L781" i="2"/>
  <c r="K781" i="2"/>
  <c r="E781" i="2"/>
  <c r="L780" i="2"/>
  <c r="K780" i="2"/>
  <c r="E780" i="2"/>
  <c r="L777" i="2"/>
  <c r="K777" i="2"/>
  <c r="E777" i="2"/>
  <c r="L779" i="2"/>
  <c r="K779" i="2"/>
  <c r="L776" i="2"/>
  <c r="K776" i="2"/>
  <c r="E776" i="2"/>
  <c r="L775" i="2"/>
  <c r="K775" i="2"/>
  <c r="E775" i="2"/>
  <c r="L774" i="2"/>
  <c r="K774" i="2"/>
  <c r="E774" i="2"/>
  <c r="L773" i="2"/>
  <c r="K773" i="2"/>
  <c r="E773" i="2"/>
  <c r="L778" i="2"/>
  <c r="K778" i="2"/>
  <c r="E778" i="2"/>
  <c r="L770" i="2"/>
  <c r="K770" i="2"/>
  <c r="E770" i="2"/>
  <c r="L769" i="2"/>
  <c r="K769" i="2"/>
  <c r="E769" i="2"/>
  <c r="L768" i="2"/>
  <c r="K768" i="2"/>
  <c r="E768" i="2"/>
  <c r="K772" i="2"/>
  <c r="J772" i="2"/>
  <c r="L772" i="2" s="1"/>
  <c r="E772" i="2"/>
  <c r="L771" i="2"/>
  <c r="K771" i="2"/>
  <c r="E771" i="2"/>
  <c r="L767" i="2"/>
  <c r="K767" i="2"/>
  <c r="E767" i="2"/>
  <c r="L763" i="2"/>
  <c r="K763" i="2"/>
  <c r="E763" i="2"/>
  <c r="L764" i="2"/>
  <c r="K764" i="2"/>
  <c r="E764" i="2"/>
  <c r="L766" i="2"/>
  <c r="K766" i="2"/>
  <c r="E766" i="2"/>
  <c r="L765" i="2"/>
  <c r="K765" i="2"/>
  <c r="E765" i="2"/>
  <c r="K762" i="2"/>
  <c r="J762" i="2"/>
  <c r="L762" i="2" s="1"/>
  <c r="E762" i="2"/>
  <c r="K761" i="2"/>
  <c r="J761" i="2"/>
  <c r="L761" i="2" s="1"/>
  <c r="E761" i="2"/>
  <c r="K760" i="2"/>
  <c r="J760" i="2"/>
  <c r="L760" i="2" s="1"/>
  <c r="E760" i="2"/>
  <c r="K759" i="2"/>
  <c r="J759" i="2"/>
  <c r="L759" i="2" s="1"/>
  <c r="E759" i="2"/>
  <c r="L758" i="2"/>
  <c r="K758" i="2"/>
  <c r="E758" i="2"/>
  <c r="L751" i="2"/>
  <c r="K751" i="2"/>
  <c r="E751" i="2"/>
  <c r="L750" i="2"/>
  <c r="K750" i="2"/>
  <c r="E750" i="2"/>
  <c r="L749" i="2"/>
  <c r="K749" i="2"/>
  <c r="E749" i="2"/>
  <c r="L757" i="2"/>
  <c r="K757" i="2"/>
  <c r="E757" i="2"/>
  <c r="L756" i="2"/>
  <c r="K756" i="2"/>
  <c r="E756" i="2"/>
  <c r="K748" i="2"/>
  <c r="J748" i="2"/>
  <c r="L748" i="2" s="1"/>
  <c r="E748" i="2"/>
  <c r="K747" i="2"/>
  <c r="J747" i="2"/>
  <c r="L747" i="2" s="1"/>
  <c r="E747" i="2"/>
  <c r="L755" i="2"/>
  <c r="K755" i="2"/>
  <c r="E755" i="2"/>
  <c r="L754" i="2"/>
  <c r="K754" i="2"/>
  <c r="E754" i="2"/>
  <c r="L753" i="2"/>
  <c r="K753" i="2"/>
  <c r="E753" i="2"/>
  <c r="L752" i="2"/>
  <c r="K752" i="2"/>
  <c r="E752" i="2"/>
  <c r="L743" i="2"/>
  <c r="K743" i="2"/>
  <c r="E743" i="2"/>
  <c r="L746" i="2"/>
  <c r="K746" i="2"/>
  <c r="E746" i="2"/>
  <c r="L744" i="2"/>
  <c r="K744" i="2"/>
  <c r="E744" i="2"/>
  <c r="L742" i="2"/>
  <c r="K742" i="2"/>
  <c r="E742" i="2"/>
  <c r="L745" i="2"/>
  <c r="K745" i="2"/>
  <c r="E745" i="2"/>
  <c r="L740" i="2"/>
  <c r="K740" i="2"/>
  <c r="E740" i="2"/>
  <c r="K739" i="2"/>
  <c r="J739" i="2"/>
  <c r="L739" i="2" s="1"/>
  <c r="E739" i="2"/>
  <c r="L738" i="2"/>
  <c r="K738" i="2"/>
  <c r="E738" i="2"/>
  <c r="K737" i="2"/>
  <c r="J737" i="2"/>
  <c r="L737" i="2" s="1"/>
  <c r="E737" i="2"/>
  <c r="L736" i="2"/>
  <c r="K736" i="2"/>
  <c r="E736" i="2"/>
  <c r="K735" i="2"/>
  <c r="J735" i="2"/>
  <c r="L735" i="2" s="1"/>
  <c r="E735" i="2"/>
  <c r="L734" i="2"/>
  <c r="K734" i="2"/>
  <c r="E734" i="2"/>
  <c r="L733" i="2"/>
  <c r="K733" i="2"/>
  <c r="E733" i="2"/>
  <c r="K732" i="2"/>
  <c r="J732" i="2"/>
  <c r="L732" i="2" s="1"/>
  <c r="E732" i="2"/>
  <c r="L731" i="2"/>
  <c r="K731" i="2"/>
  <c r="E731" i="2"/>
  <c r="K730" i="2"/>
  <c r="J730" i="2"/>
  <c r="L730" i="2" s="1"/>
  <c r="E730" i="2"/>
  <c r="L741" i="2"/>
  <c r="K741" i="2"/>
  <c r="E741" i="2"/>
  <c r="L728" i="2"/>
  <c r="K728" i="2"/>
  <c r="E728" i="2"/>
  <c r="L727" i="2"/>
  <c r="K727" i="2"/>
  <c r="E727" i="2"/>
  <c r="L726" i="2"/>
  <c r="K726" i="2"/>
  <c r="E726" i="2"/>
  <c r="L725" i="2"/>
  <c r="K725" i="2"/>
  <c r="E725" i="2"/>
  <c r="L729" i="2"/>
  <c r="K729" i="2"/>
  <c r="E729" i="2"/>
  <c r="L724" i="2"/>
  <c r="K724" i="2"/>
  <c r="E724" i="2"/>
  <c r="K717" i="2"/>
  <c r="J717" i="2"/>
  <c r="L717" i="2" s="1"/>
  <c r="E717" i="2"/>
  <c r="L716" i="2"/>
  <c r="K716" i="2"/>
  <c r="E716" i="2"/>
  <c r="L715" i="2"/>
  <c r="K715" i="2"/>
  <c r="E715" i="2"/>
  <c r="L714" i="2"/>
  <c r="K714" i="2"/>
  <c r="E714" i="2"/>
  <c r="L723" i="2"/>
  <c r="K723" i="2"/>
  <c r="E723" i="2"/>
  <c r="L713" i="2"/>
  <c r="K713" i="2"/>
  <c r="E713" i="2"/>
  <c r="L712" i="2"/>
  <c r="K712" i="2"/>
  <c r="E712" i="2"/>
  <c r="L711" i="2"/>
  <c r="K711" i="2"/>
  <c r="E711" i="2"/>
  <c r="L710" i="2"/>
  <c r="K710" i="2"/>
  <c r="E710" i="2"/>
  <c r="L709" i="2"/>
  <c r="K709" i="2"/>
  <c r="E709" i="2"/>
  <c r="L708" i="2"/>
  <c r="K708" i="2"/>
  <c r="E708" i="2"/>
  <c r="L722" i="2"/>
  <c r="K722" i="2"/>
  <c r="E722" i="2"/>
  <c r="L721" i="2"/>
  <c r="K721" i="2"/>
  <c r="E721" i="2"/>
  <c r="L720" i="2"/>
  <c r="K720" i="2"/>
  <c r="E720" i="2"/>
  <c r="L719" i="2"/>
  <c r="K719" i="2"/>
  <c r="E719" i="2"/>
  <c r="L718" i="2"/>
  <c r="K718" i="2"/>
  <c r="E718" i="2"/>
  <c r="L706" i="2"/>
  <c r="K706" i="2"/>
  <c r="E706" i="2"/>
  <c r="L705" i="2"/>
  <c r="K705" i="2"/>
  <c r="E705" i="2"/>
  <c r="L704" i="2"/>
  <c r="K704" i="2"/>
  <c r="E704" i="2"/>
  <c r="L703" i="2"/>
  <c r="K703" i="2"/>
  <c r="E703" i="2"/>
  <c r="L702" i="2"/>
  <c r="K702" i="2"/>
  <c r="E702" i="2"/>
  <c r="L701" i="2"/>
  <c r="K701" i="2"/>
  <c r="E701" i="2"/>
  <c r="L700" i="2"/>
  <c r="K700" i="2"/>
  <c r="E700" i="2"/>
  <c r="L699" i="2"/>
  <c r="K699" i="2"/>
  <c r="E699" i="2"/>
  <c r="L698" i="2"/>
  <c r="K698" i="2"/>
  <c r="E698" i="2"/>
  <c r="L707" i="2"/>
  <c r="K707" i="2"/>
  <c r="E707" i="2"/>
  <c r="L697" i="2"/>
  <c r="K697" i="2"/>
  <c r="E697" i="2"/>
  <c r="L692" i="2"/>
  <c r="K692" i="2"/>
  <c r="E692" i="2"/>
  <c r="L691" i="2"/>
  <c r="K691" i="2"/>
  <c r="E691" i="2"/>
  <c r="L690" i="2"/>
  <c r="K690" i="2"/>
  <c r="E690" i="2"/>
  <c r="L696" i="2"/>
  <c r="K696" i="2"/>
  <c r="E696" i="2"/>
  <c r="L695" i="2"/>
  <c r="K695" i="2"/>
  <c r="E695" i="2"/>
  <c r="L694" i="2"/>
  <c r="K694" i="2"/>
  <c r="E694" i="2"/>
  <c r="L693" i="2"/>
  <c r="K693" i="2"/>
  <c r="E693" i="2"/>
  <c r="L688" i="2"/>
  <c r="K688" i="2"/>
  <c r="E688" i="2"/>
  <c r="K687" i="2"/>
  <c r="J687" i="2"/>
  <c r="L687" i="2" s="1"/>
  <c r="E687" i="2"/>
  <c r="L686" i="2"/>
  <c r="K686" i="2"/>
  <c r="E686" i="2"/>
  <c r="L689" i="2"/>
  <c r="K689" i="2"/>
  <c r="E689" i="2"/>
  <c r="L684" i="2"/>
  <c r="K684" i="2"/>
  <c r="E684" i="2"/>
  <c r="L685" i="2"/>
  <c r="K685" i="2"/>
  <c r="E685" i="2"/>
  <c r="L683" i="2"/>
  <c r="K683" i="2"/>
  <c r="E683" i="2"/>
  <c r="L678" i="2"/>
  <c r="K678" i="2"/>
  <c r="E678" i="2"/>
  <c r="L677" i="2"/>
  <c r="K677" i="2"/>
  <c r="E677" i="2"/>
  <c r="K676" i="2"/>
  <c r="J676" i="2"/>
  <c r="L676" i="2" s="1"/>
  <c r="E676" i="2"/>
  <c r="K675" i="2"/>
  <c r="J675" i="2"/>
  <c r="L675" i="2" s="1"/>
  <c r="E675" i="2"/>
  <c r="L674" i="2"/>
  <c r="K674" i="2"/>
  <c r="E674" i="2"/>
  <c r="L679" i="2"/>
  <c r="K679" i="2"/>
  <c r="E679" i="2"/>
  <c r="L673" i="2"/>
  <c r="K673" i="2"/>
  <c r="E673" i="2"/>
  <c r="L682" i="2"/>
  <c r="K682" i="2"/>
  <c r="E682" i="2"/>
  <c r="L681" i="2"/>
  <c r="K681" i="2"/>
  <c r="E681" i="2"/>
  <c r="L680" i="2"/>
  <c r="K680" i="2"/>
  <c r="E680" i="2"/>
  <c r="L670" i="2"/>
  <c r="K670" i="2"/>
  <c r="E670" i="2"/>
  <c r="L669" i="2"/>
  <c r="K669" i="2"/>
  <c r="E669" i="2"/>
  <c r="L668" i="2"/>
  <c r="K668" i="2"/>
  <c r="E668" i="2"/>
  <c r="L667" i="2"/>
  <c r="K667" i="2"/>
  <c r="E667" i="2"/>
  <c r="L666" i="2"/>
  <c r="K666" i="2"/>
  <c r="E666" i="2"/>
  <c r="L665" i="2"/>
  <c r="K665" i="2"/>
  <c r="E665" i="2"/>
  <c r="L664" i="2"/>
  <c r="K664" i="2"/>
  <c r="E664" i="2"/>
  <c r="L671" i="2"/>
  <c r="K671" i="2"/>
  <c r="E671" i="2"/>
  <c r="L672" i="2"/>
  <c r="K672" i="2"/>
  <c r="E672" i="2"/>
  <c r="L661" i="2"/>
  <c r="K661" i="2"/>
  <c r="E661" i="2"/>
  <c r="K659" i="2"/>
  <c r="J659" i="2"/>
  <c r="L659" i="2" s="1"/>
  <c r="E659" i="2"/>
  <c r="L658" i="2"/>
  <c r="K658" i="2"/>
  <c r="E658" i="2"/>
  <c r="L657" i="2"/>
  <c r="K657" i="2"/>
  <c r="E657" i="2"/>
  <c r="L660" i="2"/>
  <c r="K660" i="2"/>
  <c r="E660" i="2"/>
  <c r="L663" i="2"/>
  <c r="K663" i="2"/>
  <c r="E663" i="2"/>
  <c r="L662" i="2"/>
  <c r="K662" i="2"/>
  <c r="E662" i="2"/>
  <c r="L645" i="2"/>
  <c r="K645" i="2"/>
  <c r="E645" i="2"/>
  <c r="L644" i="2"/>
  <c r="K644" i="2"/>
  <c r="E644" i="2"/>
  <c r="L643" i="2"/>
  <c r="K643" i="2"/>
  <c r="E643" i="2"/>
  <c r="L656" i="2"/>
  <c r="K656" i="2"/>
  <c r="E656" i="2"/>
  <c r="L655" i="2"/>
  <c r="K655" i="2"/>
  <c r="E655" i="2"/>
  <c r="L654" i="2"/>
  <c r="K654" i="2"/>
  <c r="E654" i="2"/>
  <c r="L653" i="2"/>
  <c r="K653" i="2"/>
  <c r="E653" i="2"/>
  <c r="L652" i="2"/>
  <c r="K652" i="2"/>
  <c r="E652" i="2"/>
  <c r="L651" i="2"/>
  <c r="K651" i="2"/>
  <c r="E651" i="2"/>
  <c r="L650" i="2"/>
  <c r="K650" i="2"/>
  <c r="E650" i="2"/>
  <c r="L649" i="2"/>
  <c r="K649" i="2"/>
  <c r="E649" i="2"/>
  <c r="K648" i="2"/>
  <c r="J648" i="2"/>
  <c r="L648" i="2" s="1"/>
  <c r="E648" i="2"/>
  <c r="L647" i="2"/>
  <c r="K647" i="2"/>
  <c r="E647" i="2"/>
  <c r="L646" i="2"/>
  <c r="K646" i="2"/>
  <c r="E646" i="2"/>
  <c r="L640" i="2"/>
  <c r="K640" i="2"/>
  <c r="E640" i="2"/>
  <c r="L639" i="2"/>
  <c r="K639" i="2"/>
  <c r="E639" i="2"/>
  <c r="K632" i="2"/>
  <c r="J632" i="2"/>
  <c r="L632" i="2" s="1"/>
  <c r="E632" i="2"/>
  <c r="L631" i="2"/>
  <c r="K631" i="2"/>
  <c r="E631" i="2"/>
  <c r="L638" i="2"/>
  <c r="K638" i="2"/>
  <c r="E638" i="2"/>
  <c r="L637" i="2"/>
  <c r="K637" i="2"/>
  <c r="E637" i="2"/>
  <c r="L636" i="2"/>
  <c r="K636" i="2"/>
  <c r="E636" i="2"/>
  <c r="L641" i="2"/>
  <c r="K641" i="2"/>
  <c r="E641" i="2"/>
  <c r="L635" i="2"/>
  <c r="K635" i="2"/>
  <c r="E635" i="2"/>
  <c r="L642" i="2"/>
  <c r="K642" i="2"/>
  <c r="E642" i="2"/>
  <c r="L634" i="2"/>
  <c r="K634" i="2"/>
  <c r="E634" i="2"/>
  <c r="L633" i="2"/>
  <c r="K633" i="2"/>
  <c r="E633" i="2"/>
  <c r="L628" i="2"/>
  <c r="K628" i="2"/>
  <c r="E628" i="2"/>
  <c r="L627" i="2"/>
  <c r="K627" i="2"/>
  <c r="E627" i="2"/>
  <c r="L626" i="2"/>
  <c r="K626" i="2"/>
  <c r="E626" i="2"/>
  <c r="L629" i="2"/>
  <c r="K629" i="2"/>
  <c r="E629" i="2"/>
  <c r="L630" i="2"/>
  <c r="K630" i="2"/>
  <c r="E630" i="2"/>
  <c r="L625" i="2"/>
  <c r="K625" i="2"/>
  <c r="E625" i="2"/>
  <c r="K623" i="2"/>
  <c r="J623" i="2"/>
  <c r="L623" i="2" s="1"/>
  <c r="E623" i="2"/>
  <c r="L624" i="2"/>
  <c r="K624" i="2"/>
  <c r="E624" i="2"/>
  <c r="L622" i="2"/>
  <c r="K622" i="2"/>
  <c r="E622" i="2"/>
  <c r="L621" i="2"/>
  <c r="K621" i="2"/>
  <c r="E621" i="2"/>
  <c r="L620" i="2"/>
  <c r="K620" i="2"/>
  <c r="E620" i="2"/>
  <c r="L618" i="2"/>
  <c r="K618" i="2"/>
  <c r="E618" i="2"/>
  <c r="L619" i="2"/>
  <c r="K619" i="2"/>
  <c r="E619" i="2"/>
  <c r="L616" i="2"/>
  <c r="K616" i="2"/>
  <c r="E616" i="2"/>
  <c r="L617" i="2"/>
  <c r="K617" i="2"/>
  <c r="E617" i="2"/>
  <c r="L615" i="2"/>
  <c r="K615" i="2"/>
  <c r="E615" i="2"/>
  <c r="L614" i="2"/>
  <c r="K614" i="2"/>
  <c r="E614" i="2"/>
  <c r="L613" i="2"/>
  <c r="K613" i="2"/>
  <c r="E613" i="2"/>
  <c r="L611" i="2"/>
  <c r="K611" i="2"/>
  <c r="E611" i="2"/>
  <c r="L610" i="2"/>
  <c r="K610" i="2"/>
  <c r="E610" i="2"/>
  <c r="L609" i="2"/>
  <c r="K609" i="2"/>
  <c r="E609" i="2"/>
  <c r="L608" i="2"/>
  <c r="K608" i="2"/>
  <c r="E608" i="2"/>
  <c r="L612" i="2"/>
  <c r="K612" i="2"/>
  <c r="E612" i="2"/>
  <c r="L607" i="2"/>
  <c r="K607" i="2"/>
  <c r="E607" i="2"/>
  <c r="L604" i="2"/>
  <c r="K604" i="2"/>
  <c r="E604" i="2"/>
  <c r="L606" i="2"/>
  <c r="K606" i="2"/>
  <c r="E606" i="2"/>
  <c r="L597" i="2"/>
  <c r="K597" i="2"/>
  <c r="E597" i="2"/>
  <c r="K600" i="2"/>
  <c r="J600" i="2"/>
  <c r="L600" i="2" s="1"/>
  <c r="E600" i="2"/>
  <c r="K599" i="2"/>
  <c r="J599" i="2"/>
  <c r="L599" i="2" s="1"/>
  <c r="E599" i="2"/>
  <c r="K598" i="2"/>
  <c r="J598" i="2"/>
  <c r="L598" i="2" s="1"/>
  <c r="E598" i="2"/>
  <c r="L603" i="2"/>
  <c r="K603" i="2"/>
  <c r="E603" i="2"/>
  <c r="L605" i="2"/>
  <c r="K605" i="2"/>
  <c r="E605" i="2"/>
  <c r="K602" i="2"/>
  <c r="J602" i="2"/>
  <c r="L602" i="2" s="1"/>
  <c r="E602" i="2"/>
  <c r="L601" i="2"/>
  <c r="K601" i="2"/>
  <c r="E601" i="2"/>
  <c r="L596" i="2"/>
  <c r="K596" i="2"/>
  <c r="E596" i="2"/>
  <c r="L570" i="2"/>
  <c r="K570" i="2"/>
  <c r="E570" i="2"/>
  <c r="L592" i="2"/>
  <c r="K592" i="2"/>
  <c r="E592" i="2"/>
  <c r="L591" i="2"/>
  <c r="K591" i="2"/>
  <c r="E591" i="2"/>
  <c r="L590" i="2"/>
  <c r="K590" i="2"/>
  <c r="E590" i="2"/>
  <c r="L589" i="2"/>
  <c r="K589" i="2"/>
  <c r="E589" i="2"/>
  <c r="L588" i="2"/>
  <c r="K588" i="2"/>
  <c r="E588" i="2"/>
  <c r="L587" i="2"/>
  <c r="K587" i="2"/>
  <c r="E587" i="2"/>
  <c r="L586" i="2"/>
  <c r="K586" i="2"/>
  <c r="E586" i="2"/>
  <c r="L585" i="2"/>
  <c r="K585" i="2"/>
  <c r="E585" i="2"/>
  <c r="L584" i="2"/>
  <c r="K584" i="2"/>
  <c r="E584" i="2"/>
  <c r="L583" i="2"/>
  <c r="K583" i="2"/>
  <c r="E583" i="2"/>
  <c r="L582" i="2"/>
  <c r="K582" i="2"/>
  <c r="E582" i="2"/>
  <c r="L581" i="2"/>
  <c r="K581" i="2"/>
  <c r="E581" i="2"/>
  <c r="L594" i="2"/>
  <c r="K594" i="2"/>
  <c r="E594" i="2"/>
  <c r="L580" i="2"/>
  <c r="K580" i="2"/>
  <c r="E580" i="2"/>
  <c r="L593" i="2"/>
  <c r="K593" i="2"/>
  <c r="E593" i="2"/>
  <c r="K569" i="2"/>
  <c r="J569" i="2"/>
  <c r="L569" i="2" s="1"/>
  <c r="E569" i="2"/>
  <c r="L568" i="2"/>
  <c r="K568" i="2"/>
  <c r="E568" i="2"/>
  <c r="L567" i="2"/>
  <c r="K567" i="2"/>
  <c r="E567" i="2"/>
  <c r="L566" i="2"/>
  <c r="K566" i="2"/>
  <c r="E566" i="2"/>
  <c r="K575" i="2"/>
  <c r="J575" i="2"/>
  <c r="L575" i="2" s="1"/>
  <c r="E575" i="2"/>
  <c r="L574" i="2"/>
  <c r="K574" i="2"/>
  <c r="E574" i="2"/>
  <c r="K573" i="2"/>
  <c r="J573" i="2"/>
  <c r="L573" i="2" s="1"/>
  <c r="E573" i="2"/>
  <c r="L572" i="2"/>
  <c r="K572" i="2"/>
  <c r="E572" i="2"/>
  <c r="K571" i="2"/>
  <c r="J571" i="2"/>
  <c r="L571" i="2" s="1"/>
  <c r="E571" i="2"/>
  <c r="L579" i="2"/>
  <c r="K579" i="2"/>
  <c r="E579" i="2"/>
  <c r="L578" i="2"/>
  <c r="K578" i="2"/>
  <c r="E578" i="2"/>
  <c r="L577" i="2"/>
  <c r="K577" i="2"/>
  <c r="E577" i="2"/>
  <c r="L576" i="2"/>
  <c r="K576" i="2"/>
  <c r="E576" i="2"/>
  <c r="L595" i="2"/>
  <c r="K595" i="2"/>
  <c r="E595" i="2"/>
  <c r="L565" i="2"/>
  <c r="K565" i="2"/>
  <c r="E565" i="2"/>
  <c r="L564" i="2"/>
  <c r="K564" i="2"/>
  <c r="E564" i="2"/>
  <c r="L941" i="2"/>
  <c r="K941" i="2"/>
  <c r="E941" i="2"/>
  <c r="L563" i="2"/>
  <c r="K563" i="2"/>
  <c r="E563" i="2"/>
  <c r="L562" i="2"/>
  <c r="K562" i="2"/>
  <c r="E562" i="2"/>
  <c r="K561" i="2"/>
  <c r="J561" i="2"/>
  <c r="L561" i="2" s="1"/>
  <c r="E561" i="2"/>
  <c r="K560" i="2"/>
  <c r="J560" i="2"/>
  <c r="L560" i="2" s="1"/>
  <c r="E560" i="2"/>
  <c r="L559" i="2"/>
  <c r="K559" i="2"/>
  <c r="E559" i="2"/>
  <c r="L558" i="2"/>
  <c r="K558" i="2"/>
  <c r="E558" i="2"/>
  <c r="L557" i="2"/>
  <c r="K557" i="2"/>
  <c r="E557" i="2"/>
  <c r="L556" i="2"/>
  <c r="K556" i="2"/>
  <c r="E556" i="2"/>
  <c r="L555" i="2"/>
  <c r="K555" i="2"/>
  <c r="E555" i="2"/>
  <c r="L554" i="2"/>
  <c r="K554" i="2"/>
  <c r="E554" i="2"/>
  <c r="L553" i="2"/>
  <c r="K553" i="2"/>
  <c r="E553" i="2"/>
  <c r="L552" i="2"/>
  <c r="K552" i="2"/>
  <c r="E552" i="2"/>
  <c r="L551" i="2"/>
  <c r="K551" i="2"/>
  <c r="E551" i="2"/>
  <c r="L550" i="2"/>
  <c r="K550" i="2"/>
  <c r="E550" i="2"/>
  <c r="L545" i="2"/>
  <c r="K545" i="2"/>
  <c r="E545" i="2"/>
  <c r="L549" i="2"/>
  <c r="K549" i="2"/>
  <c r="E549" i="2"/>
  <c r="L548" i="2"/>
  <c r="K548" i="2"/>
  <c r="E548" i="2"/>
  <c r="L547" i="2"/>
  <c r="K547" i="2"/>
  <c r="E547" i="2"/>
  <c r="L546" i="2"/>
  <c r="K546" i="2"/>
  <c r="E546" i="2"/>
  <c r="K544" i="2"/>
  <c r="J544" i="2"/>
  <c r="L544" i="2" s="1"/>
  <c r="E544" i="2"/>
  <c r="K543" i="2"/>
  <c r="J543" i="2"/>
  <c r="L543" i="2" s="1"/>
  <c r="E543" i="2"/>
  <c r="L541" i="2"/>
  <c r="K541" i="2"/>
  <c r="E541" i="2"/>
  <c r="L542" i="2"/>
  <c r="K542" i="2"/>
  <c r="E542" i="2"/>
  <c r="L540" i="2"/>
  <c r="K540" i="2"/>
  <c r="E540" i="2"/>
  <c r="L539" i="2"/>
  <c r="K539" i="2"/>
  <c r="E539" i="2"/>
  <c r="L538" i="2"/>
  <c r="K538" i="2"/>
  <c r="E538" i="2"/>
  <c r="L537" i="2"/>
  <c r="K537" i="2"/>
  <c r="E537" i="2"/>
  <c r="K536" i="2"/>
  <c r="J536" i="2"/>
  <c r="L536" i="2" s="1"/>
  <c r="E536" i="2"/>
  <c r="K535" i="2"/>
  <c r="J535" i="2"/>
  <c r="L535" i="2" s="1"/>
  <c r="E535" i="2"/>
  <c r="L529" i="2"/>
  <c r="K529" i="2"/>
  <c r="E529" i="2"/>
  <c r="L534" i="2"/>
  <c r="K534" i="2"/>
  <c r="E534" i="2"/>
  <c r="L533" i="2"/>
  <c r="K533" i="2"/>
  <c r="E533" i="2"/>
  <c r="L532" i="2"/>
  <c r="K532" i="2"/>
  <c r="E532" i="2"/>
  <c r="L531" i="2"/>
  <c r="K531" i="2"/>
  <c r="E531" i="2"/>
  <c r="L530" i="2"/>
  <c r="K530" i="2"/>
  <c r="E530" i="2"/>
  <c r="L528" i="2"/>
  <c r="K528" i="2"/>
  <c r="E528" i="2"/>
  <c r="L525" i="2"/>
  <c r="K525" i="2"/>
  <c r="E525" i="2"/>
  <c r="L524" i="2"/>
  <c r="K524" i="2"/>
  <c r="E524" i="2"/>
  <c r="L527" i="2"/>
  <c r="K527" i="2"/>
  <c r="E527" i="2"/>
  <c r="L526" i="2"/>
  <c r="K526" i="2"/>
  <c r="E526" i="2"/>
  <c r="L523" i="2"/>
  <c r="K523" i="2"/>
  <c r="E523" i="2"/>
  <c r="L522" i="2"/>
  <c r="K522" i="2"/>
  <c r="E522" i="2"/>
  <c r="L517" i="2"/>
  <c r="K517" i="2"/>
  <c r="E517" i="2"/>
  <c r="L516" i="2"/>
  <c r="K516" i="2"/>
  <c r="E516" i="2"/>
  <c r="L521" i="2"/>
  <c r="K521" i="2"/>
  <c r="E521" i="2"/>
  <c r="L518" i="2"/>
  <c r="K518" i="2"/>
  <c r="E518" i="2"/>
  <c r="L520" i="2"/>
  <c r="K520" i="2"/>
  <c r="E520" i="2"/>
  <c r="L519" i="2"/>
  <c r="K519" i="2"/>
  <c r="E519" i="2"/>
  <c r="L515" i="2"/>
  <c r="K515" i="2"/>
  <c r="E515" i="2"/>
  <c r="L514" i="2"/>
  <c r="K514" i="2"/>
  <c r="E514" i="2"/>
  <c r="L513" i="2"/>
  <c r="K513" i="2"/>
  <c r="E513" i="2"/>
  <c r="K511" i="2"/>
  <c r="J511" i="2"/>
  <c r="L511" i="2" s="1"/>
  <c r="E511" i="2"/>
  <c r="L508" i="2"/>
  <c r="K508" i="2"/>
  <c r="E508" i="2"/>
  <c r="L507" i="2"/>
  <c r="K507" i="2"/>
  <c r="E507" i="2"/>
  <c r="L506" i="2"/>
  <c r="K506" i="2"/>
  <c r="E506" i="2"/>
  <c r="L505" i="2"/>
  <c r="K505" i="2"/>
  <c r="E505" i="2"/>
  <c r="L504" i="2"/>
  <c r="K504" i="2"/>
  <c r="E504" i="2"/>
  <c r="K512" i="2"/>
  <c r="J512" i="2"/>
  <c r="L512" i="2" s="1"/>
  <c r="E512" i="2"/>
  <c r="L510" i="2"/>
  <c r="K510" i="2"/>
  <c r="E510" i="2"/>
  <c r="L509" i="2"/>
  <c r="K509" i="2"/>
  <c r="E509" i="2"/>
  <c r="L503" i="2"/>
  <c r="K503" i="2"/>
  <c r="E503" i="2"/>
  <c r="L502" i="2"/>
  <c r="K502" i="2"/>
  <c r="E502" i="2"/>
  <c r="L501" i="2"/>
  <c r="K501" i="2"/>
  <c r="E501" i="2"/>
  <c r="L500" i="2"/>
  <c r="K500" i="2"/>
  <c r="E500" i="2"/>
  <c r="L495" i="2"/>
  <c r="K495" i="2"/>
  <c r="E495" i="2"/>
  <c r="L499" i="2"/>
  <c r="K499" i="2"/>
  <c r="E499" i="2"/>
  <c r="L498" i="2"/>
  <c r="K498" i="2"/>
  <c r="E498" i="2"/>
  <c r="L497" i="2"/>
  <c r="K497" i="2"/>
  <c r="E497" i="2"/>
  <c r="L496" i="2"/>
  <c r="K496" i="2"/>
  <c r="E496" i="2"/>
  <c r="L494" i="2"/>
  <c r="K494" i="2"/>
  <c r="E494" i="2"/>
  <c r="L489" i="2"/>
  <c r="K489" i="2"/>
  <c r="E489" i="2"/>
  <c r="L493" i="2"/>
  <c r="K493" i="2"/>
  <c r="E493" i="2"/>
  <c r="L492" i="2"/>
  <c r="K492" i="2"/>
  <c r="E492" i="2"/>
  <c r="L491" i="2"/>
  <c r="K491" i="2"/>
  <c r="E491" i="2"/>
  <c r="L490" i="2"/>
  <c r="K490" i="2"/>
  <c r="E490" i="2"/>
  <c r="L488" i="2"/>
  <c r="K488" i="2"/>
  <c r="E488" i="2"/>
  <c r="L479" i="2"/>
  <c r="K479" i="2"/>
  <c r="E479" i="2"/>
  <c r="L478" i="2"/>
  <c r="K478" i="2"/>
  <c r="E478" i="2"/>
  <c r="L477" i="2"/>
  <c r="K477" i="2"/>
  <c r="E477" i="2"/>
  <c r="L476" i="2"/>
  <c r="K476" i="2"/>
  <c r="E476" i="2"/>
  <c r="L475" i="2"/>
  <c r="K475" i="2"/>
  <c r="E475" i="2"/>
  <c r="L485" i="2"/>
  <c r="K485" i="2"/>
  <c r="E485" i="2"/>
  <c r="L474" i="2"/>
  <c r="K474" i="2"/>
  <c r="E474" i="2"/>
  <c r="L484" i="2"/>
  <c r="K484" i="2"/>
  <c r="E484" i="2"/>
  <c r="L473" i="2"/>
  <c r="K473" i="2"/>
  <c r="E473" i="2"/>
  <c r="L487" i="2"/>
  <c r="K487" i="2"/>
  <c r="E487" i="2"/>
  <c r="L486" i="2"/>
  <c r="K486" i="2"/>
  <c r="E486" i="2"/>
  <c r="L480" i="2"/>
  <c r="K480" i="2"/>
  <c r="E480" i="2"/>
  <c r="L483" i="2"/>
  <c r="K483" i="2"/>
  <c r="E483" i="2"/>
  <c r="L482" i="2"/>
  <c r="K482" i="2"/>
  <c r="E482" i="2"/>
  <c r="L481" i="2"/>
  <c r="K481" i="2"/>
  <c r="E481" i="2"/>
  <c r="L472" i="2"/>
  <c r="K472" i="2"/>
  <c r="E472" i="2"/>
  <c r="L467" i="2"/>
  <c r="K467" i="2"/>
  <c r="E467" i="2"/>
  <c r="L466" i="2"/>
  <c r="K466" i="2"/>
  <c r="E466" i="2"/>
  <c r="L459" i="2"/>
  <c r="K459" i="2"/>
  <c r="E459" i="2"/>
  <c r="L468" i="2"/>
  <c r="K468" i="2"/>
  <c r="E468" i="2"/>
  <c r="L471" i="2"/>
  <c r="K471" i="2"/>
  <c r="E471" i="2"/>
  <c r="L470" i="2"/>
  <c r="K470" i="2"/>
  <c r="E470" i="2"/>
  <c r="L469" i="2"/>
  <c r="K469" i="2"/>
  <c r="E469" i="2"/>
  <c r="L460" i="2"/>
  <c r="K460" i="2"/>
  <c r="E460" i="2"/>
  <c r="L465" i="2"/>
  <c r="K465" i="2"/>
  <c r="E465" i="2"/>
  <c r="L464" i="2"/>
  <c r="K464" i="2"/>
  <c r="E464" i="2"/>
  <c r="L463" i="2"/>
  <c r="K463" i="2"/>
  <c r="E463" i="2"/>
  <c r="L462" i="2"/>
  <c r="K462" i="2"/>
  <c r="E462" i="2"/>
  <c r="L461" i="2"/>
  <c r="K461" i="2"/>
  <c r="E461" i="2"/>
  <c r="L458" i="2"/>
  <c r="K458" i="2"/>
  <c r="E458" i="2"/>
  <c r="L455" i="2"/>
  <c r="K455" i="2"/>
  <c r="E455" i="2"/>
  <c r="L457" i="2"/>
  <c r="K457" i="2"/>
  <c r="E457" i="2"/>
  <c r="L456" i="2"/>
  <c r="K456" i="2"/>
  <c r="E456" i="2"/>
  <c r="L454" i="2"/>
  <c r="K454" i="2"/>
  <c r="E454" i="2"/>
  <c r="L453" i="2"/>
  <c r="K453" i="2"/>
  <c r="E453" i="2"/>
  <c r="L449" i="2"/>
  <c r="K449" i="2"/>
  <c r="E449" i="2"/>
  <c r="L451" i="2"/>
  <c r="K451" i="2"/>
  <c r="E451" i="2"/>
  <c r="K444" i="2"/>
  <c r="J444" i="2"/>
  <c r="L444" i="2" s="1"/>
  <c r="E444" i="2"/>
  <c r="L443" i="2"/>
  <c r="K443" i="2"/>
  <c r="E443" i="2"/>
  <c r="K452" i="2"/>
  <c r="J452" i="2"/>
  <c r="L452" i="2" s="1"/>
  <c r="E452" i="2"/>
  <c r="L450" i="2"/>
  <c r="K450" i="2"/>
  <c r="E450" i="2"/>
  <c r="L448" i="2"/>
  <c r="K448" i="2"/>
  <c r="E448" i="2"/>
  <c r="L447" i="2"/>
  <c r="K447" i="2"/>
  <c r="E447" i="2"/>
  <c r="K446" i="2"/>
  <c r="J446" i="2"/>
  <c r="L446" i="2" s="1"/>
  <c r="E446" i="2"/>
  <c r="K445" i="2"/>
  <c r="J445" i="2"/>
  <c r="L445" i="2" s="1"/>
  <c r="E445" i="2"/>
  <c r="L441" i="2"/>
  <c r="K441" i="2"/>
  <c r="E441" i="2"/>
  <c r="L440" i="2"/>
  <c r="K440" i="2"/>
  <c r="E440" i="2"/>
  <c r="L442" i="2"/>
  <c r="K442" i="2"/>
  <c r="E442" i="2"/>
  <c r="L433" i="2"/>
  <c r="K433" i="2"/>
  <c r="E433" i="2"/>
  <c r="L439" i="2"/>
  <c r="K439" i="2"/>
  <c r="E439" i="2"/>
  <c r="L438" i="2"/>
  <c r="K438" i="2"/>
  <c r="E438" i="2"/>
  <c r="L437" i="2"/>
  <c r="K437" i="2"/>
  <c r="E437" i="2"/>
  <c r="L436" i="2"/>
  <c r="K436" i="2"/>
  <c r="E436" i="2"/>
  <c r="L435" i="2"/>
  <c r="K435" i="2"/>
  <c r="E435" i="2"/>
  <c r="L434" i="2"/>
  <c r="K434" i="2"/>
  <c r="E434" i="2"/>
  <c r="L432" i="2"/>
  <c r="K432" i="2"/>
  <c r="E432" i="2"/>
  <c r="L431" i="2"/>
  <c r="K431" i="2"/>
  <c r="E431" i="2"/>
  <c r="L430" i="2"/>
  <c r="K430" i="2"/>
  <c r="E430" i="2"/>
  <c r="L429" i="2"/>
  <c r="K429" i="2"/>
  <c r="E429" i="2"/>
  <c r="L428" i="2"/>
  <c r="K428" i="2"/>
  <c r="E428" i="2"/>
  <c r="L427" i="2"/>
  <c r="K427" i="2"/>
  <c r="E427" i="2"/>
  <c r="L426" i="2"/>
  <c r="K426" i="2"/>
  <c r="E426" i="2"/>
  <c r="L425" i="2"/>
  <c r="K425" i="2"/>
  <c r="E425" i="2"/>
  <c r="L424" i="2"/>
  <c r="K424" i="2"/>
  <c r="E424" i="2"/>
  <c r="L423" i="2"/>
  <c r="K423" i="2"/>
  <c r="E423" i="2"/>
  <c r="L422" i="2"/>
  <c r="K422" i="2"/>
  <c r="E422" i="2"/>
  <c r="L420" i="2"/>
  <c r="K420" i="2"/>
  <c r="E420" i="2"/>
  <c r="K421" i="2"/>
  <c r="J421" i="2"/>
  <c r="L421" i="2" s="1"/>
  <c r="E421" i="2"/>
  <c r="L419" i="2"/>
  <c r="K419" i="2"/>
  <c r="E419" i="2"/>
  <c r="L418" i="2"/>
  <c r="K418" i="2"/>
  <c r="E418" i="2"/>
  <c r="L417" i="2"/>
  <c r="K417" i="2"/>
  <c r="E417" i="2"/>
  <c r="L416" i="2"/>
  <c r="K416" i="2"/>
  <c r="E416" i="2"/>
  <c r="L415" i="2"/>
  <c r="K415" i="2"/>
  <c r="E415" i="2"/>
</calcChain>
</file>

<file path=xl/sharedStrings.xml><?xml version="1.0" encoding="utf-8"?>
<sst xmlns="http://schemas.openxmlformats.org/spreadsheetml/2006/main" count="12096" uniqueCount="1433">
  <si>
    <t>Lancer un formulaire de saisi:
Ds le module</t>
  </si>
  <si>
    <t>https://www.youtube.com/watch?v=5pR_CnvhR9M</t>
  </si>
  <si>
    <t>Carte Lux</t>
  </si>
  <si>
    <t>Carte Visa Lux 8309</t>
  </si>
  <si>
    <t>Courses ADECOMPOSER</t>
  </si>
  <si>
    <t>Courses</t>
  </si>
  <si>
    <t>CM Rettel</t>
  </si>
  <si>
    <t>Débité</t>
  </si>
  <si>
    <t>Carte Gold Lux 4066</t>
  </si>
  <si>
    <t>Parking</t>
  </si>
  <si>
    <t>Transport</t>
  </si>
  <si>
    <t>Etat Lux</t>
  </si>
  <si>
    <t>Sandwichs</t>
  </si>
  <si>
    <t>Lunch Boulot</t>
  </si>
  <si>
    <t>Alima</t>
  </si>
  <si>
    <t>Jeux Micromania</t>
  </si>
  <si>
    <t>Loisirs</t>
  </si>
  <si>
    <t>Micromania</t>
  </si>
  <si>
    <t>Cadeau Maman</t>
  </si>
  <si>
    <t>Cadeaux</t>
  </si>
  <si>
    <t>Histoire d'or</t>
  </si>
  <si>
    <t>Clopes</t>
  </si>
  <si>
    <t>Fischer</t>
  </si>
  <si>
    <t>Intermarché</t>
  </si>
  <si>
    <t>Restau</t>
  </si>
  <si>
    <t>Restaurant</t>
  </si>
  <si>
    <t>Al Mama</t>
  </si>
  <si>
    <t>Déco Noel</t>
  </si>
  <si>
    <t>Brico Déco</t>
  </si>
  <si>
    <t>Centrakor</t>
  </si>
  <si>
    <t>Jambon Paté</t>
  </si>
  <si>
    <t>Boucherie Franck</t>
  </si>
  <si>
    <t>Pain</t>
  </si>
  <si>
    <t>Gilles</t>
  </si>
  <si>
    <t>Surgelés Noel</t>
  </si>
  <si>
    <t>Picard</t>
  </si>
  <si>
    <t>CM Rettel 71,34€</t>
  </si>
  <si>
    <t>Aldi</t>
  </si>
  <si>
    <t>Contrôl Technique</t>
  </si>
  <si>
    <t>Voitures</t>
  </si>
  <si>
    <t>AutoSur</t>
  </si>
  <si>
    <t>Fleurs Vivi</t>
  </si>
  <si>
    <t>Fleurs et feuilles</t>
  </si>
  <si>
    <t>Inter 23,90€</t>
  </si>
  <si>
    <t>CD Queen</t>
  </si>
  <si>
    <t>Desserts</t>
  </si>
  <si>
    <t>Schamming</t>
  </si>
  <si>
    <t>Delhaize 33,38€</t>
  </si>
  <si>
    <t>Bières</t>
  </si>
  <si>
    <t>Alcool</t>
  </si>
  <si>
    <t>Delhaize</t>
  </si>
  <si>
    <t>Etam</t>
  </si>
  <si>
    <t>Vétements</t>
  </si>
  <si>
    <t>P'tit déj</t>
  </si>
  <si>
    <t>Kébab</t>
  </si>
  <si>
    <t>Dreilander Perl</t>
  </si>
  <si>
    <t>ALDI A DECOMPOSER</t>
  </si>
  <si>
    <t>CM à DECOMPOSER</t>
  </si>
  <si>
    <t xml:space="preserve">Garantie Swith </t>
  </si>
  <si>
    <t>Swith HDMI</t>
  </si>
  <si>
    <t>Electroménagers</t>
  </si>
  <si>
    <t>Darty</t>
  </si>
  <si>
    <t>Plein KA+</t>
  </si>
  <si>
    <t>Carburant essence</t>
  </si>
  <si>
    <t>Total Remerschen</t>
  </si>
  <si>
    <t>Chocolats</t>
  </si>
  <si>
    <t>Chromecast Rallonge</t>
  </si>
  <si>
    <t>Galette Brtzels</t>
  </si>
  <si>
    <t>La brioche dorée</t>
  </si>
  <si>
    <t>Lio Lux</t>
  </si>
  <si>
    <t>Domiciliation Mensuelle</t>
  </si>
  <si>
    <t>Remb Réserve Privilège Janv _ 19</t>
  </si>
  <si>
    <t>Remb Réserve Privilége</t>
  </si>
  <si>
    <t>Prêts</t>
  </si>
  <si>
    <t>BGL</t>
  </si>
  <si>
    <t>Réserve Privilège</t>
  </si>
  <si>
    <t>Epargne</t>
  </si>
  <si>
    <t>Cash</t>
  </si>
  <si>
    <t>Paiement croquettes</t>
  </si>
  <si>
    <t>EIRL CD3F</t>
  </si>
  <si>
    <t>Mr Heckel Yannick</t>
  </si>
  <si>
    <t>Cadeaux anniv 40 ans</t>
  </si>
  <si>
    <t>Croissants</t>
  </si>
  <si>
    <t>Livret durable Vivi</t>
  </si>
  <si>
    <t>Virement</t>
  </si>
  <si>
    <t>REMUNERATION NETTE</t>
  </si>
  <si>
    <t>Frais bancaires</t>
  </si>
  <si>
    <t>BNP</t>
  </si>
  <si>
    <t>Livret durable Lio</t>
  </si>
  <si>
    <t>Livret A Hugo</t>
  </si>
  <si>
    <t>Livret A Vivi</t>
  </si>
  <si>
    <t>Livret A Lio</t>
  </si>
  <si>
    <t>Livret A Malone</t>
  </si>
  <si>
    <t>Abonnement bus</t>
  </si>
  <si>
    <t>Lio FR</t>
  </si>
  <si>
    <t xml:space="preserve">FG Compte Lio Janv </t>
  </si>
  <si>
    <t>Cotisation Esprit libre</t>
  </si>
  <si>
    <t>Prêt immo 1 Janv _ 19</t>
  </si>
  <si>
    <t>Remb Prêt Immobilier 30-375827-88-1</t>
  </si>
  <si>
    <t>Prêt immo 2 Janv _ 19</t>
  </si>
  <si>
    <t>Remb Prêt Immobilier 30-375827-93-2</t>
  </si>
  <si>
    <t>Virt Lio FR Janv _ 19</t>
  </si>
  <si>
    <t>Approvisionnement Lio FR</t>
  </si>
  <si>
    <t>Couverture Facture FR</t>
  </si>
  <si>
    <t>DOM9décembre</t>
  </si>
  <si>
    <t>Domiciliation Net flix</t>
  </si>
  <si>
    <t>Sports Loisirs</t>
  </si>
  <si>
    <t>Netflix</t>
  </si>
  <si>
    <t>Vivi FR</t>
  </si>
  <si>
    <t>Carte Vivi 6063</t>
  </si>
  <si>
    <t>Pharmacie</t>
  </si>
  <si>
    <t>Soins</t>
  </si>
  <si>
    <t>Pharmacie du Cygne</t>
  </si>
  <si>
    <t>Ticket repas</t>
  </si>
  <si>
    <t>Gaia</t>
  </si>
  <si>
    <t>Lunch boulot</t>
  </si>
  <si>
    <t>Inter 42,82 €</t>
  </si>
  <si>
    <t>Produits maquillage</t>
  </si>
  <si>
    <t>Esthétique / Maquillage</t>
  </si>
  <si>
    <t>Lavage KA+</t>
  </si>
  <si>
    <t>Laurent lavage</t>
  </si>
  <si>
    <t xml:space="preserve">FG Compte Vivi Janv </t>
  </si>
  <si>
    <t>Ch Lio</t>
  </si>
  <si>
    <t>Pizza</t>
  </si>
  <si>
    <t>Tour de Pizz</t>
  </si>
  <si>
    <t>CM 46,34 €</t>
  </si>
  <si>
    <t>Aliments animaux</t>
  </si>
  <si>
    <t>Animaux</t>
  </si>
  <si>
    <t>Aldi 25,11 €</t>
  </si>
  <si>
    <t xml:space="preserve">Lessives </t>
  </si>
  <si>
    <t>Total 57,59 €</t>
  </si>
  <si>
    <t>Plein Berlingo</t>
  </si>
  <si>
    <t>Carburant Diesel</t>
  </si>
  <si>
    <t>Remb impôt Lux</t>
  </si>
  <si>
    <t>Impôts</t>
  </si>
  <si>
    <t>Virt reçu Lio Lux</t>
  </si>
  <si>
    <t xml:space="preserve">Pains </t>
  </si>
  <si>
    <t>Paypal</t>
  </si>
  <si>
    <t>Mc Do</t>
  </si>
  <si>
    <t>Mc Donalds</t>
  </si>
  <si>
    <t>Coques</t>
  </si>
  <si>
    <t>Amazon</t>
  </si>
  <si>
    <t>Allocations Janv _ 19</t>
  </si>
  <si>
    <t>Domiciliation reçue Allocation</t>
  </si>
  <si>
    <t>Allocations</t>
  </si>
  <si>
    <t>CPAM</t>
  </si>
  <si>
    <t>Lunchtime Janv _ 19</t>
  </si>
  <si>
    <t>Estimation Lunch Time</t>
  </si>
  <si>
    <t>Lunch Time</t>
  </si>
  <si>
    <t>Pain Croissants</t>
  </si>
  <si>
    <t>Crème brulures</t>
  </si>
  <si>
    <t>Galette Croissant</t>
  </si>
  <si>
    <t>Bauer</t>
  </si>
  <si>
    <t>Ticket paiement taxe</t>
  </si>
  <si>
    <t>Taxe CA EIRL Dec 2018</t>
  </si>
  <si>
    <t>Etat Fr</t>
  </si>
  <si>
    <t>Assurance appareils mobiles Janv _ 19</t>
  </si>
  <si>
    <t>Domiciliation  Assurance tablette</t>
  </si>
  <si>
    <t>Assurances</t>
  </si>
  <si>
    <t>Verres trempés</t>
  </si>
  <si>
    <t>Prlv Eau Janv _ 19</t>
  </si>
  <si>
    <t>Domiciliation Eau</t>
  </si>
  <si>
    <t>Eau</t>
  </si>
  <si>
    <t>Véolia</t>
  </si>
  <si>
    <t>Assurance KA+ Janv _ 19</t>
  </si>
  <si>
    <t>Domiciliation assurance Voiture</t>
  </si>
  <si>
    <t>Amaguiz</t>
  </si>
  <si>
    <t>Assurance Berlingo Janv _ 19</t>
  </si>
  <si>
    <t>Assurance maison Janv _ 19</t>
  </si>
  <si>
    <t>Domicilation assurance maison</t>
  </si>
  <si>
    <t>Mobile Vivi Janv _ 19</t>
  </si>
  <si>
    <t>Domiciliation Mobile Vivi</t>
  </si>
  <si>
    <t>Abonnement Mobile</t>
  </si>
  <si>
    <t>Orange</t>
  </si>
  <si>
    <t>Prlvt Mobile Free Hugo Malone Lio Janv _ 19</t>
  </si>
  <si>
    <t>Estimation Abonnement mobile Free</t>
  </si>
  <si>
    <t>Free</t>
  </si>
  <si>
    <t>Médocs</t>
  </si>
  <si>
    <t>Pharmacie St Martin</t>
  </si>
  <si>
    <t xml:space="preserve">Pain </t>
  </si>
  <si>
    <t>Régul découvert</t>
  </si>
  <si>
    <t>Drive Inter 34,59 €</t>
  </si>
  <si>
    <t xml:space="preserve">Vin </t>
  </si>
  <si>
    <t>Itunes Janv _ 19</t>
  </si>
  <si>
    <t>Domiciliation Itunes</t>
  </si>
  <si>
    <t>Itunes</t>
  </si>
  <si>
    <t>Assurance Conduite Eau Janv _ 19</t>
  </si>
  <si>
    <t xml:space="preserve">Domicilation Assurance Eau </t>
  </si>
  <si>
    <t>Homeserve</t>
  </si>
  <si>
    <t>Domicilation Assurance Eau</t>
  </si>
  <si>
    <t>Voyage Malone</t>
  </si>
  <si>
    <t>USEP</t>
  </si>
  <si>
    <t>Coques Malone</t>
  </si>
  <si>
    <t>Remb PDS Malone</t>
  </si>
  <si>
    <t>AXA Lux</t>
  </si>
  <si>
    <t>Inscription Malone P'tit champion</t>
  </si>
  <si>
    <t>Comité Moselle HB</t>
  </si>
  <si>
    <t>Salaire Vivi Janv _ 19</t>
  </si>
  <si>
    <t>Estimation Salaire Vivi</t>
  </si>
  <si>
    <t>Salaire</t>
  </si>
  <si>
    <t>Viva Services</t>
  </si>
  <si>
    <t>Assurance Vie Hugo Janv _ 19</t>
  </si>
  <si>
    <t>Domiciliation assurrances Vie Hugo</t>
  </si>
  <si>
    <t>Assurance Vie Malone Janv _ 19</t>
  </si>
  <si>
    <t>Domiciliation assurrances Vie Malone</t>
  </si>
  <si>
    <t>Prlvt Mutuelle Vivi Janv _ 19</t>
  </si>
  <si>
    <t>Prélévement mensuel Mutuelle Virginie</t>
  </si>
  <si>
    <t>La mutuelle Générale</t>
  </si>
  <si>
    <t>Pains dessert</t>
  </si>
  <si>
    <t>Place Mael</t>
  </si>
  <si>
    <t>FC Metz</t>
  </si>
  <si>
    <t>Lucas Accardo</t>
  </si>
  <si>
    <t>Remboursement place Mael</t>
  </si>
  <si>
    <t>Michel et Christel Amodio</t>
  </si>
  <si>
    <t>Croissants collegues</t>
  </si>
  <si>
    <t>Deletrain Koenigs</t>
  </si>
  <si>
    <t>CM 72,23 €</t>
  </si>
  <si>
    <t>Vin Bière Picon Whiski</t>
  </si>
  <si>
    <t>Livre plongée</t>
  </si>
  <si>
    <t>Agenda</t>
  </si>
  <si>
    <t>Coque Malone</t>
  </si>
  <si>
    <t>The Kase</t>
  </si>
  <si>
    <t>Pain P'tit déj</t>
  </si>
  <si>
    <t>8 à 8</t>
  </si>
  <si>
    <t>Courses Alima</t>
  </si>
  <si>
    <t>???</t>
  </si>
  <si>
    <t>Remb Coque</t>
  </si>
  <si>
    <t>Remb Frais transport</t>
  </si>
  <si>
    <t>Pack Entrainement 2/3</t>
  </si>
  <si>
    <t>Sports</t>
  </si>
  <si>
    <t>ASC2Vallées</t>
  </si>
  <si>
    <t>Assurance EIRL Janv _ 19</t>
  </si>
  <si>
    <t xml:space="preserve">Assurance EIRL </t>
  </si>
  <si>
    <t>MMA</t>
  </si>
  <si>
    <t>Magazine</t>
  </si>
  <si>
    <t>Lavage KA +</t>
  </si>
  <si>
    <t>Véto</t>
  </si>
  <si>
    <t>Dr Dalstein</t>
  </si>
  <si>
    <t>Remboursement Courses</t>
  </si>
  <si>
    <t>Crédit KA + Janv _ 19</t>
  </si>
  <si>
    <t xml:space="preserve">Remboursement crédit KA+ </t>
  </si>
  <si>
    <t>Cétélem</t>
  </si>
  <si>
    <t>Internet + Fixe Janv _ 19</t>
  </si>
  <si>
    <t>Domicilation Facture téléphonie Fixe  Internet</t>
  </si>
  <si>
    <t>Téléphone</t>
  </si>
  <si>
    <t>SFR</t>
  </si>
  <si>
    <t>Taxe Foncière Janv _ 19</t>
  </si>
  <si>
    <t>Domicilitaion  IMPOT</t>
  </si>
  <si>
    <t>Taxe Habitation Janv _ 19</t>
  </si>
  <si>
    <t>Domiciliation IMPOT</t>
  </si>
  <si>
    <t>Gouters</t>
  </si>
  <si>
    <t>Cadeau Nicole</t>
  </si>
  <si>
    <t>Histoire d'Or</t>
  </si>
  <si>
    <t>Facture Fioul F883450003_2</t>
  </si>
  <si>
    <t>Chauffage</t>
  </si>
  <si>
    <t>Lorca mat</t>
  </si>
  <si>
    <t>Cadeau JJ</t>
  </si>
  <si>
    <t>Célio</t>
  </si>
  <si>
    <t>Devred</t>
  </si>
  <si>
    <t>Armand Thiery</t>
  </si>
  <si>
    <t>Carrefour Thionville</t>
  </si>
  <si>
    <t>Total 55,54 €</t>
  </si>
  <si>
    <t>Plein berlingo</t>
  </si>
  <si>
    <t>Carburant diesel</t>
  </si>
  <si>
    <t>Total 44,71 €</t>
  </si>
  <si>
    <t>Plein KA +</t>
  </si>
  <si>
    <t>Coiffeur</t>
  </si>
  <si>
    <t>Vogue</t>
  </si>
  <si>
    <t>Total 41,70 €</t>
  </si>
  <si>
    <t>Thermostat maison</t>
  </si>
  <si>
    <t>Equipement maison</t>
  </si>
  <si>
    <t>Castorama</t>
  </si>
  <si>
    <t>Resto Gaia</t>
  </si>
  <si>
    <t>Disque Dure</t>
  </si>
  <si>
    <t>Acces Informatique</t>
  </si>
  <si>
    <t>Sushi</t>
  </si>
  <si>
    <t>Kim Sushi</t>
  </si>
  <si>
    <t>FACTURE CARTE DU 210119 KATRIC BASSE HAM</t>
  </si>
  <si>
    <t>ACTURE CARTE DU 210119 PHIE ST MARTIN KOENIGSMACKER</t>
  </si>
  <si>
    <t>Support GPS</t>
  </si>
  <si>
    <t>Intermarché 53,16 €</t>
  </si>
  <si>
    <t xml:space="preserve">Bières </t>
  </si>
  <si>
    <t>FACTURE CARTE DU 230119 FOURNIL HAMOIS BASSE HAM CARTE</t>
  </si>
  <si>
    <t>FACTURE CARTE DU 230119 DAC INTERMARCH BASSE HAM</t>
  </si>
  <si>
    <t>Salaire Lio Janv _ 19</t>
  </si>
  <si>
    <t>Salaire Lio</t>
  </si>
  <si>
    <t>Resto collegues</t>
  </si>
  <si>
    <t>Ch Vivi</t>
  </si>
  <si>
    <t>Pizza estimation</t>
  </si>
  <si>
    <t>FACTURE CARTE DU 240119 HUIT A HUIT</t>
  </si>
  <si>
    <t>Hébergement Site Janv _ 19</t>
  </si>
  <si>
    <t>Hébergement + Création Site EIRL</t>
  </si>
  <si>
    <t>1&amp;1 WebSite</t>
  </si>
  <si>
    <t>Médoc Urgence Orteil</t>
  </si>
  <si>
    <t>Pharmacie Lux</t>
  </si>
  <si>
    <t>Sandwichs Pain</t>
  </si>
  <si>
    <t>Urgence orteil</t>
  </si>
  <si>
    <t>Hopital Kirchberg</t>
  </si>
  <si>
    <t xml:space="preserve">CDiscount Huawei </t>
  </si>
  <si>
    <t>Huawei Intérêts</t>
  </si>
  <si>
    <t>Huawei 3/3</t>
  </si>
  <si>
    <t>C Discount</t>
  </si>
  <si>
    <t>Intermarché 124,10 €</t>
  </si>
  <si>
    <t>Bières Vin</t>
  </si>
  <si>
    <t>CM 52,29 €</t>
  </si>
  <si>
    <t>Picon</t>
  </si>
  <si>
    <t>Croissants Desserts</t>
  </si>
  <si>
    <t>Virement interne</t>
  </si>
  <si>
    <t>Intermarché 42,80 €</t>
  </si>
  <si>
    <t xml:space="preserve">Bieres </t>
  </si>
  <si>
    <t>Resto collègues</t>
  </si>
  <si>
    <t>CDI Allocation</t>
  </si>
  <si>
    <t>Ostéodensitométrie</t>
  </si>
  <si>
    <t>Sandwichs match</t>
  </si>
  <si>
    <t>Itunes Fev _ 19</t>
  </si>
  <si>
    <t>Etat FR</t>
  </si>
  <si>
    <t>EDF Janv _ 19</t>
  </si>
  <si>
    <t>Domicilation EDF</t>
  </si>
  <si>
    <t>Electricité</t>
  </si>
  <si>
    <t>EDF</t>
  </si>
  <si>
    <t>Lentilles</t>
  </si>
  <si>
    <t>Lentilles moins chères</t>
  </si>
  <si>
    <t>Interpresse Lux</t>
  </si>
  <si>
    <t>Soins Orthodonties</t>
  </si>
  <si>
    <t>Dr Py</t>
  </si>
  <si>
    <t>Fringues gamins</t>
  </si>
  <si>
    <t>Décathlon</t>
  </si>
  <si>
    <t>Domiciliation Syndicat</t>
  </si>
  <si>
    <t>Syndicat</t>
  </si>
  <si>
    <t>LCGB</t>
  </si>
  <si>
    <t>Mise de côté Vacances</t>
  </si>
  <si>
    <t>Remb Réserve Privilège Fev _ 19</t>
  </si>
  <si>
    <t>Prêt immo 1 Fev _ 19</t>
  </si>
  <si>
    <t>Prêt immo 2 Fev _ 19</t>
  </si>
  <si>
    <t>Pain Sandwichs</t>
  </si>
  <si>
    <t>Versement arrhes Camping les Tourelles</t>
  </si>
  <si>
    <t>Vacances</t>
  </si>
  <si>
    <t>Total 49,78 €</t>
  </si>
  <si>
    <t>Essence</t>
  </si>
  <si>
    <t xml:space="preserve">FG Compte Lio Fev </t>
  </si>
  <si>
    <t>Virt Lio FR Fev _ 19</t>
  </si>
  <si>
    <t>Pain Desserts</t>
  </si>
  <si>
    <t>Inter 85,29 €</t>
  </si>
  <si>
    <t>Epargne Vacances</t>
  </si>
  <si>
    <t>Vin Bières</t>
  </si>
  <si>
    <t>Mobile Vivi Fev _ 19</t>
  </si>
  <si>
    <t>NetFlix Fev _ 19</t>
  </si>
  <si>
    <t>Remb soins</t>
  </si>
  <si>
    <t xml:space="preserve">Carrefour Express </t>
  </si>
  <si>
    <t>Prlv Eau Fev _ 19</t>
  </si>
  <si>
    <t>Allocations Fev _ 19</t>
  </si>
  <si>
    <t>Inter 93,60 €</t>
  </si>
  <si>
    <t>Produit douches</t>
  </si>
  <si>
    <t>Vin</t>
  </si>
  <si>
    <t>Coiffeur Lio</t>
  </si>
  <si>
    <t>Fanny</t>
  </si>
  <si>
    <t>Inter 28,11 €</t>
  </si>
  <si>
    <t>Carte anniv Mael</t>
  </si>
  <si>
    <t>Abonnement mensuel</t>
  </si>
  <si>
    <t>FACTURE CARTE DU 060219 FOURNIL HAMOIS BASSE HAM CARTE 4974XXXXXXXX6063</t>
  </si>
  <si>
    <t>Assurance appareils mobiles Fev _ 19</t>
  </si>
  <si>
    <t xml:space="preserve">Remb soins </t>
  </si>
  <si>
    <t>Axa Lux</t>
  </si>
  <si>
    <t>Assurance KA+ Fev _ 19</t>
  </si>
  <si>
    <t>Assurance Berlingo Fev _ 19</t>
  </si>
  <si>
    <t>Assurance maison Fev _ 19</t>
  </si>
  <si>
    <t>Cadeau Mael</t>
  </si>
  <si>
    <t>FACTURE CARTE DU 070219 HISTOIRE D OR72 THIONVILLE CE CARTE 4974XXXXXXXX6063</t>
  </si>
  <si>
    <t>FACTURE CARTE DU 070219 BIJOUTERIE ROSE THIONVILLE CARTE 4974XXXXXXXX6063</t>
  </si>
  <si>
    <t>Assurance Conduite Eau Fev _ 19</t>
  </si>
  <si>
    <t>Remboursement arrhes Camping les tourelles</t>
  </si>
  <si>
    <t>PRLV SEPA ALSOLIA ECH/080219 ID EMETTEUR/FR11165456391 MDT/165201734016922514 REF/19029-0113957-56104793372-MENS1 LIB/PRELEVEMENT SEPA 56104793372</t>
  </si>
  <si>
    <t>Inter 101,68 €</t>
  </si>
  <si>
    <t>Harnet</t>
  </si>
  <si>
    <t>Remb soins Orthodontie</t>
  </si>
  <si>
    <t>Salaire Vivi Fev _ 19</t>
  </si>
  <si>
    <t>Prlvt Mutuelle Vivi Fev _ 19</t>
  </si>
  <si>
    <t>FACTURE CARTE DU 080219 FOURNIL HAMOIS BASSE HAM CARTE 4974XXXXXXXX6063</t>
  </si>
  <si>
    <t>Assurance Vie Hugo Fev _ 19</t>
  </si>
  <si>
    <t>Assurance Vie Malone Fev _ 19</t>
  </si>
  <si>
    <t>Retrait DAB</t>
  </si>
  <si>
    <t>Prlvt Mobile Free Hugo Malone Lio Fev _ 19</t>
  </si>
  <si>
    <t>Mémoire honoraire 469260-185441</t>
  </si>
  <si>
    <t>Paiement radio suite orteil</t>
  </si>
  <si>
    <t>Clopes Carburant</t>
  </si>
  <si>
    <t>Inter 31,62 €</t>
  </si>
  <si>
    <t>Désodorisant</t>
  </si>
  <si>
    <t xml:space="preserve">Parking </t>
  </si>
  <si>
    <t>Sac</t>
  </si>
  <si>
    <t>Lunchtime Fev _ 19</t>
  </si>
  <si>
    <t>Parking Hôpital</t>
  </si>
  <si>
    <t>Resto</t>
  </si>
  <si>
    <t>Bistrot régent</t>
  </si>
  <si>
    <t>Facture Fioul F883450003_3</t>
  </si>
  <si>
    <t>Inter 25,24 €</t>
  </si>
  <si>
    <t>Biere</t>
  </si>
  <si>
    <t>Débouch canalisation</t>
  </si>
  <si>
    <t>Aliment chats</t>
  </si>
  <si>
    <t xml:space="preserve">Courses </t>
  </si>
  <si>
    <t>Point vert</t>
  </si>
  <si>
    <t>Bracelet</t>
  </si>
  <si>
    <t>Resto Lux</t>
  </si>
  <si>
    <t>Mc Do retour Metz Handball</t>
  </si>
  <si>
    <t>Café</t>
  </si>
  <si>
    <t>FACTURE CARTE DU 140219 AMAZON PAYMENTS PAYLI2441535/ CARTE 4974XXXXXXXX6063</t>
  </si>
  <si>
    <t>Total 61,18 €</t>
  </si>
  <si>
    <t>Petit Déj</t>
  </si>
  <si>
    <t>Cadeau St Valentin</t>
  </si>
  <si>
    <t xml:space="preserve">Sushis </t>
  </si>
  <si>
    <t>Pasta nonna</t>
  </si>
  <si>
    <t>Carburant Berlingo</t>
  </si>
  <si>
    <t>Fromage</t>
  </si>
  <si>
    <t>Remboursement soin Urgence</t>
  </si>
  <si>
    <t>Coiffeurs Vivi Gamins</t>
  </si>
  <si>
    <t>Fousse Aurélie</t>
  </si>
  <si>
    <t>CM 146,92 €</t>
  </si>
  <si>
    <t>Assurance EIRL Fev _ 19</t>
  </si>
  <si>
    <t>Enc Croquette</t>
  </si>
  <si>
    <t>Multiprise</t>
  </si>
  <si>
    <t>Sandwich Fischer 11 fev</t>
  </si>
  <si>
    <t>Crédit KA + Fev _ 19</t>
  </si>
  <si>
    <t>Internet + Fixe Fev _ 19</t>
  </si>
  <si>
    <t>Taxe Foncière Fev _ 19</t>
  </si>
  <si>
    <t>Taxe Habitation Fev _ 19</t>
  </si>
  <si>
    <t>Courses Cheescake</t>
  </si>
  <si>
    <t>FACTURE CARTE DU 180219 KATRIC BASSE HAM CARTE 4974XXXXXXXX6063</t>
  </si>
  <si>
    <t>Carburant KA +</t>
  </si>
  <si>
    <t>FACTURE CARTE DU 180219 DECATHLON YUTZ CARTE 4974XXXXXXXX6063</t>
  </si>
  <si>
    <t>Collier chien Paulette</t>
  </si>
  <si>
    <t>Santé Discount</t>
  </si>
  <si>
    <t>Vinckel Paulette</t>
  </si>
  <si>
    <t>FACTURE CARTE DU 200219 AMAZON PAYMENTS PAYLI2441535/ CARTE 4974XXXXXXXX6063</t>
  </si>
  <si>
    <t>FACTURE CARTE DU 200219 HUIT A HUIT KOENIGSMACKER CARTE 4974XXXXXXXX6063</t>
  </si>
  <si>
    <t>FACTURE CARTE DU 200219 KATRIC BASSE HAM CARTE 4974XXXXXXXX6063</t>
  </si>
  <si>
    <t>Remboursement soins</t>
  </si>
  <si>
    <t>CM 33,95 €</t>
  </si>
  <si>
    <t>FACTURE CARTE DU 210219 KATRIC BASSE HAM CARTE 4974XXXXXXXX6063</t>
  </si>
  <si>
    <t>Pains</t>
  </si>
  <si>
    <t>Pavé numérique</t>
  </si>
  <si>
    <t>Cdiscount</t>
  </si>
  <si>
    <t>CM 44,81 €</t>
  </si>
  <si>
    <t>Vente croquette</t>
  </si>
  <si>
    <t>Melinda Pinto</t>
  </si>
  <si>
    <t>Salaire Lio Fev _ 19</t>
  </si>
  <si>
    <t xml:space="preserve">Cadeau Vivi </t>
  </si>
  <si>
    <t>Rdv Cardiologue Hugo</t>
  </si>
  <si>
    <t>Dr Hacquart</t>
  </si>
  <si>
    <t>Tensiomètre</t>
  </si>
  <si>
    <t>CM 131,48 €</t>
  </si>
  <si>
    <t>Serviettes</t>
  </si>
  <si>
    <t>Traitement Vivi</t>
  </si>
  <si>
    <t>Piscine</t>
  </si>
  <si>
    <t>Das Bad</t>
  </si>
  <si>
    <t>Soins dentaires</t>
  </si>
  <si>
    <t>Dr Wilhem</t>
  </si>
  <si>
    <t>Hébergement Site Fev _ 19</t>
  </si>
  <si>
    <t>Paiement cantine Hugo</t>
  </si>
  <si>
    <t>Ecole</t>
  </si>
  <si>
    <t>Virt Lio FR Dec _ 19</t>
  </si>
  <si>
    <t>Mise de côté pr budget</t>
  </si>
  <si>
    <t>Mis de côté animaux</t>
  </si>
  <si>
    <t xml:space="preserve">Mis de côté Brico </t>
  </si>
  <si>
    <t>Mis de côté Chauffage</t>
  </si>
  <si>
    <t>Mis de côté Equipement maison</t>
  </si>
  <si>
    <t>Mis de côté Produit beauté</t>
  </si>
  <si>
    <t>Mis de côté Loisirs</t>
  </si>
  <si>
    <t>Mis de côté Soins</t>
  </si>
  <si>
    <t>Mis de côté Sport</t>
  </si>
  <si>
    <t>Vente Bourse</t>
  </si>
  <si>
    <t xml:space="preserve">Mis de côté Vétement </t>
  </si>
  <si>
    <t>Mis de côté Voiture</t>
  </si>
  <si>
    <t>Mise de côté globale</t>
  </si>
  <si>
    <t>Remb Cardiologue Hugo</t>
  </si>
  <si>
    <t>Produit hygiene</t>
  </si>
  <si>
    <t>DM</t>
  </si>
  <si>
    <t>Esthéticienne</t>
  </si>
  <si>
    <t>Total 60,09 €</t>
  </si>
  <si>
    <t>Plein Berlingot</t>
  </si>
  <si>
    <t>Croissants Pains</t>
  </si>
  <si>
    <t>Fidélité Total</t>
  </si>
  <si>
    <t>CM Rettel 47,50 €</t>
  </si>
  <si>
    <t>Carte FR</t>
  </si>
  <si>
    <t>Fringues</t>
  </si>
  <si>
    <t>Primark</t>
  </si>
  <si>
    <t>Droit de garde</t>
  </si>
  <si>
    <t>Lunchtime Fév _ 19</t>
  </si>
  <si>
    <t>Kébab Rettel</t>
  </si>
  <si>
    <t>débité</t>
  </si>
  <si>
    <t>Brossettes Fil dentaire</t>
  </si>
  <si>
    <t>Fête des grands-mères</t>
  </si>
  <si>
    <t>Plein Ka +</t>
  </si>
  <si>
    <t>Remb Réserve Privilège Mars _ 19</t>
  </si>
  <si>
    <t>Réception Chèque repas</t>
  </si>
  <si>
    <t>Virt Lio FR Mars _ 19</t>
  </si>
  <si>
    <t>Facture 110925</t>
  </si>
  <si>
    <t>Semestre 2 OM</t>
  </si>
  <si>
    <t>Fleurs fête Grand méres</t>
  </si>
  <si>
    <t xml:space="preserve">FG Compte Lio Mars </t>
  </si>
  <si>
    <t>Prêt immo 1 Mars _ 19</t>
  </si>
  <si>
    <t>Prêt immo 2 Mars _ 19</t>
  </si>
  <si>
    <t>NetFlix Janv _ 19</t>
  </si>
  <si>
    <t xml:space="preserve">FG Compte Vivi Mars </t>
  </si>
  <si>
    <t>FACTURE CARTE DU 030319 AMAZON PAYMENTS PAYLI2441535/ CARTE 4974XXXXXXXX6063</t>
  </si>
  <si>
    <t>Remboursement Cardio et Orthopho</t>
  </si>
  <si>
    <t>Courses Lunch</t>
  </si>
  <si>
    <t>Resto boulot</t>
  </si>
  <si>
    <t>Itunes Mars _ 19</t>
  </si>
  <si>
    <t>EDF Mars _ 19</t>
  </si>
  <si>
    <t>Aldi 24,91 €</t>
  </si>
  <si>
    <t>Crémant</t>
  </si>
  <si>
    <t>FACTURE CARTE DU 050319 ITUNES.COM/BILL CARTE 4974XXXX</t>
  </si>
  <si>
    <t>Prlv Eau Mars _ 19</t>
  </si>
  <si>
    <t>CM Rettel 30,07 €</t>
  </si>
  <si>
    <t>Allocations Mars _ 19</t>
  </si>
  <si>
    <t>APE</t>
  </si>
  <si>
    <t xml:space="preserve">Remboursement </t>
  </si>
  <si>
    <t>DVD Queen</t>
  </si>
  <si>
    <t>CM rettel</t>
  </si>
  <si>
    <t>FACTURE CARTE DU 060319 KATRIC BASSE HAM CARTE 4974XXX</t>
  </si>
  <si>
    <t>Assurance appareils mobiles Mars _ 19</t>
  </si>
  <si>
    <t>Terreau</t>
  </si>
  <si>
    <t>FACTURE CARTE DU 070319 AMAZON EU SARL PAYLI2090401/ C</t>
  </si>
  <si>
    <t>FACTURE CARTE DU 070319 DAC INTERMARCH BASSE HAM CARTE</t>
  </si>
  <si>
    <t>FACTURE CARTE DU 070319 HISTOIRE D OR72 THIONVILLE CE</t>
  </si>
  <si>
    <t>FACTURE CARTE DU 070319 MICROMANIA-TH THIONVILLE CARTE</t>
  </si>
  <si>
    <t>FACTURE CARTE DU 070319 ZARA THIONVI338 THIONVILLE CE</t>
  </si>
  <si>
    <t>Zara</t>
  </si>
  <si>
    <t>Assurance KA+ Mars _ 19</t>
  </si>
  <si>
    <t>Assurance Berlingo Mars _ 19</t>
  </si>
  <si>
    <t>Assurance maison Mars _ 19</t>
  </si>
  <si>
    <t>FACTURE CARTE DU 070319 C D M THIONVILLE CE CARTE 4974</t>
  </si>
  <si>
    <t>FACTURE CARTE DU 070319 KATRIC BASSE HAM CARTE 4974XXX</t>
  </si>
  <si>
    <t>Avance clopes Stéph</t>
  </si>
  <si>
    <t>Divers</t>
  </si>
  <si>
    <t>Stéphanie Simier</t>
  </si>
  <si>
    <t>FACTURE CARTE DU 080319 AMAZON EU SARL PAYLI2090401/ C</t>
  </si>
  <si>
    <t>FACTURE CARTE DU 080319 KATRIC BASSE HAM CARTE 4974XXX</t>
  </si>
  <si>
    <t>Remb Soins</t>
  </si>
  <si>
    <t>Fact Fioul 890520079</t>
  </si>
  <si>
    <t>Facture Fioul 1</t>
  </si>
  <si>
    <t>Point Vert</t>
  </si>
  <si>
    <t>Assurance annuelle Arona</t>
  </si>
  <si>
    <t>Direct Assurance</t>
  </si>
  <si>
    <t>Remb avance clope Stéph</t>
  </si>
  <si>
    <t>Rhum</t>
  </si>
  <si>
    <t>Mobile Vivi Mars _ 19</t>
  </si>
  <si>
    <t>Lunchtime Mars _ 19</t>
  </si>
  <si>
    <t>Assurance Conduite Eau Mars _ 19</t>
  </si>
  <si>
    <t>Poulet marché</t>
  </si>
  <si>
    <t>Beau marché</t>
  </si>
  <si>
    <t>Fournil Hamois</t>
  </si>
  <si>
    <t>Salaire Vivi Mars _ 19</t>
  </si>
  <si>
    <t>Prlvt Mutuelle Vivi Mars _ 19</t>
  </si>
  <si>
    <t>Assurance Vie Hugo Mars _ 19</t>
  </si>
  <si>
    <t>Assurance Vie Malone Mars _ 19</t>
  </si>
  <si>
    <t>Commande croquette</t>
  </si>
  <si>
    <t>Breedna</t>
  </si>
  <si>
    <t>FACTURE CARTE DU 110319 DAC INTERMARCH BASSE HAM CARTE</t>
  </si>
  <si>
    <t>FACTURE CARTE DU 110319 DECATHLON YUTZ CARTE 4974XXXXX</t>
  </si>
  <si>
    <t>Plein Arona</t>
  </si>
  <si>
    <t>Aral</t>
  </si>
  <si>
    <t>FACTURE CARTE DU 120319 FOURNIL HAMOIS BASSE HAM CARTE</t>
  </si>
  <si>
    <t>FACTURE CARTE DU 120319 PHARM. WILHELM MULHOUSE CARTE</t>
  </si>
  <si>
    <t>Prlvt Mobile Free Hugo Malone Lio Mars _ 19</t>
  </si>
  <si>
    <t>Trajet aller Mulhouse</t>
  </si>
  <si>
    <t>Courses trajet Mulhouse</t>
  </si>
  <si>
    <t>Leclerc</t>
  </si>
  <si>
    <t xml:space="preserve">Café </t>
  </si>
  <si>
    <t>Factures voiture 2019000013 + 2018001632</t>
  </si>
  <si>
    <t>Factures Berlingo</t>
  </si>
  <si>
    <t xml:space="preserve">Garage Méca Ré </t>
  </si>
  <si>
    <t>Resto parents Vivi</t>
  </si>
  <si>
    <t>L'aubergine Mulhouse</t>
  </si>
  <si>
    <t>CHEQUE 1155075</t>
  </si>
  <si>
    <t>Complément plein Arona</t>
  </si>
  <si>
    <t>Total</t>
  </si>
  <si>
    <t>FACTURE CARTE DU 140319 DECATHLON YUTZ CARTE 4974XXXXX</t>
  </si>
  <si>
    <t>FACTURE CARTE DU 140319 BASILE ET CIE GUENANGE CARTE 4</t>
  </si>
  <si>
    <t>Pension chien</t>
  </si>
  <si>
    <t>Mc Do retour Mulhouse</t>
  </si>
  <si>
    <t>Frais postaux</t>
  </si>
  <si>
    <t>Double clefs</t>
  </si>
  <si>
    <t>Complément plein Berlingo</t>
  </si>
  <si>
    <t>FACTURE CARTE DU 150319 KATRIC BASSE HAM CARTE 4974XXX</t>
  </si>
  <si>
    <t>Assurance EIRL Mars _ 19</t>
  </si>
  <si>
    <t>Commande répulsif</t>
  </si>
  <si>
    <t>Crédit KA + Mars _ 19</t>
  </si>
  <si>
    <t>Internet + Fixe Mars _ 19</t>
  </si>
  <si>
    <t>Taxe Foncière Mars _ 19</t>
  </si>
  <si>
    <t>Taxe Habitation Mars _ 19</t>
  </si>
  <si>
    <t>Remboursement Dentiste Lio</t>
  </si>
  <si>
    <t>Compas</t>
  </si>
  <si>
    <t>Delhaize 49,42 €</t>
  </si>
  <si>
    <t>Créme solaire Labello</t>
  </si>
  <si>
    <t>Lunettes Solaire</t>
  </si>
  <si>
    <t>Remb Commande médoc</t>
  </si>
  <si>
    <t>Commande médoc</t>
  </si>
  <si>
    <t>comptes</t>
  </si>
  <si>
    <t>Intermarché 34,41</t>
  </si>
  <si>
    <t>Esthétique</t>
  </si>
  <si>
    <t>a venir</t>
  </si>
  <si>
    <t>Kiko</t>
  </si>
  <si>
    <t>Cache Cache</t>
  </si>
  <si>
    <t>Salaire Lio Mars _ 19</t>
  </si>
  <si>
    <t>Fournil hamois</t>
  </si>
  <si>
    <t>Estimation Bonus</t>
  </si>
  <si>
    <t>Estimation prime interessement</t>
  </si>
  <si>
    <t>Remboursement ass Arona</t>
  </si>
  <si>
    <t>Interpress Lux</t>
  </si>
  <si>
    <t xml:space="preserve">Remb </t>
  </si>
  <si>
    <t>Courses 35,48</t>
  </si>
  <si>
    <t>CHEQUE 1155074</t>
  </si>
  <si>
    <t>Orthophoniste</t>
  </si>
  <si>
    <t>CHEQUE 1155077</t>
  </si>
  <si>
    <t>Coiffure</t>
  </si>
  <si>
    <t>Inter 11,95 € 21/3</t>
  </si>
  <si>
    <t>Drive 58,10 € 22/3</t>
  </si>
  <si>
    <t>Aniamaux Croquette chat</t>
  </si>
  <si>
    <t>Delletrain</t>
  </si>
  <si>
    <t>Places FC Metz</t>
  </si>
  <si>
    <t>Hébergement Site Mars _ 19</t>
  </si>
  <si>
    <t>Op future</t>
  </si>
  <si>
    <t>Facture 33378</t>
  </si>
  <si>
    <t>2e Trim 2018 2019 Musique</t>
  </si>
  <si>
    <t>Virement régul découvert</t>
  </si>
  <si>
    <t>Eirl CD3F</t>
  </si>
  <si>
    <t>Intermarché 18,76 €</t>
  </si>
  <si>
    <t>Drive 59,81 €</t>
  </si>
  <si>
    <t>Entretien maison</t>
  </si>
  <si>
    <t>Remb Electricité</t>
  </si>
  <si>
    <t>Pains Sandwiches</t>
  </si>
  <si>
    <t>FACTURE CARTE DU 270319 DECATHLON YUTZ CARTE 4974XXXXXXXX6063</t>
  </si>
  <si>
    <t>FACTURE CARTE DU 270319 KATRIC BASSE HAM CARTE 4974XXXXXXXX6063</t>
  </si>
  <si>
    <t>Facture Fioul 2</t>
  </si>
  <si>
    <t>Total 44,86 €</t>
  </si>
  <si>
    <t>Carburant Arona</t>
  </si>
  <si>
    <t>FACTURE CARTE DU 280319 SAS KATRIC BASSE HAM CARTE 4974XXXXXXXX6063</t>
  </si>
  <si>
    <t>Sans Ticket</t>
  </si>
  <si>
    <t>RETRAIT DAB 28/03/19 08H25 01400000 BP ALSAC</t>
  </si>
  <si>
    <t>DAB</t>
  </si>
  <si>
    <t>Régul Facture Loyer 1 Arona</t>
  </si>
  <si>
    <t>Gtie Casque Malone USB</t>
  </si>
  <si>
    <t>Casque + Clés USB</t>
  </si>
  <si>
    <t>Mc Do Metz</t>
  </si>
  <si>
    <t>Vente croquettes</t>
  </si>
  <si>
    <t>Parking Match Metz</t>
  </si>
  <si>
    <t>Intermarché 32,27 Carte Lio</t>
  </si>
  <si>
    <t xml:space="preserve">FACTURE CARTE DU 300319 FRENCHIE BEAUTY CARTE 4974XXXXXXXX6063 FRA 19,90EUR </t>
  </si>
  <si>
    <t>Frenchies Beauté</t>
  </si>
  <si>
    <t>Itunes Avr _ 19</t>
  </si>
  <si>
    <t>Facture loyer 1 Arona</t>
  </si>
  <si>
    <t>Arval</t>
  </si>
  <si>
    <t>Remb Réserve Privilège Avr _ 19</t>
  </si>
  <si>
    <t>PRIME GLOBAL PROTECT TRIM.01/2019</t>
  </si>
  <si>
    <t>Repas Ste Croix</t>
  </si>
  <si>
    <t>Ste Croix</t>
  </si>
  <si>
    <t>Billets Ste Croix</t>
  </si>
  <si>
    <t>Sympass</t>
  </si>
  <si>
    <t xml:space="preserve">Hugo </t>
  </si>
  <si>
    <t>Assurance Vie Hugo</t>
  </si>
  <si>
    <t>Malone</t>
  </si>
  <si>
    <t>Assurance Vie Malone</t>
  </si>
  <si>
    <t>Total 44,70 €</t>
  </si>
  <si>
    <t xml:space="preserve">FG Compte Lio Avr </t>
  </si>
  <si>
    <t>Cotisation Esprit libre PASSE 2 FOIS</t>
  </si>
  <si>
    <t xml:space="preserve">FG Compte Vivi Avr </t>
  </si>
  <si>
    <t>Virt Lio FR Avr _ 19</t>
  </si>
  <si>
    <t>Prêt immo 1 Avril _ 19</t>
  </si>
  <si>
    <t>Prêt immo 2 Avr _ 19</t>
  </si>
  <si>
    <t>Carrefour Express 2,43€</t>
  </si>
  <si>
    <t>Envois bulletin Hugo</t>
  </si>
  <si>
    <t>CHEQUE 1155076</t>
  </si>
  <si>
    <t>Prlvt Mobile Free Hugo Malone Lio Avr _ 19</t>
  </si>
  <si>
    <t>CM 55,86</t>
  </si>
  <si>
    <t>NetFlix Mars _ 19</t>
  </si>
  <si>
    <t>Interpress</t>
  </si>
  <si>
    <t>Ticket CB Soccer Arena</t>
  </si>
  <si>
    <t>Avance anniv Malone</t>
  </si>
  <si>
    <t>Soccer Arena</t>
  </si>
  <si>
    <t>Facture ventilation Berlingo</t>
  </si>
  <si>
    <t xml:space="preserve">Ventilation Berlingo </t>
  </si>
  <si>
    <t>FACTURE CARTE DU 040419 BRICOMARCHE     YUTZ            CARTE   4974XXXXXXXX6063</t>
  </si>
  <si>
    <t>Brico marché</t>
  </si>
  <si>
    <t>Prlv Eau Avr _ 19</t>
  </si>
  <si>
    <t>Allocations Avr _ 19</t>
  </si>
  <si>
    <t>Assurance appareils mobiles Avr _ 19</t>
  </si>
  <si>
    <t xml:space="preserve">Consultation Hugo </t>
  </si>
  <si>
    <t>Dr Adamo</t>
  </si>
  <si>
    <t xml:space="preserve">Réservation Camping </t>
  </si>
  <si>
    <t>Camping les grillons</t>
  </si>
  <si>
    <t>CM 05042019 76.17 € Carte Lio</t>
  </si>
  <si>
    <t>Biere Vin</t>
  </si>
  <si>
    <t>FACTURE CARTE DU 050419 FOURNIL HAMOIS  BASSE HAM       CARTE   4974XXXXXXXX6063</t>
  </si>
  <si>
    <t>Mobile Vivi Avr _ 19</t>
  </si>
  <si>
    <t>Marché</t>
  </si>
  <si>
    <t>Assurance Berlingo Avr _ 19</t>
  </si>
  <si>
    <t>Total 52,42 € 07/04</t>
  </si>
  <si>
    <t>Assurance maison Avr _ 19</t>
  </si>
  <si>
    <t>Assurance Conduite Eau Avr _ 19</t>
  </si>
  <si>
    <t>20190408 Carte Vivi CM 41,11€</t>
  </si>
  <si>
    <t xml:space="preserve">Picon </t>
  </si>
  <si>
    <t>Produits entretiens</t>
  </si>
  <si>
    <t>20190405 Hugo RemboursementSoins 57.83€ 05042019</t>
  </si>
  <si>
    <t>VIR SEPA RECU /DE CPAM DE MOSELLE - METZ /MOTIF 190950013465190950013465 /REF 190950013465</t>
  </si>
  <si>
    <t>Lunchtime Avr _ 19</t>
  </si>
  <si>
    <t>Jardin d'Aromes</t>
  </si>
  <si>
    <t>Kiabi</t>
  </si>
  <si>
    <t>Resto Famille</t>
  </si>
  <si>
    <t>Bel Canto</t>
  </si>
  <si>
    <t>Aquarium Tom &amp; Co</t>
  </si>
  <si>
    <t>Aquarium</t>
  </si>
  <si>
    <t>Tom and co</t>
  </si>
  <si>
    <t>20190409 Carte Vivi CM 75,56 €</t>
  </si>
  <si>
    <t>Ampoules</t>
  </si>
  <si>
    <t>CH VIVI 1155079</t>
  </si>
  <si>
    <t>Dr Picquemal</t>
  </si>
  <si>
    <t>Assurance Vie Hugo Avr _ 19</t>
  </si>
  <si>
    <t>Assurance Vie Malone Avr _ 19</t>
  </si>
  <si>
    <t>Salaire Vivi Avr _ 19</t>
  </si>
  <si>
    <t>Salaire Vivi</t>
  </si>
  <si>
    <t>Accessoires cuisine</t>
  </si>
  <si>
    <t>Gifi</t>
  </si>
  <si>
    <t>Ophtalmo Malone</t>
  </si>
  <si>
    <t>Dr Locatelli</t>
  </si>
  <si>
    <t>Lunettes écran Malone</t>
  </si>
  <si>
    <t>Au cœur de la vision</t>
  </si>
  <si>
    <t>Carte Cadeau PSN</t>
  </si>
  <si>
    <t>Terrarium + Tortue</t>
  </si>
  <si>
    <t>Procanis</t>
  </si>
  <si>
    <t>Prlvt Mutuelle Vivi Avr _ 19</t>
  </si>
  <si>
    <t>20190410 Carte Vivi Aldi 78,26 €</t>
  </si>
  <si>
    <t>Cuiseur Œuf</t>
  </si>
  <si>
    <t>Fleurs</t>
  </si>
  <si>
    <t>A RECHERCHER CPAM</t>
  </si>
  <si>
    <t>VIREMENT DE CPAM DE MOSELLE - METZ MOTIF: 190990007699190990007699 - REF : 190990007699</t>
  </si>
  <si>
    <t xml:space="preserve">20190405 Hugo Rbt AXA 6.43 € </t>
  </si>
  <si>
    <t>Remb</t>
  </si>
  <si>
    <t>Boulangerie Gilles</t>
  </si>
  <si>
    <t>Soins Malone</t>
  </si>
  <si>
    <t>Pharmacie Koenigs</t>
  </si>
  <si>
    <t>Kébabs</t>
  </si>
  <si>
    <t>Dreillander</t>
  </si>
  <si>
    <t>20190411 Hugo RemboursementSoins 69.12 € 11042019</t>
  </si>
  <si>
    <t>Inter 141,94 € 12/04</t>
  </si>
  <si>
    <t>Eau déminéralisé</t>
  </si>
  <si>
    <t>KFC</t>
  </si>
  <si>
    <t>20190412 Carte Vivi CM 39,72 €</t>
  </si>
  <si>
    <t>Aliments tortue</t>
  </si>
  <si>
    <t>FACTURE CARTE DU 120419 KATRIC          BASSE HAM       CARTE   4974XXXXXXXX6063</t>
  </si>
  <si>
    <t>Assurance EIRL Avr _ 19</t>
  </si>
  <si>
    <t>20190415 Inter 17.48 €</t>
  </si>
  <si>
    <t>Coiffure 11/04</t>
  </si>
  <si>
    <t>Lunch collègues</t>
  </si>
  <si>
    <t>Crédit KA + Avr _ 19</t>
  </si>
  <si>
    <t>Internet + Fixe Avr _ 19</t>
  </si>
  <si>
    <t>Taxe Foncière Avr _ 19</t>
  </si>
  <si>
    <t>Taxe Habitation Avr _ 19</t>
  </si>
  <si>
    <t>20190416 CM 30.51 €</t>
  </si>
  <si>
    <t>20190415 Remb Malone</t>
  </si>
  <si>
    <t>20190416 Inter Carte 6063 1.25€</t>
  </si>
  <si>
    <t>??</t>
  </si>
  <si>
    <t>Test Effort 09/04</t>
  </si>
  <si>
    <t>Dr Hacqaurd</t>
  </si>
  <si>
    <t>20190417 Alima 4066 14,16 €</t>
  </si>
  <si>
    <t>Cadeau collegues</t>
  </si>
  <si>
    <t>Courses boulot</t>
  </si>
  <si>
    <t>20190417 Fischer 4066 12,25 €</t>
  </si>
  <si>
    <t>Sandwichs boulot</t>
  </si>
  <si>
    <t>20190418 Récap commande BA Delhaize</t>
  </si>
  <si>
    <t>Achat réduction Delhaize</t>
  </si>
  <si>
    <t>20190418 Point vert Carte 6063 23.00 €</t>
  </si>
  <si>
    <t xml:space="preserve">Désodorisant </t>
  </si>
  <si>
    <t>Commande F905E123776</t>
  </si>
  <si>
    <t>Boulanger</t>
  </si>
  <si>
    <t>Bon achat</t>
  </si>
  <si>
    <t>Commande Bon réduc Delhaize</t>
  </si>
  <si>
    <t>20190419 Gulf Carte 6063 9.80 €</t>
  </si>
  <si>
    <t>Gulf</t>
  </si>
  <si>
    <t>20190419 TR Delhaize 59.08 €</t>
  </si>
  <si>
    <t>20190415 Releve_de_remboursement_118813900</t>
  </si>
  <si>
    <t>Remb Malone Hugo</t>
  </si>
  <si>
    <t>20190419 Total Carte 6063 35.00 €</t>
  </si>
  <si>
    <t>CH 8748455</t>
  </si>
  <si>
    <t>20190420 Parashop Carte 6063 15.98 €</t>
  </si>
  <si>
    <t>Produit peau Hugo</t>
  </si>
  <si>
    <t>Parashop</t>
  </si>
  <si>
    <t>20190419 Total 4066 41,84 €</t>
  </si>
  <si>
    <t>20190418 Total 4066 43,86 €</t>
  </si>
  <si>
    <t>Baguette</t>
  </si>
  <si>
    <t>20190418 Occitane 4066 16,00€</t>
  </si>
  <si>
    <t xml:space="preserve">Cadeau </t>
  </si>
  <si>
    <t>L'occitane</t>
  </si>
  <si>
    <t>PAIEMENT CB ZARA DU 20/04 A THIONVILLE CE</t>
  </si>
  <si>
    <t>20190420 Gille 4066 5,15 €</t>
  </si>
  <si>
    <t>Croissants baguette</t>
  </si>
  <si>
    <t>Pain Croissant</t>
  </si>
  <si>
    <t>Freddy Pizza</t>
  </si>
  <si>
    <t>20190423 6063 Inter 2,00 €</t>
  </si>
  <si>
    <t>Pinto Melinda</t>
  </si>
  <si>
    <t>20190416 Inter Carte 8309 82.07 €</t>
  </si>
  <si>
    <t>20190416 Carrefour Carte 8309 75.85 €</t>
  </si>
  <si>
    <t>Carrefour</t>
  </si>
  <si>
    <t>Verres</t>
  </si>
  <si>
    <t>20190420 Jeff de Bruges Carte 8309 33.30 €</t>
  </si>
  <si>
    <t>Chocolats paques</t>
  </si>
  <si>
    <t>Jeff de Bruges</t>
  </si>
  <si>
    <t>20190423 8309 CM 23,67 €</t>
  </si>
  <si>
    <t>20190423 TR DELHAIZE 15,05 €</t>
  </si>
  <si>
    <t>Salaire Lio Avr _ 19</t>
  </si>
  <si>
    <t>Hébergement Site Avr _ 19</t>
  </si>
  <si>
    <t>20190425 8309 CM 45.93 €</t>
  </si>
  <si>
    <t>20190425 CentralHand 69,90 €</t>
  </si>
  <si>
    <t>Achat maillot HB Kdo Maman</t>
  </si>
  <si>
    <t>Central Hand</t>
  </si>
  <si>
    <t>20190426 Pmt Ursaaf Mars 2019</t>
  </si>
  <si>
    <t>Pmt URSAAF Mars 2019</t>
  </si>
  <si>
    <t>Vente Acquarium</t>
  </si>
  <si>
    <t>20190426 Drive 51.49 €</t>
  </si>
  <si>
    <t>Produits Hygiene</t>
  </si>
  <si>
    <t>Facture Fioul 3</t>
  </si>
  <si>
    <t>Pains Croissants</t>
  </si>
  <si>
    <t>20190429 6063 CM 31.74 €</t>
  </si>
  <si>
    <t>Croquettes chat</t>
  </si>
  <si>
    <t>PS AMAZON -49,99</t>
  </si>
  <si>
    <t>Cadeau Malone</t>
  </si>
  <si>
    <t>Anabrevet Hugo</t>
  </si>
  <si>
    <t>20190424 Remb Consult med Sport Hugo</t>
  </si>
  <si>
    <t>Remb Consultation Med Sport Hugo</t>
  </si>
  <si>
    <t>Axa</t>
  </si>
  <si>
    <t>20190429 4066 Fischer 20,15 €</t>
  </si>
  <si>
    <t>Gateau Anniv Vivi pains</t>
  </si>
  <si>
    <t>Sandwichs Steph</t>
  </si>
  <si>
    <t>Remb Sandwichs Steph</t>
  </si>
  <si>
    <t>Simier Stéphanie</t>
  </si>
  <si>
    <t xml:space="preserve">PS AMAZON </t>
  </si>
  <si>
    <t>Vernis à Ongle</t>
  </si>
  <si>
    <t>Itunes Avril _ 19</t>
  </si>
  <si>
    <t>Lunchtime Avril _ 19</t>
  </si>
  <si>
    <t>Kébabs 11/04</t>
  </si>
  <si>
    <t>Snack Rettela</t>
  </si>
  <si>
    <t>Lio Fr</t>
  </si>
  <si>
    <t>Kébab 17 04 2019</t>
  </si>
  <si>
    <t>20190430 8309 Inter 45.03 €</t>
  </si>
  <si>
    <t>Champagne</t>
  </si>
  <si>
    <t>Snooze</t>
  </si>
  <si>
    <t>Remb Réserve Privilège Mai _ 19</t>
  </si>
  <si>
    <t>Facture Loyer 1 Mars + Avril  2019</t>
  </si>
  <si>
    <t>Loyer Arona</t>
  </si>
  <si>
    <t>Réception TR</t>
  </si>
  <si>
    <t xml:space="preserve">FG Compte Lio Mai </t>
  </si>
  <si>
    <t>PS AMAZON -26,33</t>
  </si>
  <si>
    <t xml:space="preserve">FG Compte Vivi Mai </t>
  </si>
  <si>
    <t>Prêt immo 1 Mai _ 19</t>
  </si>
  <si>
    <t>Prêt immo 2 Mai _ 19</t>
  </si>
  <si>
    <t>Virt Lio FR Mai _ 19</t>
  </si>
  <si>
    <t>20190502 6063 Gulf Bonbons_Clopes 11.75 €</t>
  </si>
  <si>
    <t>20190502 8309 Inter 20.20 €</t>
  </si>
  <si>
    <t>Bonbons</t>
  </si>
  <si>
    <t>20190502 6063 Total Bonbons_Plein KA+ 27.04 €</t>
  </si>
  <si>
    <t xml:space="preserve">Plein KA + </t>
  </si>
  <si>
    <t>20190502 4066 Total 39,42 €</t>
  </si>
  <si>
    <t>PAIEMENT CB PHIE ST MARTIN DU 30/04 A KOENIGSMACKER</t>
  </si>
  <si>
    <t>20190503 6063 Inter Courses 3.45 €</t>
  </si>
  <si>
    <t>20190503 8309 Inter 56.47 €</t>
  </si>
  <si>
    <t>Vins</t>
  </si>
  <si>
    <t>20190503 4066 Fischer 15,50 €</t>
  </si>
  <si>
    <t>Petit Déj collègues</t>
  </si>
  <si>
    <t>20190503 4066 CM 14,54 €</t>
  </si>
  <si>
    <t>Pains_Barres céréales</t>
  </si>
  <si>
    <t>20190503 4066 Deletrain 21,45 €</t>
  </si>
  <si>
    <t>Croissants collègues</t>
  </si>
  <si>
    <t>Deletrain</t>
  </si>
  <si>
    <t>20190504 6063 Inter 17.70 €</t>
  </si>
  <si>
    <t>NetFlix Mai _ 19</t>
  </si>
  <si>
    <t>20190504 6063 Procanis 11.65 €</t>
  </si>
  <si>
    <t>Accessoires Tortue</t>
  </si>
  <si>
    <t>20190504 4066 Contact optique 15,00 €</t>
  </si>
  <si>
    <t>Photos identité Malone</t>
  </si>
  <si>
    <t>Contact Optique</t>
  </si>
  <si>
    <t>20190504 4066 CM 11,60 €</t>
  </si>
  <si>
    <t>20190504 4066 Subway 6,90 €</t>
  </si>
  <si>
    <t>Subways</t>
  </si>
  <si>
    <t>20190504 4066 Wok 91,40 €</t>
  </si>
  <si>
    <t>Wok</t>
  </si>
  <si>
    <t>20190504 Cash Delhaize 40,48 €</t>
  </si>
  <si>
    <t>A venir</t>
  </si>
  <si>
    <t>Courses En bon de vidange</t>
  </si>
  <si>
    <t>Itunes Mai _ 19</t>
  </si>
  <si>
    <t>Allocations Mai _ 19</t>
  </si>
  <si>
    <t>Lunchtime Mai _ 19</t>
  </si>
  <si>
    <t>Reinert Gérard</t>
  </si>
  <si>
    <t>20190505 4066 Gille 05,05 €</t>
  </si>
  <si>
    <t xml:space="preserve">Consultation </t>
  </si>
  <si>
    <t>Dr Pouyet</t>
  </si>
  <si>
    <t>Prlv Eau Mai _ 19</t>
  </si>
  <si>
    <t>Assurance appareils mobiles Mai _ 19</t>
  </si>
  <si>
    <t>20190506 8309 Inter Courses 23.30 €</t>
  </si>
  <si>
    <t>20190506 4066 Gaia 27,00 €</t>
  </si>
  <si>
    <t>20190506 4066 Fischer 06,00 €</t>
  </si>
  <si>
    <t>Prlvt Mobile Free Hugo Malone Lio Mai _ 19</t>
  </si>
  <si>
    <t>Assurance KA+ Mai _ 19</t>
  </si>
  <si>
    <t>Assurance Berlingo Mai _ 19</t>
  </si>
  <si>
    <t>Assurance maison Mai _ 19</t>
  </si>
  <si>
    <t>20190507 8309 CM Rettel Courses_Alcool 42.12 €</t>
  </si>
  <si>
    <t>Martini Bières Vin</t>
  </si>
  <si>
    <t>20190507 4066 Fischer 03,00 €</t>
  </si>
  <si>
    <t>20190507 4066 Total 45,93 €</t>
  </si>
  <si>
    <t>Achat billet Nancy Metz</t>
  </si>
  <si>
    <t>ASNL</t>
  </si>
  <si>
    <t>PS AMAZON -25,99</t>
  </si>
  <si>
    <t>Collier Chiens</t>
  </si>
  <si>
    <t>Sport</t>
  </si>
  <si>
    <t>AMAZON ??</t>
  </si>
  <si>
    <t>Assurance Conduite Eau Mai _ 19</t>
  </si>
  <si>
    <t>Mobile Vivi Mai _ 19</t>
  </si>
  <si>
    <t>20190509 4066 Carrefour 122,06 €</t>
  </si>
  <si>
    <t xml:space="preserve">Carrefour  </t>
  </si>
  <si>
    <t>Lessives</t>
  </si>
  <si>
    <t>20190509 4066 Micromania 10,00 €</t>
  </si>
  <si>
    <t>20190509 4066 Kim d'Asie 39,90 €</t>
  </si>
  <si>
    <t>Sushis</t>
  </si>
  <si>
    <t>Kim d'Asie</t>
  </si>
  <si>
    <t>Assurance KA+ Avr _ 19</t>
  </si>
  <si>
    <t>Domiciliation assurance Voiture 10/04 non prlvé</t>
  </si>
  <si>
    <t>Assurance Vie Hugo Mai _ 19</t>
  </si>
  <si>
    <t>Assurance Vie Malone Mai _ 19</t>
  </si>
  <si>
    <t>PAIEMENT CB PROMOD DU 30/04 A TERVILLE</t>
  </si>
  <si>
    <t>Promod</t>
  </si>
  <si>
    <t>PAIEMENT CB INSTITUT ERIC DU 30/04 A TERVILLE</t>
  </si>
  <si>
    <t>Eric et laurent</t>
  </si>
  <si>
    <t>Salaire Vivi Mai _ 19</t>
  </si>
  <si>
    <t>Sortie Marcel Picot</t>
  </si>
  <si>
    <t>20190510 4066 Gille 3,30 €</t>
  </si>
  <si>
    <t>Produit lentille</t>
  </si>
  <si>
    <t>Interoptique</t>
  </si>
  <si>
    <t>20190510 8309 Inter 24.20 €</t>
  </si>
  <si>
    <t>Prlvt Mutuelle Vivi Mai _ 19</t>
  </si>
  <si>
    <t>20190510 6063 Gulf 39,80 €</t>
  </si>
  <si>
    <t>Remb Consultation Cardio</t>
  </si>
  <si>
    <t>Consultation Cardio</t>
  </si>
  <si>
    <t>Dr Valizadeh</t>
  </si>
  <si>
    <t>20190510 8309 Inter 60,34 €</t>
  </si>
  <si>
    <t>20190511 4066 Sephora 39,75 €</t>
  </si>
  <si>
    <t>Cadeau Fête des mères</t>
  </si>
  <si>
    <t>Séphora</t>
  </si>
  <si>
    <t>20190511 4066 Dreillander 21,00 €</t>
  </si>
  <si>
    <t>Snack</t>
  </si>
  <si>
    <t>Carrefour Express ??</t>
  </si>
  <si>
    <t>Paypal ??</t>
  </si>
  <si>
    <t xml:space="preserve">Sandwichs Pain </t>
  </si>
  <si>
    <t>20190514 8309 Inter 57.17 €</t>
  </si>
  <si>
    <t>Bières Afligen</t>
  </si>
  <si>
    <t>Clope électronique</t>
  </si>
  <si>
    <t>Troc tz clope</t>
  </si>
  <si>
    <t>Ass Arona Echéancier</t>
  </si>
  <si>
    <t>Assurance Arona 15/04 non prlvé</t>
  </si>
  <si>
    <t>Cardif</t>
  </si>
  <si>
    <t>Assurance EIRL Mai _ 19</t>
  </si>
  <si>
    <t>Assurance Arona</t>
  </si>
  <si>
    <t>20190515 8309 CMRettel 59.47 €</t>
  </si>
  <si>
    <t>Crédit KA + Mai _ 19</t>
  </si>
  <si>
    <t>Internet + Fixe Mai _ 19</t>
  </si>
  <si>
    <t>Taxe Foncière Mai _ 19</t>
  </si>
  <si>
    <t>Taxe Habitation Mai _ 19</t>
  </si>
  <si>
    <t>20190516 6063 Paul 34,70 €</t>
  </si>
  <si>
    <t>Gateau Anniv Malone</t>
  </si>
  <si>
    <t>Paul</t>
  </si>
  <si>
    <t>Salade Pain</t>
  </si>
  <si>
    <t>20190517 8309 Inter 68.77 €</t>
  </si>
  <si>
    <t>20190521 8309 Aldi 65,30 € Sans Ticket</t>
  </si>
  <si>
    <t>Lavage Ka +</t>
  </si>
  <si>
    <t>Laurent Lavage</t>
  </si>
  <si>
    <t>Soins Dos</t>
  </si>
  <si>
    <t>Pharma Frisange</t>
  </si>
  <si>
    <t>Salade Sandwich</t>
  </si>
  <si>
    <t>Recharge Clope électronique</t>
  </si>
  <si>
    <t>20190518 6063 CMRettel 95,29 €</t>
  </si>
  <si>
    <t>Anniv Malone</t>
  </si>
  <si>
    <t>Gille</t>
  </si>
  <si>
    <t>Croissant</t>
  </si>
  <si>
    <t>20190501 Facture cantine Hugo Trim 2</t>
  </si>
  <si>
    <t>Cantine Trim 2 Hugo</t>
  </si>
  <si>
    <t>20190521 8309 CM Rettel 42,28 € Sans Ticket</t>
  </si>
  <si>
    <t>A Venir</t>
  </si>
  <si>
    <t>Rideau douche</t>
  </si>
  <si>
    <t>BricoMArché</t>
  </si>
  <si>
    <t>Action</t>
  </si>
  <si>
    <t>Pain sandwichs</t>
  </si>
  <si>
    <t>Stationnement Thionville</t>
  </si>
  <si>
    <t>Médocs Lio</t>
  </si>
  <si>
    <t>Salaire Lio Mai _ 19</t>
  </si>
  <si>
    <t>Hébergement Site Mai _ 19</t>
  </si>
  <si>
    <t>EDF Mai _ 19</t>
  </si>
  <si>
    <t>Inscription cantine journée rentrée</t>
  </si>
  <si>
    <t>College Sierck</t>
  </si>
  <si>
    <t>CH 8748510</t>
  </si>
  <si>
    <t>Arrhes pour inscription SPC 04/04/2019</t>
  </si>
  <si>
    <t>SPC</t>
  </si>
  <si>
    <t>FSE Livre Math</t>
  </si>
  <si>
    <t>FSE</t>
  </si>
  <si>
    <t>Livres college</t>
  </si>
  <si>
    <t>Estimation pizza</t>
  </si>
  <si>
    <t>EDF Fev _ 19</t>
  </si>
  <si>
    <t>Sortie Hugo</t>
  </si>
  <si>
    <t>Remb Réserve Privilège Juin _ 19</t>
  </si>
  <si>
    <t xml:space="preserve">FG Compte Vivi Juin </t>
  </si>
  <si>
    <t>Prêt immo 1 Juin _ 19</t>
  </si>
  <si>
    <t>Prêt immo 2 Juin _ 19</t>
  </si>
  <si>
    <t>Virt Lio FR Juin _ 19</t>
  </si>
  <si>
    <t xml:space="preserve">FG Compte Lio Juin </t>
  </si>
  <si>
    <t>20190603 LioFR Fac Musique 34689 136.00 €</t>
  </si>
  <si>
    <t>Musique Vivi</t>
  </si>
  <si>
    <t>NetFlix Juin _ 19</t>
  </si>
  <si>
    <t>Prlv Eau Juin _ 19</t>
  </si>
  <si>
    <t>Estimation Domiciliation Eau</t>
  </si>
  <si>
    <t>Allocations Juin _ 19</t>
  </si>
  <si>
    <t>Lunchtime Juin _ 19</t>
  </si>
  <si>
    <t>Estimation Loyer Arona</t>
  </si>
  <si>
    <t>Assurance appareils mobiles Juin _ 19</t>
  </si>
  <si>
    <t>Assurance KA+ Juin _ 19</t>
  </si>
  <si>
    <t>Assurance Berlingo Juin _ 19</t>
  </si>
  <si>
    <t>Assurance maison Juin _ 19</t>
  </si>
  <si>
    <t>Assurance Conduite Eau Juin _ 19</t>
  </si>
  <si>
    <t>Mobile Vivi Juin _ 19</t>
  </si>
  <si>
    <t>Assurance Vie Hugo Juin _ 19</t>
  </si>
  <si>
    <t>Assurance Vie Malone Juin _ 19</t>
  </si>
  <si>
    <t>Salaire Vivi Juin _ 19</t>
  </si>
  <si>
    <t>Prlvt Mutuelle Vivi Juin _ 19</t>
  </si>
  <si>
    <t>Prlvt Mobile Free Hugo Malone Lio Juin _ 19</t>
  </si>
  <si>
    <t>Assurance EIRL Juin _ 19</t>
  </si>
  <si>
    <t>Crédit KA + Juin _ 19</t>
  </si>
  <si>
    <t>Internet + Fixe Juin _ 19</t>
  </si>
  <si>
    <t>Taxe Foncière Juin _ 19</t>
  </si>
  <si>
    <t>Taxe Habitation Juin _ 19</t>
  </si>
  <si>
    <t>Salaire Lio Juin _ 19</t>
  </si>
  <si>
    <t>Hébergement Site Juin _ 19</t>
  </si>
  <si>
    <t>EDF Juin _ 19</t>
  </si>
  <si>
    <t>Itunes Juin _ 19</t>
  </si>
  <si>
    <t>Remb Réserve Privilège Juil _ 19</t>
  </si>
  <si>
    <t xml:space="preserve">FG Compte Vivi Juil </t>
  </si>
  <si>
    <t>Prêt immo 1 Juil _ 19</t>
  </si>
  <si>
    <t>Prêt immo 2 Juil _ 19</t>
  </si>
  <si>
    <t>Virt Lio FR Juil _ 19</t>
  </si>
  <si>
    <t xml:space="preserve">FG Compte Lio Juil </t>
  </si>
  <si>
    <t>NetFlix Juil _ 19</t>
  </si>
  <si>
    <t>Prlv Eau Juil _ 19</t>
  </si>
  <si>
    <t>Allocations Juil _ 19</t>
  </si>
  <si>
    <t>Lunchtime Juil _ 19</t>
  </si>
  <si>
    <t>Assurance appareils mobiles Juil _ 19</t>
  </si>
  <si>
    <t>Assurance KA+ Juil _ 19</t>
  </si>
  <si>
    <t>Assurance Berlingo Juil _ 19</t>
  </si>
  <si>
    <t>Assurance maison Juil _ 19</t>
  </si>
  <si>
    <t>Assurance Conduite Eau Juil _ 19</t>
  </si>
  <si>
    <t>Mobile Vivi Juil _ 19</t>
  </si>
  <si>
    <t>Assurance Vie Hugo Juil _ 19</t>
  </si>
  <si>
    <t>Assurance Vie Malone Juil _ 19</t>
  </si>
  <si>
    <t>Salaire Vivi Juil _ 19</t>
  </si>
  <si>
    <t>Prlvt Mutuelle Vivi Juil _ 19</t>
  </si>
  <si>
    <t>Prlvt Mobile Free Hugo Malone Lio Juil _ 19</t>
  </si>
  <si>
    <t>Assurance EIRL Juil _ 19</t>
  </si>
  <si>
    <t>Crédit KA + Juil _ 19</t>
  </si>
  <si>
    <t>Internet + Fixe Juil _ 19</t>
  </si>
  <si>
    <t>Taxe Foncière Juil _ 19</t>
  </si>
  <si>
    <t>Taxe Habitation Juil _ 19</t>
  </si>
  <si>
    <t>Salaire Lio Juil _ 19</t>
  </si>
  <si>
    <t>Hébergement Site Juil _ 19</t>
  </si>
  <si>
    <t>EDF Juil _ 19</t>
  </si>
  <si>
    <t>Itunes Juil _ 19</t>
  </si>
  <si>
    <t>Lunchtime Juillet _ 19</t>
  </si>
  <si>
    <t>Remb Réserve Privilège Aout _ 19</t>
  </si>
  <si>
    <t xml:space="preserve">FG Compte Vivi Aout </t>
  </si>
  <si>
    <t>Prêt immo 1 Aout _ 19</t>
  </si>
  <si>
    <t>Prêt immo 2 Aout _ 19</t>
  </si>
  <si>
    <t>Virt Lio FR Aout _ 19</t>
  </si>
  <si>
    <t xml:space="preserve">FG Compte Lio Aout </t>
  </si>
  <si>
    <t>NetFlix Aout _ 19</t>
  </si>
  <si>
    <t>Prlv Eau Aout _ 19</t>
  </si>
  <si>
    <t>Allocations Aout _ 19</t>
  </si>
  <si>
    <t>Lunchtime Aout _ 19</t>
  </si>
  <si>
    <t>Assurance appareils mobiles Aout _ 19</t>
  </si>
  <si>
    <t>Assurance KA+ Aout _ 19</t>
  </si>
  <si>
    <t>Assurance Berlingo Aout _ 19</t>
  </si>
  <si>
    <t>Assurance maison Aout _ 19</t>
  </si>
  <si>
    <t>Assurance Conduite Eau Aout _ 19</t>
  </si>
  <si>
    <t>Mobile Vivi Aout _ 19</t>
  </si>
  <si>
    <t>Assurance Vie Hugo Aout _ 19</t>
  </si>
  <si>
    <t>Assurance Vie Malone Aout _ 19</t>
  </si>
  <si>
    <t>Salaire Vivi Aout _ 19</t>
  </si>
  <si>
    <t>Prlvt Mutuelle Vivi Aout _ 19</t>
  </si>
  <si>
    <t>Prlvt Mobile Free Hugo Malone Lio Aout _ 19</t>
  </si>
  <si>
    <t>Assurance EIRL Aout _ 19</t>
  </si>
  <si>
    <t>Crédit KA + Aout _ 19</t>
  </si>
  <si>
    <t>Internet + Fixe Aout _ 19</t>
  </si>
  <si>
    <t>Taxe Foncière Aout _ 19</t>
  </si>
  <si>
    <t>Taxe Habitation Aout _ 19</t>
  </si>
  <si>
    <t>Salaire Lio Aout _ 19</t>
  </si>
  <si>
    <t>Hébergement Site Aout _ 19</t>
  </si>
  <si>
    <t>EDF Aout _ 19</t>
  </si>
  <si>
    <t>Itunes Aout _ 19</t>
  </si>
  <si>
    <t>Remb Réserve Privilège Sept _ 19</t>
  </si>
  <si>
    <t xml:space="preserve">FG Compte Vivi Sept </t>
  </si>
  <si>
    <t>Prêt immo 1 Sept _ 19</t>
  </si>
  <si>
    <t>Prêt immo 2 Sept _ 19</t>
  </si>
  <si>
    <t>Virt Lio FR Sept _ 19</t>
  </si>
  <si>
    <t xml:space="preserve">FG Compte Lio Sept </t>
  </si>
  <si>
    <t>NetFlix Sept _ 19</t>
  </si>
  <si>
    <t>Prlv Eau Sept _ 19</t>
  </si>
  <si>
    <t>Allocations Sept _ 19</t>
  </si>
  <si>
    <t>Lunchtime Sept _ 19</t>
  </si>
  <si>
    <t>Assurance appareils mobiles Sept _ 19</t>
  </si>
  <si>
    <t>Assurance KA+ Sept _ 19</t>
  </si>
  <si>
    <t>Assurance Berlingo Sept _ 19</t>
  </si>
  <si>
    <t>Assurance maison Sept _ 19</t>
  </si>
  <si>
    <t>Assurance Conduite Eau Sept _ 19</t>
  </si>
  <si>
    <t>Mobile Vivi Sept _ 19</t>
  </si>
  <si>
    <t>Assurance Vie Hugo Sept _ 19</t>
  </si>
  <si>
    <t>Assurance Vie Malone Sept _ 19</t>
  </si>
  <si>
    <t>Salaire Vivi Sept _ 19</t>
  </si>
  <si>
    <t>Prlvt Mutuelle Vivi Sept _ 19</t>
  </si>
  <si>
    <t>Prlvt Mobile Free Hugo Malone Lio Sept _ 19</t>
  </si>
  <si>
    <t>Assurance EIRL Sept _ 19</t>
  </si>
  <si>
    <t>Crédit KA + Sept _ 19</t>
  </si>
  <si>
    <t>Internet + Fixe Sept _ 19</t>
  </si>
  <si>
    <t>Taxe Foncière Sept _ 19</t>
  </si>
  <si>
    <t>Taxe Habitation Sept _ 19</t>
  </si>
  <si>
    <t>Salaire Lio Sept _ 19</t>
  </si>
  <si>
    <t>Hébergement Site Sept _ 19</t>
  </si>
  <si>
    <t>EDF Sept _ 19</t>
  </si>
  <si>
    <t>Lunchtime Septembre _ 19</t>
  </si>
  <si>
    <t>Itunes Sept _ 19</t>
  </si>
  <si>
    <t>Remb Réserve Privilège Oct _ 19</t>
  </si>
  <si>
    <t xml:space="preserve">FG Compte Vivi Oct </t>
  </si>
  <si>
    <t>Prêt immo 1 Oct _ 19</t>
  </si>
  <si>
    <t>Prêt immo 2 Oct _ 19</t>
  </si>
  <si>
    <t>Virt Lio FR Oct _ 19</t>
  </si>
  <si>
    <t xml:space="preserve">FG Compte Lio Oct </t>
  </si>
  <si>
    <t>NetFlix Oct _ 19</t>
  </si>
  <si>
    <t>Prlv Eau Oct _ 19</t>
  </si>
  <si>
    <t>Allocations Oct _ 19</t>
  </si>
  <si>
    <t>Lunchtime Oct _ 19</t>
  </si>
  <si>
    <t>Assurance appareils mobiles Oct _ 19</t>
  </si>
  <si>
    <t>Assurance KA+ Oct _ 19</t>
  </si>
  <si>
    <t>Assurance Berlingo Oct _ 19</t>
  </si>
  <si>
    <t>Assurance maison Oct _ 19</t>
  </si>
  <si>
    <t>Assurance Conduite Eau Oct _ 19</t>
  </si>
  <si>
    <t>Mobile Vivi Oct _ 19</t>
  </si>
  <si>
    <t>Assurance Vie Hugo Oct _ 19</t>
  </si>
  <si>
    <t>Assurance Vie Malone Oct _ 19</t>
  </si>
  <si>
    <t>Salaire Vivi Oct _ 19</t>
  </si>
  <si>
    <t>Prlvt Mutuelle Vivi Oct _ 19</t>
  </si>
  <si>
    <t>Prlvt Mobile Free Hugo Malone Lio Oct _ 19</t>
  </si>
  <si>
    <t>Assurance EIRL Oct _ 19</t>
  </si>
  <si>
    <t>Crédit KA + Oct _ 19</t>
  </si>
  <si>
    <t>Internet + Fixe Oct _ 19</t>
  </si>
  <si>
    <t>Taxe Foncière Oct _ 19</t>
  </si>
  <si>
    <t>Taxe Habitation Oct _ 19</t>
  </si>
  <si>
    <t>Salaire Lio Oct _ 19</t>
  </si>
  <si>
    <t>Hébergement Site Oct _ 19</t>
  </si>
  <si>
    <t>EDF Oct _ 19</t>
  </si>
  <si>
    <t>Itunes Oct _ 19</t>
  </si>
  <si>
    <t>Lunchtime Octobre _ 19</t>
  </si>
  <si>
    <t>Remb Réserve Privilège Nov _ 19</t>
  </si>
  <si>
    <t xml:space="preserve">FG Compte Vivi Nov </t>
  </si>
  <si>
    <t>Prêt immo 1 Nov _ 19</t>
  </si>
  <si>
    <t>Prêt immo 2 Nov _ 19</t>
  </si>
  <si>
    <t>Virt Lio FR Nov _ 19</t>
  </si>
  <si>
    <t xml:space="preserve">FG Compte Lio Nov </t>
  </si>
  <si>
    <t>NetFlix Nov _ 19</t>
  </si>
  <si>
    <t>Prlv Eau Nov _ 19</t>
  </si>
  <si>
    <t>Allocations Nov _ 19</t>
  </si>
  <si>
    <t>Lunchtime Nov _ 19</t>
  </si>
  <si>
    <t>Assurance appareils mobiles Nov _ 19</t>
  </si>
  <si>
    <t>Assurance KA+ Nov _ 19</t>
  </si>
  <si>
    <t>Assurance Berlingo Nov _ 19</t>
  </si>
  <si>
    <t>Assurance maison Nov _ 19</t>
  </si>
  <si>
    <t>Assurance Conduite Eau Nov _ 19</t>
  </si>
  <si>
    <t>Mobile Vivi Nov _ 19</t>
  </si>
  <si>
    <t>Assurance Vie Hugo Nov _ 19</t>
  </si>
  <si>
    <t>Assurance Vie Malone Nov _ 19</t>
  </si>
  <si>
    <t>Salaire Vivi Nov _ 19</t>
  </si>
  <si>
    <t>Prlvt Mutuelle Vivi Nov _ 19</t>
  </si>
  <si>
    <t>Prlvt Mobile Free Hugo Malone Lio Nov _ 19</t>
  </si>
  <si>
    <t>Assurance EIRL Nov _ 19</t>
  </si>
  <si>
    <t>Crédit KA + Nov _ 19</t>
  </si>
  <si>
    <t>Internet + Fixe Nov _ 19</t>
  </si>
  <si>
    <t>Taxe Foncière Nov _ 19</t>
  </si>
  <si>
    <t>Taxe Habitation Nov _ 19</t>
  </si>
  <si>
    <t>Salaire Lio Nov _ 19</t>
  </si>
  <si>
    <t>Hébergement Site Nov _ 19</t>
  </si>
  <si>
    <t>EDF Nov _ 19</t>
  </si>
  <si>
    <t>Itunes Nov _ 19</t>
  </si>
  <si>
    <t>Remb Réserve Privilège Dec _ 19</t>
  </si>
  <si>
    <t xml:space="preserve">FG Compte Vivi Dec </t>
  </si>
  <si>
    <t>Prêt immo 1 Dec _ 19</t>
  </si>
  <si>
    <t>Prêt immo 2 Dec _ 19</t>
  </si>
  <si>
    <t xml:space="preserve">FG Compte Lio Dec </t>
  </si>
  <si>
    <t>NetFlix Dec _ 19</t>
  </si>
  <si>
    <t>Prlv Eau Dec _ 19</t>
  </si>
  <si>
    <t>Allocations Dec _ 19</t>
  </si>
  <si>
    <t>Lunchtime Dec _ 19</t>
  </si>
  <si>
    <t>Assurance appareils mobiles Dec _ 19</t>
  </si>
  <si>
    <t>Assurance KA+ Dec _ 19</t>
  </si>
  <si>
    <t>Assurance Berlingo Dec _ 19</t>
  </si>
  <si>
    <t>Assurance maison Dec _ 19</t>
  </si>
  <si>
    <t>Assurance Conduite Eau Dec _ 19</t>
  </si>
  <si>
    <t>Mobile Vivi Dec _ 19</t>
  </si>
  <si>
    <t>Assurance Vie Hugo Dec _ 19</t>
  </si>
  <si>
    <t>Assurance Vie Malone Dec _ 19</t>
  </si>
  <si>
    <t>Salaire Vivi Dec _ 19</t>
  </si>
  <si>
    <t>Prlvt Mutuelle Vivi Dec _ 19</t>
  </si>
  <si>
    <t>Prlvt Mobile Free Hugo Malone Lio Dec _ 19</t>
  </si>
  <si>
    <t>Assurance EIRL Dec _ 19</t>
  </si>
  <si>
    <t>Crédit KA + Dec _ 19</t>
  </si>
  <si>
    <t>Internet + Fixe Dec _ 19</t>
  </si>
  <si>
    <t>Taxe Foncière Dec _ 19</t>
  </si>
  <si>
    <t>Taxe Habitation Dec _ 19</t>
  </si>
  <si>
    <t>Salaire Lio Dec _ 19</t>
  </si>
  <si>
    <t>Hébergement Site Dec _ 19</t>
  </si>
  <si>
    <t>EDF Dec _ 19</t>
  </si>
  <si>
    <t>Itunes Dec _ 19</t>
  </si>
  <si>
    <t>Consultation Lio</t>
  </si>
  <si>
    <t>Moyen Paiement</t>
  </si>
  <si>
    <t>Date op</t>
  </si>
  <si>
    <t>Date débit</t>
  </si>
  <si>
    <t>Libellé</t>
  </si>
  <si>
    <t>Affectation</t>
  </si>
  <si>
    <t>Tiers</t>
  </si>
  <si>
    <t>Débit</t>
  </si>
  <si>
    <t>Mois</t>
  </si>
  <si>
    <t>REC / DEP</t>
  </si>
  <si>
    <t>pièce</t>
  </si>
  <si>
    <t>100 Patates</t>
  </si>
  <si>
    <t>Non</t>
  </si>
  <si>
    <t xml:space="preserve">Anniversaire Vivi </t>
  </si>
  <si>
    <t>Anne</t>
  </si>
  <si>
    <t>Aral Mondorf</t>
  </si>
  <si>
    <t>V-Paye</t>
  </si>
  <si>
    <t>Art de Cornouailles Quimper</t>
  </si>
  <si>
    <t>Sans Contact</t>
  </si>
  <si>
    <t>Au Bureau</t>
  </si>
  <si>
    <t>Création CD3F</t>
  </si>
  <si>
    <t>Auchan</t>
  </si>
  <si>
    <t>Bar à Ongles</t>
  </si>
  <si>
    <t>Bar du Lac</t>
  </si>
  <si>
    <t>BB Store</t>
  </si>
  <si>
    <t>Bon Prix</t>
  </si>
  <si>
    <t>Frais renvois Free box</t>
  </si>
  <si>
    <t>Boucherie Hallal</t>
  </si>
  <si>
    <t>Bougies Charro</t>
  </si>
  <si>
    <t>Bricomarché</t>
  </si>
  <si>
    <t>Brioche Dorée</t>
  </si>
  <si>
    <t>Brochette and Cie</t>
  </si>
  <si>
    <t>Buffalo</t>
  </si>
  <si>
    <t>Bureau Vallée</t>
  </si>
  <si>
    <t>Ca c'est moi</t>
  </si>
  <si>
    <t>Café Flamme</t>
  </si>
  <si>
    <t>Campavil</t>
  </si>
  <si>
    <t>Carrefour Contact Clohars</t>
  </si>
  <si>
    <t>Carrefour Contact Metzervisse</t>
  </si>
  <si>
    <t>Cat Epis</t>
  </si>
  <si>
    <t>Central Hand Ball</t>
  </si>
  <si>
    <t>Chausséa</t>
  </si>
  <si>
    <t>Chaussexpo</t>
  </si>
  <si>
    <t>Chi Chi s</t>
  </si>
  <si>
    <t>Club canin</t>
  </si>
  <si>
    <t>CM Manom</t>
  </si>
  <si>
    <t>CM Yutz</t>
  </si>
  <si>
    <t>CNPF</t>
  </si>
  <si>
    <t>Coiffure Eve</t>
  </si>
  <si>
    <t>College</t>
  </si>
  <si>
    <t>Collége Général De Gaulle</t>
  </si>
  <si>
    <t>Conter</t>
  </si>
  <si>
    <t>Créperie l'Ardoise</t>
  </si>
  <si>
    <t>Cultura</t>
  </si>
  <si>
    <t>Del Arte</t>
  </si>
  <si>
    <t>Di Verso</t>
  </si>
  <si>
    <t>Dock 39</t>
  </si>
  <si>
    <t>Dr Coupez</t>
  </si>
  <si>
    <t>Dr Sedki</t>
  </si>
  <si>
    <t>Dr Weidmann</t>
  </si>
  <si>
    <t>Drive Intermarché Basse-Ham</t>
  </si>
  <si>
    <t>Erin Kirbach</t>
  </si>
  <si>
    <t>Esso Remerschen</t>
  </si>
  <si>
    <t>Etam Lingerie</t>
  </si>
  <si>
    <t>Fête des Cerises</t>
  </si>
  <si>
    <t>Fleuriiste Koenigs</t>
  </si>
  <si>
    <t>Florence Laura</t>
  </si>
  <si>
    <t xml:space="preserve">Garage Ford </t>
  </si>
  <si>
    <t>Getty image</t>
  </si>
  <si>
    <t>Gocho</t>
  </si>
  <si>
    <t>Gourmandises et chocolats</t>
  </si>
  <si>
    <t>Grazia</t>
  </si>
  <si>
    <t>Gulf Schengen</t>
  </si>
  <si>
    <t>Hoffman</t>
  </si>
  <si>
    <t>Hôte distingué</t>
  </si>
  <si>
    <t>Hotel mercure</t>
  </si>
  <si>
    <t>ID Macif</t>
  </si>
  <si>
    <t>Ikéa</t>
  </si>
  <si>
    <t>Intersport</t>
  </si>
  <si>
    <t>Italien Bd Royal</t>
  </si>
  <si>
    <t>Jardin d'Arômes</t>
  </si>
  <si>
    <t>Jeff De Bruges</t>
  </si>
  <si>
    <t>Jules</t>
  </si>
  <si>
    <t>Julien D'Orcel</t>
  </si>
  <si>
    <t>Kébab Perl</t>
  </si>
  <si>
    <t>Kiko334</t>
  </si>
  <si>
    <t>Kinépolis</t>
  </si>
  <si>
    <t>La Fnac</t>
  </si>
  <si>
    <t>La grande récrée</t>
  </si>
  <si>
    <t>La Halle</t>
  </si>
  <si>
    <t>La Maison des Vins</t>
  </si>
  <si>
    <t>La Table du Pain</t>
  </si>
  <si>
    <t>Labo Gesond .lu</t>
  </si>
  <si>
    <t>Labo Symbiose</t>
  </si>
  <si>
    <t>LaMarina</t>
  </si>
  <si>
    <t>Lampert Didier</t>
  </si>
  <si>
    <t>L'Arlequin</t>
  </si>
  <si>
    <t>L'art du Pain</t>
  </si>
  <si>
    <t>L'atelier</t>
  </si>
  <si>
    <t xml:space="preserve">Lavage Laurent </t>
  </si>
  <si>
    <t>Le Cornouailles Concarneau</t>
  </si>
  <si>
    <t>Le Crech-Kerio</t>
  </si>
  <si>
    <t>Le Manège à bijoux</t>
  </si>
  <si>
    <t>Le Megan Concarneau</t>
  </si>
  <si>
    <t>Le Relais de la Tour</t>
  </si>
  <si>
    <t>Le Snooze</t>
  </si>
  <si>
    <t>Le Talisman</t>
  </si>
  <si>
    <t>Les Princes</t>
  </si>
  <si>
    <t>LeThillot</t>
  </si>
  <si>
    <t>Lidle</t>
  </si>
  <si>
    <t>Location Pouldu</t>
  </si>
  <si>
    <t>Loren Kitzinger</t>
  </si>
  <si>
    <t>Ma housse</t>
  </si>
  <si>
    <t>Magnascole</t>
  </si>
  <si>
    <t>Mamacita</t>
  </si>
  <si>
    <t>Marc Orian</t>
  </si>
  <si>
    <t>MarieBlachère</t>
  </si>
  <si>
    <t>Martin Gersende</t>
  </si>
  <si>
    <t>Matelot</t>
  </si>
  <si>
    <t>Mathieu Nicole</t>
  </si>
  <si>
    <t>Maxitoys</t>
  </si>
  <si>
    <t>Merchez</t>
  </si>
  <si>
    <t>Metz Handball</t>
  </si>
  <si>
    <t>Microsoft</t>
  </si>
  <si>
    <t>Mosser</t>
  </si>
  <si>
    <t>NAFNAF</t>
  </si>
  <si>
    <t>Natio</t>
  </si>
  <si>
    <t>Nespresso</t>
  </si>
  <si>
    <t>Nicole_ JJ</t>
  </si>
  <si>
    <t>Nocibé</t>
  </si>
  <si>
    <t>Norma</t>
  </si>
  <si>
    <t>Olivier Dachkin</t>
  </si>
  <si>
    <t>Onesto</t>
  </si>
  <si>
    <t>Oney</t>
  </si>
  <si>
    <t>Orchestra</t>
  </si>
  <si>
    <t>Pains et fantaisies</t>
  </si>
  <si>
    <t>Pandorra</t>
  </si>
  <si>
    <t>Paris 8</t>
  </si>
  <si>
    <t>Parking Glacis</t>
  </si>
  <si>
    <t>Parking Quimper</t>
  </si>
  <si>
    <t>Parking Schumann</t>
  </si>
  <si>
    <t>Pascal Vinckel</t>
  </si>
  <si>
    <t>Passion El</t>
  </si>
  <si>
    <t>Pasta Nonna</t>
  </si>
  <si>
    <t>Pension 1001 Pattes</t>
  </si>
  <si>
    <t>Peter</t>
  </si>
  <si>
    <t>Pimkie</t>
  </si>
  <si>
    <t>Pizza Pai</t>
  </si>
  <si>
    <t>Poulallon</t>
  </si>
  <si>
    <t>PSG</t>
  </si>
  <si>
    <t>Q8</t>
  </si>
  <si>
    <t>Red Beef</t>
  </si>
  <si>
    <t>Rehlinger Dominique</t>
  </si>
  <si>
    <t xml:space="preserve">Relay Gare </t>
  </si>
  <si>
    <t>Resto ToulBoss</t>
  </si>
  <si>
    <t>Sanef</t>
  </si>
  <si>
    <t>Schmitt</t>
  </si>
  <si>
    <t>Sedki Emmanuelle</t>
  </si>
  <si>
    <t xml:space="preserve">Snack </t>
  </si>
  <si>
    <t>SNCF</t>
  </si>
  <si>
    <t>Sosh</t>
  </si>
  <si>
    <t>Souvenirs de Paris</t>
  </si>
  <si>
    <t>Sport et loisirs Sierck</t>
  </si>
  <si>
    <t>Stade Rennais</t>
  </si>
  <si>
    <t>Stany Mabiala</t>
  </si>
  <si>
    <t>Station BP</t>
  </si>
  <si>
    <t>Station Cristal</t>
  </si>
  <si>
    <t>Strogoff</t>
  </si>
  <si>
    <t>Subway</t>
  </si>
  <si>
    <t>Taxis Parisiens</t>
  </si>
  <si>
    <t>Texaco Frisange</t>
  </si>
  <si>
    <t>Total Frisange</t>
  </si>
  <si>
    <t>Total Schengen</t>
  </si>
  <si>
    <t>Toyota</t>
  </si>
  <si>
    <t>Tribunal d'instance</t>
  </si>
  <si>
    <t>Uber</t>
  </si>
  <si>
    <t>URSSAF</t>
  </si>
  <si>
    <t>Vedettes de Bréhat</t>
  </si>
  <si>
    <t>Veneziano Yutz</t>
  </si>
  <si>
    <t>Ville Luxembourg</t>
  </si>
  <si>
    <t>VistaPrint</t>
  </si>
  <si>
    <t>Vivianne White</t>
  </si>
  <si>
    <t>Vogue Coiffure</t>
  </si>
  <si>
    <t>Walygator</t>
  </si>
  <si>
    <t>Yves Rocher</t>
  </si>
  <si>
    <t>Zong Hua Remich</t>
  </si>
  <si>
    <t>StatutInternet</t>
  </si>
  <si>
    <t>Créer un bouton pour lancer le formulaire pour encoder une nouvelle opération</t>
  </si>
  <si>
    <t>Faire que le bouton fasse sortir du formulaire</t>
  </si>
  <si>
    <t>'Saisie de l'opération dans la base opération</t>
  </si>
  <si>
    <t xml:space="preserve">    Dim ligne As Integer</t>
  </si>
  <si>
    <t xml:space="preserve">    ligne = Sheets("operations").[a3].End(xlDown).Row + 1</t>
  </si>
  <si>
    <t xml:space="preserve">    </t>
  </si>
  <si>
    <t xml:space="preserve">    MsgBox ligne</t>
  </si>
  <si>
    <t>Renvois le num de ligne sur laquelle sera crée
 l'opération</t>
  </si>
  <si>
    <t>Statut Internet</t>
  </si>
  <si>
    <t>Private Sub CommandButton1_Click()</t>
  </si>
  <si>
    <t xml:space="preserve">    'Saisie de l'opération dans la base opération</t>
  </si>
  <si>
    <t xml:space="preserve">    ligne = Sheets("operations").[a1].End(xlDown).Row + 1</t>
  </si>
  <si>
    <t xml:space="preserve">    Sheets("operations").Range("a" &amp; ligne) = ComboBox_Comptes</t>
  </si>
  <si>
    <t xml:space="preserve">    Sheets("operations").Range("b" &amp; ligne) = ComboBox_MoyenPaiement</t>
  </si>
  <si>
    <t xml:space="preserve">    Sheets("operations").Range("c" &amp; ligne) = TextBox_Pieces</t>
  </si>
  <si>
    <t xml:space="preserve">    Sheets("operations").Range("d" &amp; ligne) = CDate(TextBox_DateOp)</t>
  </si>
  <si>
    <t xml:space="preserve">    Sheets("operations").Range("e" &amp; ligne) = CDate(TextBox_Datedebit)</t>
  </si>
  <si>
    <t xml:space="preserve">    Sheets("operations").Range("f" &amp; ligne) = TextBox_Libelle</t>
  </si>
  <si>
    <t xml:space="preserve">    Sheets("operations").Range("g" &amp; ligne) = ComboBox_Affectation</t>
  </si>
  <si>
    <t xml:space="preserve">    Sheets("operations").Range("h" &amp; ligne) = ComboBox_Tiers</t>
  </si>
  <si>
    <t xml:space="preserve">    Sheets("operations").Range("i" &amp; ligne) = ComboBox_StatutInternet</t>
  </si>
  <si>
    <t xml:space="preserve">    Sheets("operations").Range("j" &amp; ligne) = TextBox_Montant</t>
  </si>
  <si>
    <t xml:space="preserve">   Unload Me</t>
  </si>
  <si>
    <t>End Sub</t>
  </si>
  <si>
    <t>Private Sub UserForm_Click()</t>
  </si>
  <si>
    <t>Code de saisie nouvelle opération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</si>
</sst>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8" formatCode="#,##0.00\ &quot;€&quot;;[Red]\-#,##0.00\ &quot;€&quot;"/>
    <numFmt numFmtId="164" formatCode="[$-40C]d\-mmm\-yy;@"/>
  </numFmts>
  <fonts count="11" x14ac:knownFonts="1">
    <font>
      <sz val="8"/>
      <color theme="1"/>
      <name val="Calibri"/>
      <family val="2"/>
      <scheme val="minor"/>
    </font>
    <font>
      <sz val="8"/>
      <color rgb="FFFF0000"/>
      <name val="Calibri"/>
      <family val="2"/>
      <scheme val="minor"/>
    </font>
    <font>
      <b/>
      <sz val="8"/>
      <color theme="1"/>
      <name val="Calibri"/>
      <family val="2"/>
      <scheme val="minor"/>
    </font>
    <font>
      <u/>
      <sz val="8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rgb="FF333333"/>
      <name val="Arial"/>
      <family val="2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i/>
      <sz val="12"/>
      <color rgb="FFFF0000"/>
      <name val="Comic Sans MS"/>
      <family val="4"/>
    </font>
    <font>
      <b/>
      <sz val="8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1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7">
    <xf numFmtId="0" fontId="0" fillId="0" borderId="0" xfId="0"/>
    <xf numFmtId="0" fontId="3" fillId="0" borderId="0" xfId="1"/>
    <xf numFmtId="164" fontId="0" fillId="0" borderId="0" xfId="0" applyNumberFormat="1"/>
    <xf numFmtId="8" fontId="0" fillId="0" borderId="0" xfId="0" applyNumberFormat="1"/>
    <xf numFmtId="16" fontId="0" fillId="0" borderId="0" xfId="0" applyNumberFormat="1"/>
    <xf numFmtId="0" fontId="0" fillId="0" borderId="0" xfId="0" applyAlignment="1">
      <alignment horizontal="left"/>
    </xf>
    <xf numFmtId="8" fontId="4" fillId="0" borderId="0" xfId="0" applyNumberFormat="1" applyFont="1"/>
    <xf numFmtId="17" fontId="0" fillId="0" borderId="0" xfId="0" applyNumberFormat="1" applyAlignment="1">
      <alignment horizontal="left"/>
    </xf>
    <xf numFmtId="17" fontId="3" fillId="0" borderId="0" xfId="1" applyNumberFormat="1" applyAlignment="1">
      <alignment horizontal="left"/>
    </xf>
    <xf numFmtId="0" fontId="5" fillId="0" borderId="0" xfId="0" applyFont="1"/>
    <xf numFmtId="17" fontId="0" fillId="0" borderId="0" xfId="0" applyNumberFormat="1" applyFill="1" applyBorder="1" applyAlignment="1">
      <alignment horizontal="left"/>
    </xf>
    <xf numFmtId="17" fontId="3" fillId="0" borderId="0" xfId="1" applyNumberFormat="1" applyFill="1" applyBorder="1" applyAlignment="1">
      <alignment horizontal="left"/>
    </xf>
    <xf numFmtId="0" fontId="0" fillId="2" borderId="0" xfId="0" applyFill="1"/>
    <xf numFmtId="164" fontId="0" fillId="2" borderId="0" xfId="0" applyNumberFormat="1" applyFill="1"/>
    <xf numFmtId="164" fontId="6" fillId="3" borderId="0" xfId="0" applyNumberFormat="1" applyFont="1" applyFill="1" applyAlignment="1">
      <alignment horizontal="center"/>
    </xf>
    <xf numFmtId="0" fontId="6" fillId="3" borderId="0" xfId="0" applyFont="1" applyFill="1" applyAlignment="1">
      <alignment horizontal="center"/>
    </xf>
    <xf numFmtId="8" fontId="7" fillId="3" borderId="0" xfId="0" applyNumberFormat="1" applyFont="1" applyFill="1" applyAlignment="1">
      <alignment horizontal="center"/>
    </xf>
    <xf numFmtId="0" fontId="6" fillId="3" borderId="0" xfId="0" applyFont="1" applyFill="1"/>
    <xf numFmtId="0" fontId="2" fillId="3" borderId="0" xfId="0" applyFont="1" applyFill="1"/>
    <xf numFmtId="8" fontId="2" fillId="3" borderId="0" xfId="0" applyNumberFormat="1" applyFont="1" applyFill="1"/>
    <xf numFmtId="0" fontId="1" fillId="3" borderId="0" xfId="0" applyFont="1" applyFill="1"/>
    <xf numFmtId="8" fontId="9" fillId="3" borderId="0" xfId="0" applyNumberFormat="1" applyFont="1" applyFill="1" applyAlignment="1">
      <alignment horizontal="center"/>
    </xf>
    <xf numFmtId="8" fontId="0" fillId="0" borderId="0" xfId="0" applyNumberFormat="1" applyFont="1"/>
    <xf numFmtId="8" fontId="10" fillId="0" borderId="0" xfId="0" applyNumberFormat="1" applyFont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" fillId="4" borderId="0" xfId="0" applyFont="1" applyFill="1" applyAlignment="1">
      <alignment horizontal="center" vertical="center"/>
    </xf>
  </cellXfs>
  <cellStyles count="2">
    <cellStyle name="Lien hypertexte" xfId="1" builtinId="8"/>
    <cellStyle name="Normal" xfId="0" builtinId="0"/>
  </cellStyles>
  <dxfs count="1068"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2.xml"/><Relationship Id="rId7" Type="http://schemas.openxmlformats.org/officeDocument/2006/relationships/externalLink" Target="externalLinks/externalLink2.xml"/><Relationship Id="rId12" Type="http://schemas.microsoft.com/office/2006/relationships/vbaProject" Target="vbaProject.bin"/><Relationship Id="rId2" Type="http://schemas.microsoft.com/office/2006/relationships/xlMacrosheet" Target="macrosheets/sheet1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calcChain" Target="calcChain.xml"/><Relationship Id="rId5" Type="http://schemas.openxmlformats.org/officeDocument/2006/relationships/worksheet" Target="worksheets/sheet4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3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19470</xdr:colOff>
      <xdr:row>18</xdr:row>
      <xdr:rowOff>19051</xdr:rowOff>
    </xdr:from>
    <xdr:to>
      <xdr:col>16</xdr:col>
      <xdr:colOff>657225</xdr:colOff>
      <xdr:row>24</xdr:row>
      <xdr:rowOff>19051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505870" y="3305176"/>
          <a:ext cx="6124155" cy="857250"/>
        </a:xfrm>
        <a:prstGeom prst="rect">
          <a:avLst/>
        </a:prstGeom>
      </xdr:spPr>
    </xdr:pic>
    <xdr:clientData/>
  </xdr:twoCellAnchor>
  <xdr:twoCellAnchor editAs="oneCell">
    <xdr:from>
      <xdr:col>6</xdr:col>
      <xdr:colOff>0</xdr:colOff>
      <xdr:row>1</xdr:row>
      <xdr:rowOff>0</xdr:rowOff>
    </xdr:from>
    <xdr:to>
      <xdr:col>9</xdr:col>
      <xdr:colOff>494981</xdr:colOff>
      <xdr:row>15</xdr:row>
      <xdr:rowOff>142607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4114800" y="142875"/>
          <a:ext cx="2552381" cy="2142857"/>
        </a:xfrm>
        <a:prstGeom prst="rect">
          <a:avLst/>
        </a:prstGeom>
      </xdr:spPr>
    </xdr:pic>
    <xdr:clientData/>
  </xdr:twoCellAnchor>
  <xdr:twoCellAnchor editAs="oneCell">
    <xdr:from>
      <xdr:col>8</xdr:col>
      <xdr:colOff>676275</xdr:colOff>
      <xdr:row>26</xdr:row>
      <xdr:rowOff>9525</xdr:rowOff>
    </xdr:from>
    <xdr:to>
      <xdr:col>12</xdr:col>
      <xdr:colOff>571500</xdr:colOff>
      <xdr:row>30</xdr:row>
      <xdr:rowOff>95168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6162675" y="3724275"/>
          <a:ext cx="2638425" cy="657143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28575</xdr:colOff>
          <xdr:row>0</xdr:row>
          <xdr:rowOff>0</xdr:rowOff>
        </xdr:from>
        <xdr:to>
          <xdr:col>14</xdr:col>
          <xdr:colOff>628650</xdr:colOff>
          <xdr:row>0</xdr:row>
          <xdr:rowOff>171450</xdr:rowOff>
        </xdr:to>
        <xdr:sp macro="" textlink="">
          <xdr:nvSpPr>
            <xdr:cNvPr id="2052" name="Button 4" hidden="1">
              <a:extLst>
                <a:ext uri="{63B3BB69-23CF-44E3-9099-C40C66FF867C}">
                  <a14:compatExt spid="_x0000_s2052"/>
                </a:ext>
                <a:ext uri="{FF2B5EF4-FFF2-40B4-BE49-F238E27FC236}">
                  <a16:creationId xmlns:a16="http://schemas.microsoft.com/office/drawing/2014/main" id="{00000000-0008-0000-0200-00000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41148" rIns="36576" bIns="41148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FF0000"/>
                  </a:solidFill>
                  <a:latin typeface="Comic Sans MS"/>
                </a:rPr>
                <a:t>Saisir Nouvelle opération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28575</xdr:colOff>
          <xdr:row>991</xdr:row>
          <xdr:rowOff>0</xdr:rowOff>
        </xdr:from>
        <xdr:to>
          <xdr:col>14</xdr:col>
          <xdr:colOff>628650</xdr:colOff>
          <xdr:row>992</xdr:row>
          <xdr:rowOff>171450</xdr:rowOff>
        </xdr:to>
        <xdr:sp macro="" textlink="">
          <xdr:nvSpPr>
            <xdr:cNvPr id="2053" name="Button 5" hidden="1">
              <a:extLst>
                <a:ext uri="{63B3BB69-23CF-44E3-9099-C40C66FF867C}">
                  <a14:compatExt spid="_x0000_s2053"/>
                </a:ext>
                <a:ext uri="{FF2B5EF4-FFF2-40B4-BE49-F238E27FC236}">
                  <a16:creationId xmlns:a16="http://schemas.microsoft.com/office/drawing/2014/main" id="{00000000-0008-0000-0200-00000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41148" rIns="36576" bIns="41148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FF0000"/>
                  </a:solidFill>
                  <a:latin typeface="Comic Sans MS"/>
                </a:rPr>
                <a:t>Saisir Nouvelle opération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28575</xdr:colOff>
          <xdr:row>0</xdr:row>
          <xdr:rowOff>0</xdr:rowOff>
        </xdr:from>
        <xdr:to>
          <xdr:col>14</xdr:col>
          <xdr:colOff>628650</xdr:colOff>
          <xdr:row>1</xdr:row>
          <xdr:rowOff>171450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00000000-0008-0000-04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41148" rIns="36576" bIns="41148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FF0000"/>
                  </a:solidFill>
                  <a:latin typeface="Comic Sans MS"/>
                </a:rPr>
                <a:t>Saisir Nouvelle opération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omptes/Comptes%202019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Comptes/Cpte%20201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ées"/>
      <sheetName val="Listes"/>
      <sheetName val="Janv 2019"/>
      <sheetName val="Fév 2019"/>
      <sheetName val="Mars 2019 "/>
      <sheetName val="Avril 2019"/>
      <sheetName val="Mai 2019 Archive"/>
      <sheetName val="Mai 2019"/>
      <sheetName val="Juin 2019"/>
      <sheetName val="A venir"/>
      <sheetName val="Budget"/>
      <sheetName val="Feuil4"/>
    </sheetNames>
    <sheetDataSet>
      <sheetData sheetId="0"/>
      <sheetData sheetId="1">
        <row r="2">
          <cell r="G2" t="str">
            <v>Période</v>
          </cell>
          <cell r="I2" t="str">
            <v>Date débit</v>
          </cell>
        </row>
        <row r="3">
          <cell r="G3">
            <v>43449</v>
          </cell>
          <cell r="H3">
            <v>43483</v>
          </cell>
          <cell r="I3">
            <v>43507</v>
          </cell>
        </row>
        <row r="4">
          <cell r="G4">
            <v>43484</v>
          </cell>
          <cell r="H4">
            <v>43519</v>
          </cell>
          <cell r="I4">
            <v>43535</v>
          </cell>
        </row>
        <row r="5">
          <cell r="G5">
            <v>43520</v>
          </cell>
          <cell r="H5">
            <v>43547</v>
          </cell>
          <cell r="I5">
            <v>43566</v>
          </cell>
        </row>
        <row r="6">
          <cell r="G6">
            <v>43548</v>
          </cell>
          <cell r="H6">
            <v>43573</v>
          </cell>
          <cell r="I6">
            <v>43596</v>
          </cell>
        </row>
        <row r="7">
          <cell r="G7">
            <v>43574</v>
          </cell>
          <cell r="H7">
            <v>43606</v>
          </cell>
          <cell r="I7">
            <v>43627</v>
          </cell>
        </row>
        <row r="8">
          <cell r="G8">
            <v>43607</v>
          </cell>
          <cell r="H8">
            <v>43637</v>
          </cell>
          <cell r="I8">
            <v>43657</v>
          </cell>
        </row>
        <row r="9">
          <cell r="G9">
            <v>43638</v>
          </cell>
          <cell r="H9">
            <v>43668</v>
          </cell>
          <cell r="I9">
            <v>43688</v>
          </cell>
        </row>
        <row r="10">
          <cell r="G10">
            <v>43669</v>
          </cell>
          <cell r="H10">
            <v>43699</v>
          </cell>
          <cell r="I10">
            <v>43719</v>
          </cell>
        </row>
        <row r="11">
          <cell r="G11">
            <v>43700</v>
          </cell>
          <cell r="H11">
            <v>43730</v>
          </cell>
          <cell r="I11">
            <v>43749</v>
          </cell>
        </row>
        <row r="12">
          <cell r="G12">
            <v>43731</v>
          </cell>
          <cell r="H12">
            <v>43761</v>
          </cell>
          <cell r="I12">
            <v>43780</v>
          </cell>
        </row>
        <row r="13">
          <cell r="G13">
            <v>43762</v>
          </cell>
          <cell r="H13">
            <v>43792</v>
          </cell>
          <cell r="I13">
            <v>43810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ées"/>
      <sheetName val="CartesPériode"/>
      <sheetName val="Listes"/>
      <sheetName val="Soldes"/>
      <sheetName val="Nov 2018"/>
      <sheetName val="Dec 2018 (2)"/>
      <sheetName val="Janv 2019"/>
      <sheetName val="Fev 2019"/>
      <sheetName val="Données futures"/>
      <sheetName val="Données archivées"/>
      <sheetName val="A venir LIO FR"/>
      <sheetName val="A venir Vivi FR"/>
      <sheetName val="Cash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</sheetDataSet>
  </externalBook>
</externalLink>
</file>

<file path=xl/macrosheets/sheet1.xml><?xml version="1.0" encoding="utf-8"?>
<xm:macrosheet xmlns="http://schemas.openxmlformats.org/spreadsheetml/2006/main" xmlns:xm="http://schemas.microsoft.com/office/exce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xmlns:xr6="http://schemas.microsoft.com/office/spreadsheetml/2016/revision6" mc:Ignorable="x14ac xr xr2 xr3 xr6" xr6:uid="{759BA0B1-9D28-4100-A5BD-E7FD37B144E9}">
  <dimension ref="A1"/>
  <sheetViews>
    <sheetView showFormulas="1" workbookViewId="0"/>
  </sheetViews>
  <sheetFormatPr baseColWidth="10" defaultRowHeight="11.25" x14ac:dyDescent="0.2"/>
  <sheetData/>
  <pageMargins left="0.7" right="0.7" top="0.75" bottom="0.75" header="0.3" footer="0.3"/>
</xm:macrosheet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www.youtube.com/watch?v=5pR_CnvhR9M" TargetMode="External"/></Relationships>
</file>

<file path=xl/worksheets/_rels/sheet2.xml.rels><?xml version="1.0" encoding="UTF-8" standalone="yes"?>
<Relationships xmlns="http://schemas.openxmlformats.org/package/2006/relationships"><Relationship Id="rId26" Type="http://schemas.openxmlformats.org/officeDocument/2006/relationships/hyperlink" Target="..\Factures%20Ticket%20caisse\20190419%20CD3F%20Site_facture202514063936.pdf" TargetMode="External"/><Relationship Id="rId21" Type="http://schemas.openxmlformats.org/officeDocument/2006/relationships/hyperlink" Target="..\..\..\Documents\20190415%20Carte%206063%20Inter%2017.48%20&#8364;.pdf" TargetMode="External"/><Relationship Id="rId34" Type="http://schemas.openxmlformats.org/officeDocument/2006/relationships/hyperlink" Target="..\..\..\Documents\20190408%20Calendrier%20pr&#233;l&#233;vement%20ass%20CD3F%20052019_042020.pdf" TargetMode="External"/><Relationship Id="rId42" Type="http://schemas.openxmlformats.org/officeDocument/2006/relationships/hyperlink" Target="..\..\..\Documents\20190419%20Gulf%20Carte%206063%209.80%20&#8364;.pdf" TargetMode="External"/><Relationship Id="rId47" Type="http://schemas.openxmlformats.org/officeDocument/2006/relationships/hyperlink" Target="..\..\..\Documents\20190416%20Inter%20Carte%206063%201.25&#8364;.pdf" TargetMode="External"/><Relationship Id="rId50" Type="http://schemas.openxmlformats.org/officeDocument/2006/relationships/hyperlink" Target="..\..\..\Documents\20190416%20Carrefour%20Carte%208309%2075.85%20&#8364;.pdf" TargetMode="External"/><Relationship Id="rId55" Type="http://schemas.openxmlformats.org/officeDocument/2006/relationships/hyperlink" Target="..\..\..\Documents\20190425%208309%20CM%2045.93%20&#8364;.pdf" TargetMode="External"/><Relationship Id="rId63" Type="http://schemas.openxmlformats.org/officeDocument/2006/relationships/hyperlink" Target="..\..\..\Documents\20190426%20Drive%2051.49%20&#8364;.pdf" TargetMode="External"/><Relationship Id="rId68" Type="http://schemas.openxmlformats.org/officeDocument/2006/relationships/hyperlink" Target="..\Voitures\Arona%2012%2003%202019\Factures%20LLD\Facture%20Loyer%201%20Mars%20+%20Avril%20%202019.pdf" TargetMode="External"/><Relationship Id="rId76" Type="http://schemas.openxmlformats.org/officeDocument/2006/relationships/hyperlink" Target="..\..\..\Documents\20190504%206063%20Procanis%2011.65%20&#8364;.pdf" TargetMode="External"/><Relationship Id="rId84" Type="http://schemas.openxmlformats.org/officeDocument/2006/relationships/hyperlink" Target="..\Factures%20Ticket%20caisse\20190603%20LioFR%20Fac%20Musique%2034689%20136.00%20&#8364;.pdf" TargetMode="External"/><Relationship Id="rId89" Type="http://schemas.openxmlformats.org/officeDocument/2006/relationships/hyperlink" Target="..\Factures%20Ticket%20caisse\20181231%20Paiement%20URSSAF%20Dec%202018.pdf" TargetMode="External"/><Relationship Id="rId97" Type="http://schemas.openxmlformats.org/officeDocument/2006/relationships/ctrlProp" Target="../ctrlProps/ctrlProp2.xml"/><Relationship Id="rId7" Type="http://schemas.openxmlformats.org/officeDocument/2006/relationships/hyperlink" Target="..\..\..\Documents\CM%2055,86%20Carte%20Lio.pdf" TargetMode="External"/><Relationship Id="rId71" Type="http://schemas.openxmlformats.org/officeDocument/2006/relationships/hyperlink" Target="..\..\..\Documents\20190503%208309%20Inter%2056.47%20&#8364;.pdf" TargetMode="External"/><Relationship Id="rId92" Type="http://schemas.openxmlformats.org/officeDocument/2006/relationships/hyperlink" Target="..\Factures%20Ticket%20caisse\Memoire%20honoraire%20Radio%20Vinckel%20Lionel%2025%2001%202019.pdf" TargetMode="External"/><Relationship Id="rId2" Type="http://schemas.openxmlformats.org/officeDocument/2006/relationships/hyperlink" Target="..\Factures%20Ticket%20caisse\20190209%20Facture%2033378%202e%20Trim%202018%202019%20Musique.pdf" TargetMode="External"/><Relationship Id="rId16" Type="http://schemas.openxmlformats.org/officeDocument/2006/relationships/hyperlink" Target="..\..\..\Documents\20190412%20Carte%20Vivi%20CM%2039,74%20&#8364;.pdf" TargetMode="External"/><Relationship Id="rId29" Type="http://schemas.openxmlformats.org/officeDocument/2006/relationships/hyperlink" Target="..\Sant&#233;\20190415%20Releve_de_remboursement_118813900.pdf" TargetMode="External"/><Relationship Id="rId11" Type="http://schemas.openxmlformats.org/officeDocument/2006/relationships/hyperlink" Target="..\Factures%20Ticket%20caisse\Facture%202019000441%2020190404%20Ventilation%20Berlingo.pdf" TargetMode="External"/><Relationship Id="rId24" Type="http://schemas.openxmlformats.org/officeDocument/2006/relationships/hyperlink" Target="..\..\..\Documents\20190419%20TR%20Delhaize%2059.08%20&#8364;.pdf" TargetMode="External"/><Relationship Id="rId32" Type="http://schemas.openxmlformats.org/officeDocument/2006/relationships/hyperlink" Target="..\Sant&#233;\20190405%20Hugo%20RemboursementSoins%2057.83&#8364;%2005042019.pdf" TargetMode="External"/><Relationship Id="rId37" Type="http://schemas.openxmlformats.org/officeDocument/2006/relationships/hyperlink" Target="..\..\..\Documents\20190408%20Calendrier%20pr&#233;l&#233;vement%20ass%20CD3F%20052019_042020.pdf" TargetMode="External"/><Relationship Id="rId40" Type="http://schemas.openxmlformats.org/officeDocument/2006/relationships/hyperlink" Target="..\..\..\Documents\20190408%20Calendrier%20pr&#233;l&#233;vement%20ass%20CD3F%20052019_042020.pdf" TargetMode="External"/><Relationship Id="rId45" Type="http://schemas.openxmlformats.org/officeDocument/2006/relationships/hyperlink" Target="..\..\..\Documents\20190419%20Total%20Carte%206063%2035.00%20&#8364;.pdf" TargetMode="External"/><Relationship Id="rId53" Type="http://schemas.openxmlformats.org/officeDocument/2006/relationships/hyperlink" Target="..\..\Conciergerie%20des%203%20fronti&#232;res\Fiscalit&#233;\Pmt%20URSAAF\20190426%20Pmt%20Ursaaf%20Mars%202019%201ere%20partie.pdf" TargetMode="External"/><Relationship Id="rId58" Type="http://schemas.openxmlformats.org/officeDocument/2006/relationships/hyperlink" Target="..\..\..\Documents\20190429%206063%20CM%2031.74%20&#8364;.pdf" TargetMode="External"/><Relationship Id="rId66" Type="http://schemas.openxmlformats.org/officeDocument/2006/relationships/hyperlink" Target="..\Sant&#233;\20190424%20Releve_de_remboursement_Axa%20Hugo%20Med%20Sport.pdf" TargetMode="External"/><Relationship Id="rId74" Type="http://schemas.openxmlformats.org/officeDocument/2006/relationships/hyperlink" Target="..\Factures%20Ticket%20caisse\201905%20Cadeau%20malone%20_%20Vernis%20Ongle.jpg" TargetMode="External"/><Relationship Id="rId79" Type="http://schemas.openxmlformats.org/officeDocument/2006/relationships/hyperlink" Target="..\..\..\Documents\20190503%206063%20Inter%20Courses%203.45%20&#8364;.pdf" TargetMode="External"/><Relationship Id="rId87" Type="http://schemas.openxmlformats.org/officeDocument/2006/relationships/hyperlink" Target="..\Factures%20Ticket%20caisse\20181203%20Facture%20Fioul%20883450003.pdf" TargetMode="External"/><Relationship Id="rId5" Type="http://schemas.openxmlformats.org/officeDocument/2006/relationships/hyperlink" Target="..\Factures%20Ticket%20caisse\Avance%20Soccer%20Arena.pdf" TargetMode="External"/><Relationship Id="rId61" Type="http://schemas.openxmlformats.org/officeDocument/2006/relationships/hyperlink" Target="..\..\..\Documents\20190430%208309%20Inter%2045.03%20&#8364;.pdf" TargetMode="External"/><Relationship Id="rId82" Type="http://schemas.openxmlformats.org/officeDocument/2006/relationships/hyperlink" Target="..\..\..\Documents\20190514%208309%20Inter%2057.17%20&#8364;.pdf" TargetMode="External"/><Relationship Id="rId90" Type="http://schemas.openxmlformats.org/officeDocument/2006/relationships/hyperlink" Target="..\Sant&#233;\Releve_de_remboursement_114630108%20PDS%20Malone.pdf" TargetMode="External"/><Relationship Id="rId95" Type="http://schemas.openxmlformats.org/officeDocument/2006/relationships/vmlDrawing" Target="../drawings/vmlDrawing1.vml"/><Relationship Id="rId19" Type="http://schemas.openxmlformats.org/officeDocument/2006/relationships/hyperlink" Target="..\..\..\Documents\20190408%20Carte%20Vivi%20CM%2041,11&#8364;.pdf" TargetMode="External"/><Relationship Id="rId14" Type="http://schemas.openxmlformats.org/officeDocument/2006/relationships/hyperlink" Target="..\Factures%20Ticket%20caisse\20190409%20Aquarium%20Tom%20and%20Co%2069,99%20&#8364;.pdf" TargetMode="External"/><Relationship Id="rId22" Type="http://schemas.openxmlformats.org/officeDocument/2006/relationships/hyperlink" Target="..\..\..\Documents\20190412%20Carte%20Vivi%20CM%2039,74%20&#8364;.pdf" TargetMode="External"/><Relationship Id="rId27" Type="http://schemas.openxmlformats.org/officeDocument/2006/relationships/hyperlink" Target="..\Factures%20Ticket%20caisse\20190418%20Commande%20Casque%20F905E123776.pdf" TargetMode="External"/><Relationship Id="rId30" Type="http://schemas.openxmlformats.org/officeDocument/2006/relationships/hyperlink" Target="..\Sant&#233;\20190415%20Malone%20%20RemboursementSoins%2015042019.pdf" TargetMode="External"/><Relationship Id="rId35" Type="http://schemas.openxmlformats.org/officeDocument/2006/relationships/hyperlink" Target="..\..\..\Documents\20190408%20Calendrier%20pr&#233;l&#233;vement%20ass%20CD3F%20052019_042020.pdf" TargetMode="External"/><Relationship Id="rId43" Type="http://schemas.openxmlformats.org/officeDocument/2006/relationships/hyperlink" Target="..\..\..\Documents\20190416%20Inter%20Carte%208309%2082.07%20&#8364;.pdf" TargetMode="External"/><Relationship Id="rId48" Type="http://schemas.openxmlformats.org/officeDocument/2006/relationships/hyperlink" Target="..\..\..\Documents\20190420%20Parashop%20Carte%206063%2015.98%20&#8364;.pdf" TargetMode="External"/><Relationship Id="rId56" Type="http://schemas.openxmlformats.org/officeDocument/2006/relationships/hyperlink" Target="..\..\..\Documents\20190425%208309%20CM%2045.93%20&#8364;.pdf" TargetMode="External"/><Relationship Id="rId64" Type="http://schemas.openxmlformats.org/officeDocument/2006/relationships/hyperlink" Target="..\..\..\Documents\20190426%20Drive%2051.49%20&#8364;.pdf" TargetMode="External"/><Relationship Id="rId69" Type="http://schemas.openxmlformats.org/officeDocument/2006/relationships/hyperlink" Target="..\Factures%20Ticket%20caisse\20190501%20Facture%20Cantine%20Hugo%20TRIM%202.pdf" TargetMode="External"/><Relationship Id="rId77" Type="http://schemas.openxmlformats.org/officeDocument/2006/relationships/hyperlink" Target="..\..\..\Documents\20190502%206063%20Gulf%20Bonbons_Clopes%2011.75%20&#8364;.pdf" TargetMode="External"/><Relationship Id="rId8" Type="http://schemas.openxmlformats.org/officeDocument/2006/relationships/hyperlink" Target="..\..\..\Documents\CM%2055,86%20Carte%20Lio.pdf" TargetMode="External"/><Relationship Id="rId51" Type="http://schemas.openxmlformats.org/officeDocument/2006/relationships/hyperlink" Target="..\..\..\Documents\20190423%208309%20CM%2023,67%20&#8364;.pdf" TargetMode="External"/><Relationship Id="rId72" Type="http://schemas.openxmlformats.org/officeDocument/2006/relationships/hyperlink" Target="..\..\..\Documents\20190504%206063%20Inter%2017.70%20&#8364;.pdf" TargetMode="External"/><Relationship Id="rId80" Type="http://schemas.openxmlformats.org/officeDocument/2006/relationships/hyperlink" Target="..\..\..\Documents\20190507%208309%20CM%20Rettel%20Courses_Alcool%2042.12%20&#8364;.pdf" TargetMode="External"/><Relationship Id="rId85" Type="http://schemas.openxmlformats.org/officeDocument/2006/relationships/hyperlink" Target="..\..\..\Documents\20190517%208309%20Inter%2068.77%20&#8364;.pdf" TargetMode="External"/><Relationship Id="rId93" Type="http://schemas.openxmlformats.org/officeDocument/2006/relationships/printerSettings" Target="../printerSettings/printerSettings2.bin"/><Relationship Id="rId3" Type="http://schemas.openxmlformats.org/officeDocument/2006/relationships/hyperlink" Target="..\Voitures\Berlingo\Berlingot%20Factures%20Cardans%20+%20Rev%20av%20CT%20Dec%202018%202019000013%20+%202018001632.pdf" TargetMode="External"/><Relationship Id="rId12" Type="http://schemas.openxmlformats.org/officeDocument/2006/relationships/hyperlink" Target="..\..\..\Documents\CM%2005042019%2076.17%20&#8364;%20Carte%20Lio.pdf" TargetMode="External"/><Relationship Id="rId17" Type="http://schemas.openxmlformats.org/officeDocument/2006/relationships/hyperlink" Target="..\..\..\Documents\20190412%20Carte%204066%20Inter%20141,94%20&#8364;.pdf" TargetMode="External"/><Relationship Id="rId25" Type="http://schemas.openxmlformats.org/officeDocument/2006/relationships/hyperlink" Target="..\Factures%20Ticket%20caisse\20190419%20CD3F%20Site_facture202514063935.pdf" TargetMode="External"/><Relationship Id="rId33" Type="http://schemas.openxmlformats.org/officeDocument/2006/relationships/hyperlink" Target="..\Sant&#233;\20190405%20Hugo%20RemboursementSoins%20AXA%206.43%20&#8364;%2005042019.pdf" TargetMode="External"/><Relationship Id="rId38" Type="http://schemas.openxmlformats.org/officeDocument/2006/relationships/hyperlink" Target="..\..\..\Documents\20190408%20Calendrier%20pr&#233;l&#233;vement%20ass%20CD3F%20052019_042020.pdf" TargetMode="External"/><Relationship Id="rId46" Type="http://schemas.openxmlformats.org/officeDocument/2006/relationships/hyperlink" Target="..\..\..\Documents\20190419%20Total%20Carte%206063%2035.00%20&#8364;.pdf" TargetMode="External"/><Relationship Id="rId59" Type="http://schemas.openxmlformats.org/officeDocument/2006/relationships/hyperlink" Target="..\..\..\Documents\20190429%206063%20CM%2031.74%20&#8364;.pdf" TargetMode="External"/><Relationship Id="rId67" Type="http://schemas.openxmlformats.org/officeDocument/2006/relationships/hyperlink" Target="..\Factures%20Ticket%20caisse\20190524%20TCB%20Maillot%20HB%20Malone.pdf" TargetMode="External"/><Relationship Id="rId20" Type="http://schemas.openxmlformats.org/officeDocument/2006/relationships/hyperlink" Target="..\..\..\Documents\20190409%20Carte%20Vivi%20CM%2075,56%20&#8364;.pdf" TargetMode="External"/><Relationship Id="rId41" Type="http://schemas.openxmlformats.org/officeDocument/2006/relationships/hyperlink" Target="..\..\..\Documents\20190408%20Calendrier%20pr&#233;l&#233;vement%20ass%20CD3F%20052019_042020.pdf" TargetMode="External"/><Relationship Id="rId54" Type="http://schemas.openxmlformats.org/officeDocument/2006/relationships/hyperlink" Target="..\..\Conciergerie%20des%203%20fronti&#232;res\Fiscalit&#233;\Pmt%20URSAAF\20190426%20Pmt%20Ursaaf%20Mars%202019%202%20eme%20partie.pdf" TargetMode="External"/><Relationship Id="rId62" Type="http://schemas.openxmlformats.org/officeDocument/2006/relationships/hyperlink" Target="..\..\..\Documents\20190426%20Drive%2051.49%20&#8364;.pdf" TargetMode="External"/><Relationship Id="rId70" Type="http://schemas.openxmlformats.org/officeDocument/2006/relationships/hyperlink" Target="..\..\..\Documents\20190502%208309%20Inter%2020.20%20&#8364;.pdf" TargetMode="External"/><Relationship Id="rId75" Type="http://schemas.openxmlformats.org/officeDocument/2006/relationships/hyperlink" Target="..\Factures%20Ticket%20caisse\20190508%20Colliers%20Chiens.jpg" TargetMode="External"/><Relationship Id="rId83" Type="http://schemas.openxmlformats.org/officeDocument/2006/relationships/hyperlink" Target="..\..\..\Documents\20190515%208309%20CMRettel%2059.47%20&#8364;.pdf" TargetMode="External"/><Relationship Id="rId88" Type="http://schemas.openxmlformats.org/officeDocument/2006/relationships/hyperlink" Target="..\Factures%20Ticket%20caisse\20181227%20Garantie%20Switch%20HDMI%20DARTY.pdf" TargetMode="External"/><Relationship Id="rId91" Type="http://schemas.openxmlformats.org/officeDocument/2006/relationships/hyperlink" Target="..\Boulot\Lio\Fiches%20salaire\201901%20Salaire%20Vinckel%20Lionel%20Janv%202019.pdf" TargetMode="External"/><Relationship Id="rId96" Type="http://schemas.openxmlformats.org/officeDocument/2006/relationships/ctrlProp" Target="../ctrlProps/ctrlProp1.xml"/><Relationship Id="rId1" Type="http://schemas.openxmlformats.org/officeDocument/2006/relationships/hyperlink" Target="..\Factures%20Ticket%20caisse\20190209%20Facture%20110925%20Sem%202%20OM.pdf" TargetMode="External"/><Relationship Id="rId6" Type="http://schemas.openxmlformats.org/officeDocument/2006/relationships/hyperlink" Target="..\Factures%20Ticket%20caisse\20190330%20Gtie%20Casque%20Malone%20USB.pdf" TargetMode="External"/><Relationship Id="rId15" Type="http://schemas.openxmlformats.org/officeDocument/2006/relationships/hyperlink" Target="..\Factures%20Ticket%20caisse\20190410%20Certif%20tortue_Terrarium.pdf" TargetMode="External"/><Relationship Id="rId23" Type="http://schemas.openxmlformats.org/officeDocument/2006/relationships/hyperlink" Target="..\Factures%20Ticket%20caisse\20190416%20Facture%20SFR%2034.95%20&#8364;.pdf" TargetMode="External"/><Relationship Id="rId28" Type="http://schemas.openxmlformats.org/officeDocument/2006/relationships/hyperlink" Target="..\Factures%20Ticket%20caisse\20190418%20R&#233;cap%20commande%20BA%20Delhaize.pdf" TargetMode="External"/><Relationship Id="rId36" Type="http://schemas.openxmlformats.org/officeDocument/2006/relationships/hyperlink" Target="..\..\..\Documents\20190408%20Calendrier%20pr&#233;l&#233;vement%20ass%20CD3F%20052019_042020.pdf" TargetMode="External"/><Relationship Id="rId49" Type="http://schemas.openxmlformats.org/officeDocument/2006/relationships/hyperlink" Target="..\..\..\Documents\20190420%20Jeff%20de%20Bruges%20Carte%208309%2033.30%20&#8364;.pdf" TargetMode="External"/><Relationship Id="rId57" Type="http://schemas.openxmlformats.org/officeDocument/2006/relationships/hyperlink" Target="..\..\..\Documents\20190430%208309%20Inter%2045.03%20&#8364;.pdf" TargetMode="External"/><Relationship Id="rId10" Type="http://schemas.openxmlformats.org/officeDocument/2006/relationships/hyperlink" Target="..\..\..\Documents\Intermarch&#233;%2035,48%20Carte%20Vivi.pdf" TargetMode="External"/><Relationship Id="rId31" Type="http://schemas.openxmlformats.org/officeDocument/2006/relationships/hyperlink" Target="..\Sant&#233;\20190411%20Hugo%20RemboursementSoins%2069.12%20&#8364;%2011042019.pdf" TargetMode="External"/><Relationship Id="rId44" Type="http://schemas.openxmlformats.org/officeDocument/2006/relationships/hyperlink" Target="..\..\..\Documents\20190418%20Point%20vert%20Carte%206063%2023.00%20&#8364;.pdf" TargetMode="External"/><Relationship Id="rId52" Type="http://schemas.openxmlformats.org/officeDocument/2006/relationships/hyperlink" Target="..\..\..\Documents\20190423%206063%20Inter%202,00%20&#8364;.pdf" TargetMode="External"/><Relationship Id="rId60" Type="http://schemas.openxmlformats.org/officeDocument/2006/relationships/hyperlink" Target="..\..\..\Documents\20190429%206063%20CM%2031.74%20&#8364;.pdf" TargetMode="External"/><Relationship Id="rId65" Type="http://schemas.openxmlformats.org/officeDocument/2006/relationships/hyperlink" Target="..\Boulot\Lio\Fiches%20salaire\201904%20Salaire%20Vinckel%20Lionel%20Avril%202019.pdf" TargetMode="External"/><Relationship Id="rId73" Type="http://schemas.openxmlformats.org/officeDocument/2006/relationships/hyperlink" Target="..\Factures%20Ticket%20caisse\20190429%20Achat%20Cadeau%20Malone%20Anabrevet%20Amazon%2049.99%20&#8364;.PNG" TargetMode="External"/><Relationship Id="rId78" Type="http://schemas.openxmlformats.org/officeDocument/2006/relationships/hyperlink" Target="..\..\..\Documents\20190502%206063%20Total%20Bonbons_Plein%20KA+%2027.04%20&#8364;.pdf" TargetMode="External"/><Relationship Id="rId81" Type="http://schemas.openxmlformats.org/officeDocument/2006/relationships/hyperlink" Target="..\..\..\Documents\20190506%208309%20Inter%20Courses%2023.30%20&#8364;.pdf" TargetMode="External"/><Relationship Id="rId86" Type="http://schemas.openxmlformats.org/officeDocument/2006/relationships/hyperlink" Target="..\Factures%20Ticket%20caisse\20181203%20Facture%20Fioul%20883450003.pdf" TargetMode="External"/><Relationship Id="rId94" Type="http://schemas.openxmlformats.org/officeDocument/2006/relationships/drawing" Target="../drawings/drawing2.xml"/><Relationship Id="rId4" Type="http://schemas.openxmlformats.org/officeDocument/2006/relationships/hyperlink" Target="..\Chauffage\Fact%20Fioul%20Fev%202019%20Num%20890520079.pdf" TargetMode="External"/><Relationship Id="rId9" Type="http://schemas.openxmlformats.org/officeDocument/2006/relationships/hyperlink" Target="..\..\..\Documents\Intermarch&#233;%2037,27%20Carte%20Lio.pdf" TargetMode="External"/><Relationship Id="rId13" Type="http://schemas.openxmlformats.org/officeDocument/2006/relationships/hyperlink" Target="..\..\..\Documents\Assurance%20Arona%20Ech&#233;ancier.pdf" TargetMode="External"/><Relationship Id="rId18" Type="http://schemas.openxmlformats.org/officeDocument/2006/relationships/hyperlink" Target="..\..\..\Documents\20190410%20Carte%20Vivi%20Aldi%2078,26%20&#8364;.pdf" TargetMode="External"/><Relationship Id="rId39" Type="http://schemas.openxmlformats.org/officeDocument/2006/relationships/hyperlink" Target="..\..\..\Documents\20190408%20Calendrier%20pr&#233;l&#233;vement%20ass%20CD3F%20052019_042020.pdf" TargetMode="Externa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3.xml"/><Relationship Id="rId3" Type="http://schemas.openxmlformats.org/officeDocument/2006/relationships/hyperlink" Target="..\Factures%20Ticket%20caisse\20181227%20Garantie%20Switch%20HDMI%20DARTY.pdf" TargetMode="External"/><Relationship Id="rId7" Type="http://schemas.openxmlformats.org/officeDocument/2006/relationships/hyperlink" Target="..\Factures%20Ticket%20caisse\Memoire%20honoraire%20Radio%20Vinckel%20Lionel%2025%2001%202019.pdf" TargetMode="External"/><Relationship Id="rId2" Type="http://schemas.openxmlformats.org/officeDocument/2006/relationships/hyperlink" Target="..\Factures%20Ticket%20caisse\20181203%20Facture%20Fioul%20883450003.pdf" TargetMode="External"/><Relationship Id="rId1" Type="http://schemas.openxmlformats.org/officeDocument/2006/relationships/hyperlink" Target="..\Factures%20Ticket%20caisse\20181203%20Facture%20Fioul%20883450003.pdf" TargetMode="External"/><Relationship Id="rId6" Type="http://schemas.openxmlformats.org/officeDocument/2006/relationships/hyperlink" Target="..\Boulot\Lio\Fiches%20salaire\201901%20Salaire%20Vinckel%20Lionel%20Janv%202019.pdf" TargetMode="External"/><Relationship Id="rId5" Type="http://schemas.openxmlformats.org/officeDocument/2006/relationships/hyperlink" Target="..\Sant&#233;\Releve_de_remboursement_114630108%20PDS%20Malone.pdf" TargetMode="External"/><Relationship Id="rId10" Type="http://schemas.openxmlformats.org/officeDocument/2006/relationships/ctrlProp" Target="../ctrlProps/ctrlProp3.xml"/><Relationship Id="rId4" Type="http://schemas.openxmlformats.org/officeDocument/2006/relationships/hyperlink" Target="..\Factures%20Ticket%20caisse\20181231%20Paiement%20URSSAF%20Dec%202018.pdf" TargetMode="External"/><Relationship Id="rId9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FDBC0F5-CA43-4725-86FD-BE16A089C8D8}">
  <sheetPr codeName="Feuil1"/>
  <dimension ref="A1:J62"/>
  <sheetViews>
    <sheetView workbookViewId="0">
      <selection activeCell="D10" sqref="D10"/>
    </sheetView>
  </sheetViews>
  <sheetFormatPr baseColWidth="10" defaultRowHeight="11.25" x14ac:dyDescent="0.2"/>
  <sheetData>
    <row r="1" spans="1:7" x14ac:dyDescent="0.2">
      <c r="A1" s="1" t="s">
        <v>1</v>
      </c>
      <c r="G1" t="s">
        <v>1407</v>
      </c>
    </row>
    <row r="19" spans="7:9" x14ac:dyDescent="0.2">
      <c r="G19" s="24" t="s">
        <v>0</v>
      </c>
      <c r="H19" s="25"/>
    </row>
    <row r="20" spans="7:9" x14ac:dyDescent="0.2">
      <c r="G20" s="25"/>
      <c r="H20" s="25"/>
    </row>
    <row r="21" spans="7:9" x14ac:dyDescent="0.2">
      <c r="G21" s="25"/>
      <c r="H21" s="25"/>
    </row>
    <row r="22" spans="7:9" x14ac:dyDescent="0.2">
      <c r="G22" s="25"/>
      <c r="H22" s="25"/>
    </row>
    <row r="23" spans="7:9" x14ac:dyDescent="0.2">
      <c r="G23" s="25"/>
      <c r="H23" s="25"/>
    </row>
    <row r="24" spans="7:9" x14ac:dyDescent="0.2">
      <c r="G24" s="25"/>
      <c r="H24" s="25"/>
    </row>
    <row r="27" spans="7:9" x14ac:dyDescent="0.2">
      <c r="G27" s="25" t="s">
        <v>1408</v>
      </c>
      <c r="H27" s="25"/>
      <c r="I27" s="25"/>
    </row>
    <row r="28" spans="7:9" x14ac:dyDescent="0.2">
      <c r="G28" s="25"/>
      <c r="H28" s="25"/>
      <c r="I28" s="25"/>
    </row>
    <row r="29" spans="7:9" x14ac:dyDescent="0.2">
      <c r="G29" s="25"/>
      <c r="H29" s="25"/>
      <c r="I29" s="25"/>
    </row>
    <row r="30" spans="7:9" x14ac:dyDescent="0.2">
      <c r="G30" s="25"/>
      <c r="H30" s="25"/>
      <c r="I30" s="25"/>
    </row>
    <row r="31" spans="7:9" x14ac:dyDescent="0.2">
      <c r="G31" s="25"/>
      <c r="H31" s="25"/>
      <c r="I31" s="25"/>
    </row>
    <row r="34" spans="7:10" x14ac:dyDescent="0.2">
      <c r="G34" s="24" t="s">
        <v>1414</v>
      </c>
      <c r="H34" s="25"/>
      <c r="I34" s="25"/>
      <c r="J34" t="s">
        <v>1409</v>
      </c>
    </row>
    <row r="35" spans="7:10" x14ac:dyDescent="0.2">
      <c r="G35" s="25"/>
      <c r="H35" s="25"/>
      <c r="I35" s="25"/>
      <c r="J35" t="s">
        <v>1410</v>
      </c>
    </row>
    <row r="36" spans="7:10" x14ac:dyDescent="0.2">
      <c r="G36" s="25"/>
      <c r="H36" s="25"/>
      <c r="I36" s="25"/>
      <c r="J36" t="s">
        <v>1411</v>
      </c>
    </row>
    <row r="37" spans="7:10" x14ac:dyDescent="0.2">
      <c r="G37" s="25"/>
      <c r="H37" s="25"/>
      <c r="I37" s="25"/>
      <c r="J37" t="s">
        <v>1412</v>
      </c>
    </row>
    <row r="38" spans="7:10" x14ac:dyDescent="0.2">
      <c r="G38" s="25"/>
      <c r="H38" s="25"/>
      <c r="I38" s="25"/>
      <c r="J38" t="s">
        <v>1413</v>
      </c>
    </row>
    <row r="41" spans="7:10" x14ac:dyDescent="0.2">
      <c r="G41" s="26" t="s">
        <v>1432</v>
      </c>
      <c r="H41" s="26"/>
      <c r="I41" s="26"/>
      <c r="J41" t="s">
        <v>1416</v>
      </c>
    </row>
    <row r="42" spans="7:10" x14ac:dyDescent="0.2">
      <c r="G42" s="26"/>
      <c r="H42" s="26"/>
      <c r="I42" s="26"/>
      <c r="J42" t="s">
        <v>1417</v>
      </c>
    </row>
    <row r="43" spans="7:10" x14ac:dyDescent="0.2">
      <c r="G43" s="26"/>
      <c r="H43" s="26"/>
      <c r="I43" s="26"/>
      <c r="J43" t="s">
        <v>1410</v>
      </c>
    </row>
    <row r="44" spans="7:10" x14ac:dyDescent="0.2">
      <c r="G44" s="26"/>
      <c r="H44" s="26"/>
      <c r="I44" s="26"/>
      <c r="J44" t="s">
        <v>1418</v>
      </c>
    </row>
    <row r="45" spans="7:10" x14ac:dyDescent="0.2">
      <c r="G45" s="26"/>
      <c r="H45" s="26"/>
      <c r="I45" s="26"/>
      <c r="J45" t="s">
        <v>1412</v>
      </c>
    </row>
    <row r="46" spans="7:10" x14ac:dyDescent="0.2">
      <c r="G46" s="26"/>
      <c r="H46" s="26"/>
      <c r="I46" s="26"/>
      <c r="J46" t="s">
        <v>1419</v>
      </c>
    </row>
    <row r="47" spans="7:10" x14ac:dyDescent="0.2">
      <c r="G47" s="26"/>
      <c r="H47" s="26"/>
      <c r="I47" s="26"/>
      <c r="J47" t="s">
        <v>1420</v>
      </c>
    </row>
    <row r="48" spans="7:10" x14ac:dyDescent="0.2">
      <c r="G48" s="26"/>
      <c r="H48" s="26"/>
      <c r="I48" s="26"/>
      <c r="J48" t="s">
        <v>1421</v>
      </c>
    </row>
    <row r="49" spans="7:10" x14ac:dyDescent="0.2">
      <c r="G49" s="26"/>
      <c r="H49" s="26"/>
      <c r="I49" s="26"/>
      <c r="J49" t="s">
        <v>1422</v>
      </c>
    </row>
    <row r="50" spans="7:10" x14ac:dyDescent="0.2">
      <c r="G50" s="26"/>
      <c r="H50" s="26"/>
      <c r="I50" s="26"/>
      <c r="J50" t="s">
        <v>1423</v>
      </c>
    </row>
    <row r="51" spans="7:10" x14ac:dyDescent="0.2">
      <c r="G51" s="26"/>
      <c r="H51" s="26"/>
      <c r="I51" s="26"/>
      <c r="J51" t="s">
        <v>1424</v>
      </c>
    </row>
    <row r="52" spans="7:10" x14ac:dyDescent="0.2">
      <c r="G52" s="26"/>
      <c r="H52" s="26"/>
      <c r="I52" s="26"/>
      <c r="J52" t="s">
        <v>1425</v>
      </c>
    </row>
    <row r="53" spans="7:10" x14ac:dyDescent="0.2">
      <c r="G53" s="26"/>
      <c r="H53" s="26"/>
      <c r="I53" s="26"/>
      <c r="J53" t="s">
        <v>1426</v>
      </c>
    </row>
    <row r="54" spans="7:10" x14ac:dyDescent="0.2">
      <c r="G54" s="26"/>
      <c r="H54" s="26"/>
      <c r="I54" s="26"/>
      <c r="J54" t="s">
        <v>1427</v>
      </c>
    </row>
    <row r="55" spans="7:10" x14ac:dyDescent="0.2">
      <c r="G55" s="26"/>
      <c r="H55" s="26"/>
      <c r="I55" s="26"/>
      <c r="J55" t="s">
        <v>1428</v>
      </c>
    </row>
    <row r="56" spans="7:10" x14ac:dyDescent="0.2">
      <c r="G56" s="26"/>
      <c r="H56" s="26"/>
      <c r="I56" s="26"/>
      <c r="J56" t="s">
        <v>1429</v>
      </c>
    </row>
    <row r="57" spans="7:10" x14ac:dyDescent="0.2">
      <c r="G57" s="26"/>
      <c r="H57" s="26"/>
      <c r="I57" s="26"/>
      <c r="J57" t="s">
        <v>1412</v>
      </c>
    </row>
    <row r="58" spans="7:10" x14ac:dyDescent="0.2">
      <c r="G58" s="26"/>
      <c r="H58" s="26"/>
      <c r="I58" s="26"/>
      <c r="J58" t="s">
        <v>1430</v>
      </c>
    </row>
    <row r="59" spans="7:10" x14ac:dyDescent="0.2">
      <c r="G59" s="26"/>
      <c r="H59" s="26"/>
      <c r="I59" s="26"/>
    </row>
    <row r="60" spans="7:10" x14ac:dyDescent="0.2">
      <c r="G60" s="26"/>
      <c r="H60" s="26"/>
      <c r="I60" s="26"/>
      <c r="J60" t="s">
        <v>1431</v>
      </c>
    </row>
    <row r="61" spans="7:10" x14ac:dyDescent="0.2">
      <c r="G61" s="26"/>
      <c r="H61" s="26"/>
      <c r="I61" s="26"/>
    </row>
    <row r="62" spans="7:10" x14ac:dyDescent="0.2">
      <c r="G62" s="26"/>
      <c r="H62" s="26"/>
      <c r="I62" s="26"/>
      <c r="J62" t="s">
        <v>1430</v>
      </c>
    </row>
  </sheetData>
  <mergeCells count="4">
    <mergeCell ref="G19:H24"/>
    <mergeCell ref="G27:I31"/>
    <mergeCell ref="G34:I38"/>
    <mergeCell ref="G41:I62"/>
  </mergeCells>
  <hyperlinks>
    <hyperlink ref="A1" r:id="rId1" xr:uid="{119A82F3-9FCD-4F9E-9CB8-723E21A204C1}"/>
  </hyperlinks>
  <pageMargins left="0.7" right="0.7" top="0.75" bottom="0.75" header="0.3" footer="0.3"/>
  <pageSetup paperSize="9" orientation="portrait" horizontalDpi="4294967293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131697A-E470-48A7-8E86-5078BAB69662}">
  <sheetPr codeName="Feuil2"/>
  <dimension ref="A1:M1405"/>
  <sheetViews>
    <sheetView tabSelected="1" workbookViewId="0">
      <pane ySplit="1" topLeftCell="A1381" activePane="bottomLeft" state="frozen"/>
      <selection pane="bottomLeft" activeCell="A1405" sqref="A1405"/>
    </sheetView>
  </sheetViews>
  <sheetFormatPr baseColWidth="10" defaultRowHeight="11.25" x14ac:dyDescent="0.2"/>
  <cols>
    <col min="1" max="1" width="15.33203125" bestFit="1" customWidth="1"/>
    <col min="2" max="2" width="20.6640625" bestFit="1" customWidth="1"/>
    <col min="3" max="3" width="15.6640625" customWidth="1"/>
    <col min="4" max="5" width="10.1640625" style="2" bestFit="1" customWidth="1"/>
    <col min="6" max="6" width="32.5" customWidth="1"/>
    <col min="7" max="7" width="16" customWidth="1"/>
    <col min="8" max="8" width="18.83203125" customWidth="1"/>
    <col min="9" max="9" width="12.33203125" bestFit="1" customWidth="1"/>
    <col min="10" max="10" width="11" style="22" bestFit="1" customWidth="1"/>
    <col min="11" max="11" width="9.83203125" bestFit="1" customWidth="1"/>
    <col min="12" max="12" width="11" bestFit="1" customWidth="1"/>
  </cols>
  <sheetData>
    <row r="1" spans="1:13" s="18" customFormat="1" ht="15" x14ac:dyDescent="0.25">
      <c r="A1" s="14" t="s">
        <v>597</v>
      </c>
      <c r="B1" s="14" t="s">
        <v>1221</v>
      </c>
      <c r="C1" s="15" t="s">
        <v>1230</v>
      </c>
      <c r="D1" s="2" t="s">
        <v>1222</v>
      </c>
      <c r="E1" s="2" t="s">
        <v>1223</v>
      </c>
      <c r="F1" s="15" t="s">
        <v>1224</v>
      </c>
      <c r="G1" s="15" t="s">
        <v>1225</v>
      </c>
      <c r="H1" s="15" t="s">
        <v>1226</v>
      </c>
      <c r="I1" s="18" t="s">
        <v>1406</v>
      </c>
      <c r="J1" s="21" t="s">
        <v>1227</v>
      </c>
      <c r="K1" s="16" t="s">
        <v>1228</v>
      </c>
      <c r="L1" s="17" t="s">
        <v>1229</v>
      </c>
      <c r="M1" s="19"/>
    </row>
    <row r="2" spans="1:13" x14ac:dyDescent="0.2">
      <c r="A2" t="s">
        <v>2</v>
      </c>
      <c r="B2" t="s">
        <v>8</v>
      </c>
      <c r="D2" s="2">
        <v>43450</v>
      </c>
      <c r="E2" s="2">
        <f t="shared" ref="E2:E30" si="0">IF(A2="","",IF(A2&lt;&gt;"Carte Lux",D2,VLOOKUP(D2,Periode_datedebit_2019,3)))</f>
        <v>43507</v>
      </c>
      <c r="F2" t="s">
        <v>9</v>
      </c>
      <c r="G2" t="s">
        <v>10</v>
      </c>
      <c r="H2" t="s">
        <v>11</v>
      </c>
      <c r="I2" t="s">
        <v>7</v>
      </c>
      <c r="J2" s="22">
        <v>-7</v>
      </c>
      <c r="K2" t="str">
        <f t="shared" ref="K2:K65" si="1">IF(D2="","",TEXT(D2,"Mmmm"))</f>
        <v>décembre</v>
      </c>
      <c r="L2" t="str">
        <f t="shared" ref="L2:L65" si="2">IF(J2="","",IF(J2&lt;0,"Dépenses","Recettes"))</f>
        <v>Dépenses</v>
      </c>
    </row>
    <row r="3" spans="1:13" x14ac:dyDescent="0.2">
      <c r="A3" t="s">
        <v>2</v>
      </c>
      <c r="B3" t="s">
        <v>8</v>
      </c>
      <c r="D3" s="2">
        <v>43450</v>
      </c>
      <c r="E3" s="2">
        <f t="shared" si="0"/>
        <v>43507</v>
      </c>
      <c r="F3" t="s">
        <v>12</v>
      </c>
      <c r="G3" t="s">
        <v>13</v>
      </c>
      <c r="H3" t="s">
        <v>14</v>
      </c>
      <c r="I3" t="s">
        <v>7</v>
      </c>
      <c r="J3" s="22">
        <v>-4.05</v>
      </c>
      <c r="K3" t="str">
        <f t="shared" si="1"/>
        <v>décembre</v>
      </c>
      <c r="L3" t="str">
        <f t="shared" si="2"/>
        <v>Dépenses</v>
      </c>
    </row>
    <row r="4" spans="1:13" x14ac:dyDescent="0.2">
      <c r="A4" t="s">
        <v>2</v>
      </c>
      <c r="B4" t="s">
        <v>8</v>
      </c>
      <c r="D4" s="2">
        <v>43450</v>
      </c>
      <c r="E4" s="2">
        <f t="shared" si="0"/>
        <v>43507</v>
      </c>
      <c r="F4" t="s">
        <v>15</v>
      </c>
      <c r="G4" t="s">
        <v>16</v>
      </c>
      <c r="H4" t="s">
        <v>17</v>
      </c>
      <c r="I4" t="s">
        <v>7</v>
      </c>
      <c r="J4" s="22">
        <v>-7.99</v>
      </c>
      <c r="K4" t="str">
        <f t="shared" si="1"/>
        <v>décembre</v>
      </c>
      <c r="L4" t="str">
        <f t="shared" si="2"/>
        <v>Dépenses</v>
      </c>
    </row>
    <row r="5" spans="1:13" ht="15" customHeight="1" x14ac:dyDescent="0.2">
      <c r="A5" t="s">
        <v>2</v>
      </c>
      <c r="B5" t="s">
        <v>3</v>
      </c>
      <c r="D5" s="2">
        <v>43450</v>
      </c>
      <c r="E5" s="2">
        <f t="shared" si="0"/>
        <v>43507</v>
      </c>
      <c r="F5" t="s">
        <v>4</v>
      </c>
      <c r="G5" t="s">
        <v>5</v>
      </c>
      <c r="H5" t="s">
        <v>6</v>
      </c>
      <c r="I5" t="s">
        <v>7</v>
      </c>
      <c r="J5" s="22">
        <v>-127.2</v>
      </c>
      <c r="K5" t="str">
        <f t="shared" si="1"/>
        <v>décembre</v>
      </c>
      <c r="L5" t="str">
        <f t="shared" si="2"/>
        <v>Dépenses</v>
      </c>
    </row>
    <row r="6" spans="1:13" ht="15" customHeight="1" x14ac:dyDescent="0.2">
      <c r="A6" t="s">
        <v>2</v>
      </c>
      <c r="B6" t="s">
        <v>3</v>
      </c>
      <c r="D6" s="2">
        <v>43450</v>
      </c>
      <c r="E6" s="2">
        <f t="shared" si="0"/>
        <v>43507</v>
      </c>
      <c r="F6" t="s">
        <v>18</v>
      </c>
      <c r="G6" t="s">
        <v>19</v>
      </c>
      <c r="H6" t="s">
        <v>20</v>
      </c>
      <c r="I6" t="s">
        <v>7</v>
      </c>
      <c r="J6" s="22">
        <v>-49</v>
      </c>
      <c r="K6" t="str">
        <f t="shared" si="1"/>
        <v>décembre</v>
      </c>
      <c r="L6" t="str">
        <f t="shared" si="2"/>
        <v>Dépenses</v>
      </c>
    </row>
    <row r="7" spans="1:13" ht="11.25" customHeight="1" x14ac:dyDescent="0.2">
      <c r="A7" t="s">
        <v>2</v>
      </c>
      <c r="B7" t="s">
        <v>8</v>
      </c>
      <c r="D7" s="2">
        <v>43451</v>
      </c>
      <c r="E7" s="2">
        <f t="shared" si="0"/>
        <v>43507</v>
      </c>
      <c r="F7" t="s">
        <v>9</v>
      </c>
      <c r="G7" t="s">
        <v>10</v>
      </c>
      <c r="H7" t="s">
        <v>11</v>
      </c>
      <c r="I7" t="s">
        <v>7</v>
      </c>
      <c r="J7" s="22">
        <v>-7</v>
      </c>
      <c r="K7" t="str">
        <f t="shared" si="1"/>
        <v>décembre</v>
      </c>
      <c r="L7" t="str">
        <f t="shared" si="2"/>
        <v>Dépenses</v>
      </c>
    </row>
    <row r="8" spans="1:13" ht="15" customHeight="1" x14ac:dyDescent="0.2">
      <c r="A8" t="s">
        <v>2</v>
      </c>
      <c r="B8" t="s">
        <v>8</v>
      </c>
      <c r="D8" s="2">
        <v>43452</v>
      </c>
      <c r="E8" s="2">
        <f t="shared" si="0"/>
        <v>43507</v>
      </c>
      <c r="F8" t="s">
        <v>21</v>
      </c>
      <c r="G8" t="s">
        <v>21</v>
      </c>
      <c r="H8" t="s">
        <v>14</v>
      </c>
      <c r="I8" t="s">
        <v>7</v>
      </c>
      <c r="J8" s="22">
        <v>-11.6</v>
      </c>
      <c r="K8" t="str">
        <f t="shared" si="1"/>
        <v>décembre</v>
      </c>
      <c r="L8" t="str">
        <f t="shared" si="2"/>
        <v>Dépenses</v>
      </c>
    </row>
    <row r="9" spans="1:13" x14ac:dyDescent="0.2">
      <c r="A9" t="s">
        <v>2</v>
      </c>
      <c r="B9" t="s">
        <v>8</v>
      </c>
      <c r="D9" s="2">
        <v>43452</v>
      </c>
      <c r="E9" s="2">
        <f t="shared" si="0"/>
        <v>43507</v>
      </c>
      <c r="F9" t="s">
        <v>12</v>
      </c>
      <c r="G9" t="s">
        <v>13</v>
      </c>
      <c r="H9" t="s">
        <v>22</v>
      </c>
      <c r="I9" t="s">
        <v>7</v>
      </c>
      <c r="J9" s="22">
        <v>-4.3499999999999996</v>
      </c>
      <c r="K9" t="str">
        <f t="shared" si="1"/>
        <v>décembre</v>
      </c>
      <c r="L9" t="str">
        <f t="shared" si="2"/>
        <v>Dépenses</v>
      </c>
    </row>
    <row r="10" spans="1:13" x14ac:dyDescent="0.2">
      <c r="A10" t="s">
        <v>2</v>
      </c>
      <c r="B10" t="s">
        <v>3</v>
      </c>
      <c r="D10" s="2">
        <v>43452</v>
      </c>
      <c r="E10" s="2">
        <f t="shared" si="0"/>
        <v>43507</v>
      </c>
      <c r="F10" t="s">
        <v>4</v>
      </c>
      <c r="G10" t="s">
        <v>5</v>
      </c>
      <c r="H10" t="s">
        <v>23</v>
      </c>
      <c r="I10" t="s">
        <v>7</v>
      </c>
      <c r="J10" s="22">
        <v>-42.29</v>
      </c>
      <c r="K10" t="str">
        <f t="shared" si="1"/>
        <v>décembre</v>
      </c>
      <c r="L10" t="str">
        <f t="shared" si="2"/>
        <v>Dépenses</v>
      </c>
    </row>
    <row r="11" spans="1:13" x14ac:dyDescent="0.2">
      <c r="A11" t="s">
        <v>2</v>
      </c>
      <c r="B11" t="s">
        <v>8</v>
      </c>
      <c r="D11" s="2">
        <v>43454</v>
      </c>
      <c r="E11" s="2">
        <f t="shared" si="0"/>
        <v>43507</v>
      </c>
      <c r="F11" t="s">
        <v>24</v>
      </c>
      <c r="G11" t="s">
        <v>25</v>
      </c>
      <c r="H11" t="s">
        <v>26</v>
      </c>
      <c r="I11" t="s">
        <v>7</v>
      </c>
      <c r="J11" s="22">
        <v>-61.9</v>
      </c>
      <c r="K11" t="str">
        <f t="shared" si="1"/>
        <v>décembre</v>
      </c>
      <c r="L11" t="str">
        <f t="shared" si="2"/>
        <v>Dépenses</v>
      </c>
    </row>
    <row r="12" spans="1:13" ht="15" customHeight="1" x14ac:dyDescent="0.2">
      <c r="A12" t="s">
        <v>2</v>
      </c>
      <c r="B12" t="s">
        <v>8</v>
      </c>
      <c r="D12" s="2">
        <v>43454</v>
      </c>
      <c r="E12" s="2">
        <f t="shared" si="0"/>
        <v>43507</v>
      </c>
      <c r="F12" t="s">
        <v>27</v>
      </c>
      <c r="G12" t="s">
        <v>28</v>
      </c>
      <c r="H12" t="s">
        <v>29</v>
      </c>
      <c r="I12" t="s">
        <v>7</v>
      </c>
      <c r="J12" s="22">
        <v>-51.47</v>
      </c>
      <c r="K12" t="str">
        <f t="shared" si="1"/>
        <v>décembre</v>
      </c>
      <c r="L12" t="str">
        <f t="shared" si="2"/>
        <v>Dépenses</v>
      </c>
    </row>
    <row r="13" spans="1:13" ht="15" customHeight="1" x14ac:dyDescent="0.2">
      <c r="A13" t="s">
        <v>2</v>
      </c>
      <c r="B13" t="s">
        <v>8</v>
      </c>
      <c r="D13" s="2">
        <v>43455</v>
      </c>
      <c r="E13" s="2">
        <f t="shared" si="0"/>
        <v>43507</v>
      </c>
      <c r="F13" t="s">
        <v>30</v>
      </c>
      <c r="G13" t="s">
        <v>5</v>
      </c>
      <c r="H13" t="s">
        <v>31</v>
      </c>
      <c r="I13" t="s">
        <v>7</v>
      </c>
      <c r="J13" s="22">
        <v>-39.61</v>
      </c>
      <c r="K13" t="str">
        <f t="shared" si="1"/>
        <v>décembre</v>
      </c>
      <c r="L13" t="str">
        <f t="shared" si="2"/>
        <v>Dépenses</v>
      </c>
    </row>
    <row r="14" spans="1:13" ht="15" customHeight="1" x14ac:dyDescent="0.2">
      <c r="A14" t="s">
        <v>2</v>
      </c>
      <c r="B14" t="s">
        <v>8</v>
      </c>
      <c r="D14" s="2">
        <v>43455</v>
      </c>
      <c r="E14" s="2">
        <f t="shared" si="0"/>
        <v>43507</v>
      </c>
      <c r="F14" t="s">
        <v>32</v>
      </c>
      <c r="G14" t="s">
        <v>5</v>
      </c>
      <c r="H14" t="s">
        <v>22</v>
      </c>
      <c r="I14" t="s">
        <v>7</v>
      </c>
      <c r="J14" s="22">
        <v>-4.25</v>
      </c>
      <c r="K14" t="str">
        <f t="shared" si="1"/>
        <v>décembre</v>
      </c>
      <c r="L14" t="str">
        <f t="shared" si="2"/>
        <v>Dépenses</v>
      </c>
    </row>
    <row r="15" spans="1:13" x14ac:dyDescent="0.2">
      <c r="A15" t="s">
        <v>2</v>
      </c>
      <c r="B15" t="s">
        <v>8</v>
      </c>
      <c r="D15" s="2">
        <v>43455</v>
      </c>
      <c r="E15" s="2">
        <f t="shared" si="0"/>
        <v>43507</v>
      </c>
      <c r="F15" t="s">
        <v>32</v>
      </c>
      <c r="G15" t="s">
        <v>5</v>
      </c>
      <c r="H15" t="s">
        <v>33</v>
      </c>
      <c r="I15" t="s">
        <v>7</v>
      </c>
      <c r="J15" s="22">
        <v>-4.2</v>
      </c>
      <c r="K15" t="str">
        <f t="shared" si="1"/>
        <v>décembre</v>
      </c>
      <c r="L15" t="str">
        <f t="shared" si="2"/>
        <v>Dépenses</v>
      </c>
    </row>
    <row r="16" spans="1:13" x14ac:dyDescent="0.2">
      <c r="A16" t="s">
        <v>2</v>
      </c>
      <c r="B16" t="s">
        <v>8</v>
      </c>
      <c r="D16" s="2">
        <v>43455</v>
      </c>
      <c r="E16" s="2">
        <f t="shared" si="0"/>
        <v>43507</v>
      </c>
      <c r="F16" t="s">
        <v>34</v>
      </c>
      <c r="G16" t="s">
        <v>5</v>
      </c>
      <c r="H16" t="s">
        <v>35</v>
      </c>
      <c r="I16" t="s">
        <v>7</v>
      </c>
      <c r="J16" s="22">
        <v>-39.4</v>
      </c>
      <c r="K16" t="str">
        <f t="shared" si="1"/>
        <v>décembre</v>
      </c>
      <c r="L16" t="str">
        <f t="shared" si="2"/>
        <v>Dépenses</v>
      </c>
    </row>
    <row r="17" spans="1:12" x14ac:dyDescent="0.2">
      <c r="A17" t="s">
        <v>2</v>
      </c>
      <c r="B17" t="s">
        <v>3</v>
      </c>
      <c r="D17" s="2">
        <v>43455</v>
      </c>
      <c r="E17" s="2">
        <f t="shared" si="0"/>
        <v>43507</v>
      </c>
      <c r="F17" t="s">
        <v>4</v>
      </c>
      <c r="G17" t="s">
        <v>5</v>
      </c>
      <c r="H17" t="s">
        <v>23</v>
      </c>
      <c r="I17" t="s">
        <v>7</v>
      </c>
      <c r="J17" s="22">
        <v>-33.880000000000003</v>
      </c>
      <c r="K17" t="str">
        <f t="shared" si="1"/>
        <v>décembre</v>
      </c>
      <c r="L17" t="str">
        <f t="shared" si="2"/>
        <v>Dépenses</v>
      </c>
    </row>
    <row r="18" spans="1:12" x14ac:dyDescent="0.2">
      <c r="A18" t="s">
        <v>2</v>
      </c>
      <c r="B18" t="s">
        <v>8</v>
      </c>
      <c r="C18" t="s">
        <v>36</v>
      </c>
      <c r="D18" s="2">
        <v>43456</v>
      </c>
      <c r="E18" s="2">
        <f t="shared" si="0"/>
        <v>43507</v>
      </c>
      <c r="F18" t="s">
        <v>27</v>
      </c>
      <c r="G18" t="s">
        <v>28</v>
      </c>
      <c r="H18" t="s">
        <v>6</v>
      </c>
      <c r="I18" t="s">
        <v>7</v>
      </c>
      <c r="J18" s="22">
        <v>-11.93</v>
      </c>
      <c r="K18" t="str">
        <f t="shared" si="1"/>
        <v>décembre</v>
      </c>
      <c r="L18" t="str">
        <f t="shared" si="2"/>
        <v>Dépenses</v>
      </c>
    </row>
    <row r="19" spans="1:12" x14ac:dyDescent="0.2">
      <c r="A19" t="s">
        <v>2</v>
      </c>
      <c r="B19" t="s">
        <v>8</v>
      </c>
      <c r="C19" t="s">
        <v>36</v>
      </c>
      <c r="D19" s="2">
        <v>43456</v>
      </c>
      <c r="E19" s="2">
        <f t="shared" si="0"/>
        <v>43507</v>
      </c>
      <c r="F19" t="s">
        <v>5</v>
      </c>
      <c r="G19" t="s">
        <v>5</v>
      </c>
      <c r="H19" t="s">
        <v>6</v>
      </c>
      <c r="I19" t="s">
        <v>7</v>
      </c>
      <c r="J19" s="22">
        <v>-59.410000000000004</v>
      </c>
      <c r="K19" t="str">
        <f t="shared" si="1"/>
        <v>décembre</v>
      </c>
      <c r="L19" t="str">
        <f t="shared" si="2"/>
        <v>Dépenses</v>
      </c>
    </row>
    <row r="20" spans="1:12" x14ac:dyDescent="0.2">
      <c r="A20" t="s">
        <v>2</v>
      </c>
      <c r="B20" t="s">
        <v>8</v>
      </c>
      <c r="D20" s="2">
        <v>43456</v>
      </c>
      <c r="E20" s="2">
        <f t="shared" si="0"/>
        <v>43507</v>
      </c>
      <c r="F20" t="s">
        <v>5</v>
      </c>
      <c r="G20" t="s">
        <v>5</v>
      </c>
      <c r="H20" t="s">
        <v>37</v>
      </c>
      <c r="I20" t="s">
        <v>7</v>
      </c>
      <c r="J20" s="22">
        <v>-17.22</v>
      </c>
      <c r="K20" t="str">
        <f t="shared" si="1"/>
        <v>décembre</v>
      </c>
      <c r="L20" t="str">
        <f t="shared" si="2"/>
        <v>Dépenses</v>
      </c>
    </row>
    <row r="21" spans="1:12" x14ac:dyDescent="0.2">
      <c r="A21" t="s">
        <v>2</v>
      </c>
      <c r="B21" t="s">
        <v>8</v>
      </c>
      <c r="D21" s="2">
        <v>43456</v>
      </c>
      <c r="E21" s="2">
        <f t="shared" si="0"/>
        <v>43507</v>
      </c>
      <c r="F21" t="s">
        <v>38</v>
      </c>
      <c r="G21" t="s">
        <v>39</v>
      </c>
      <c r="H21" t="s">
        <v>40</v>
      </c>
      <c r="I21" t="s">
        <v>7</v>
      </c>
      <c r="J21" s="22">
        <v>-50</v>
      </c>
      <c r="K21" t="str">
        <f t="shared" si="1"/>
        <v>décembre</v>
      </c>
      <c r="L21" t="str">
        <f t="shared" si="2"/>
        <v>Dépenses</v>
      </c>
    </row>
    <row r="22" spans="1:12" x14ac:dyDescent="0.2">
      <c r="A22" t="s">
        <v>2</v>
      </c>
      <c r="B22" t="s">
        <v>8</v>
      </c>
      <c r="D22" s="2">
        <v>43456</v>
      </c>
      <c r="E22" s="2">
        <f t="shared" si="0"/>
        <v>43507</v>
      </c>
      <c r="F22" t="s">
        <v>41</v>
      </c>
      <c r="G22" t="s">
        <v>19</v>
      </c>
      <c r="H22" t="s">
        <v>42</v>
      </c>
      <c r="I22" t="s">
        <v>7</v>
      </c>
      <c r="J22" s="22">
        <v>-13</v>
      </c>
      <c r="K22" t="str">
        <f t="shared" si="1"/>
        <v>décembre</v>
      </c>
      <c r="L22" t="str">
        <f t="shared" si="2"/>
        <v>Dépenses</v>
      </c>
    </row>
    <row r="23" spans="1:12" x14ac:dyDescent="0.2">
      <c r="A23" t="s">
        <v>2</v>
      </c>
      <c r="B23" t="s">
        <v>8</v>
      </c>
      <c r="C23" t="s">
        <v>43</v>
      </c>
      <c r="D23" s="2">
        <v>43457</v>
      </c>
      <c r="E23" s="2">
        <f t="shared" si="0"/>
        <v>43507</v>
      </c>
      <c r="F23" t="s">
        <v>44</v>
      </c>
      <c r="G23" t="s">
        <v>19</v>
      </c>
      <c r="H23" t="s">
        <v>23</v>
      </c>
      <c r="I23" t="s">
        <v>7</v>
      </c>
      <c r="J23" s="22">
        <v>-14.99</v>
      </c>
      <c r="K23" t="str">
        <f t="shared" si="1"/>
        <v>décembre</v>
      </c>
      <c r="L23" t="str">
        <f t="shared" si="2"/>
        <v>Dépenses</v>
      </c>
    </row>
    <row r="24" spans="1:12" x14ac:dyDescent="0.2">
      <c r="A24" t="s">
        <v>2</v>
      </c>
      <c r="B24" t="s">
        <v>8</v>
      </c>
      <c r="C24" t="s">
        <v>43</v>
      </c>
      <c r="D24" s="2">
        <v>43457</v>
      </c>
      <c r="E24" s="2">
        <f t="shared" si="0"/>
        <v>43507</v>
      </c>
      <c r="F24" t="s">
        <v>5</v>
      </c>
      <c r="G24" t="s">
        <v>5</v>
      </c>
      <c r="H24" t="s">
        <v>23</v>
      </c>
      <c r="I24" t="s">
        <v>7</v>
      </c>
      <c r="J24" s="22">
        <v>-8.9099999999999984</v>
      </c>
      <c r="K24" t="str">
        <f t="shared" si="1"/>
        <v>décembre</v>
      </c>
      <c r="L24" t="str">
        <f t="shared" si="2"/>
        <v>Dépenses</v>
      </c>
    </row>
    <row r="25" spans="1:12" ht="15" customHeight="1" x14ac:dyDescent="0.2">
      <c r="A25" t="s">
        <v>2</v>
      </c>
      <c r="B25" t="s">
        <v>8</v>
      </c>
      <c r="D25" s="2">
        <v>43457</v>
      </c>
      <c r="E25" s="2">
        <f t="shared" si="0"/>
        <v>43507</v>
      </c>
      <c r="F25" t="s">
        <v>45</v>
      </c>
      <c r="G25" t="s">
        <v>5</v>
      </c>
      <c r="H25" t="s">
        <v>46</v>
      </c>
      <c r="I25" t="s">
        <v>7</v>
      </c>
      <c r="J25" s="22">
        <v>-15.7</v>
      </c>
      <c r="K25" t="str">
        <f t="shared" si="1"/>
        <v>décembre</v>
      </c>
      <c r="L25" t="str">
        <f t="shared" si="2"/>
        <v>Dépenses</v>
      </c>
    </row>
    <row r="26" spans="1:12" ht="11.25" customHeight="1" x14ac:dyDescent="0.2">
      <c r="A26" t="s">
        <v>2</v>
      </c>
      <c r="B26" t="s">
        <v>8</v>
      </c>
      <c r="C26" t="s">
        <v>47</v>
      </c>
      <c r="D26" s="2">
        <v>43458</v>
      </c>
      <c r="E26" s="2">
        <f t="shared" si="0"/>
        <v>43507</v>
      </c>
      <c r="F26" t="s">
        <v>48</v>
      </c>
      <c r="G26" t="s">
        <v>49</v>
      </c>
      <c r="H26" t="s">
        <v>50</v>
      </c>
      <c r="I26" t="s">
        <v>7</v>
      </c>
      <c r="J26" s="22">
        <v>-15.97</v>
      </c>
      <c r="K26" t="str">
        <f t="shared" si="1"/>
        <v>décembre</v>
      </c>
      <c r="L26" t="str">
        <f t="shared" si="2"/>
        <v>Dépenses</v>
      </c>
    </row>
    <row r="27" spans="1:12" ht="11.25" customHeight="1" x14ac:dyDescent="0.2">
      <c r="A27" t="s">
        <v>2</v>
      </c>
      <c r="B27" t="s">
        <v>8</v>
      </c>
      <c r="C27" t="s">
        <v>47</v>
      </c>
      <c r="D27" s="2">
        <v>43458</v>
      </c>
      <c r="E27" s="2">
        <f t="shared" si="0"/>
        <v>43507</v>
      </c>
      <c r="F27" t="s">
        <v>5</v>
      </c>
      <c r="G27" t="s">
        <v>5</v>
      </c>
      <c r="H27" t="s">
        <v>50</v>
      </c>
      <c r="I27" t="s">
        <v>7</v>
      </c>
      <c r="J27" s="22">
        <v>-17.410000000000004</v>
      </c>
      <c r="K27" t="str">
        <f t="shared" si="1"/>
        <v>décembre</v>
      </c>
      <c r="L27" t="str">
        <f t="shared" si="2"/>
        <v>Dépenses</v>
      </c>
    </row>
    <row r="28" spans="1:12" ht="15" customHeight="1" x14ac:dyDescent="0.2">
      <c r="A28" t="s">
        <v>2</v>
      </c>
      <c r="B28" t="s">
        <v>8</v>
      </c>
      <c r="D28" s="2">
        <v>43458</v>
      </c>
      <c r="E28" s="2">
        <f t="shared" si="0"/>
        <v>43507</v>
      </c>
      <c r="F28" t="s">
        <v>21</v>
      </c>
      <c r="G28" t="s">
        <v>21</v>
      </c>
      <c r="H28" t="s">
        <v>50</v>
      </c>
      <c r="I28" t="s">
        <v>7</v>
      </c>
      <c r="J28" s="22">
        <v>-14.9</v>
      </c>
      <c r="K28" t="str">
        <f t="shared" si="1"/>
        <v>décembre</v>
      </c>
      <c r="L28" t="str">
        <f t="shared" si="2"/>
        <v>Dépenses</v>
      </c>
    </row>
    <row r="29" spans="1:12" x14ac:dyDescent="0.2">
      <c r="A29" t="s">
        <v>2</v>
      </c>
      <c r="B29" t="s">
        <v>3</v>
      </c>
      <c r="D29" s="2">
        <v>43458</v>
      </c>
      <c r="E29" s="2">
        <f t="shared" si="0"/>
        <v>43507</v>
      </c>
      <c r="F29" t="s">
        <v>51</v>
      </c>
      <c r="G29" t="s">
        <v>52</v>
      </c>
      <c r="H29" t="s">
        <v>51</v>
      </c>
      <c r="I29" t="s">
        <v>7</v>
      </c>
      <c r="J29" s="22">
        <v>-37.99</v>
      </c>
      <c r="K29" t="str">
        <f t="shared" si="1"/>
        <v>décembre</v>
      </c>
      <c r="L29" t="str">
        <f t="shared" si="2"/>
        <v>Dépenses</v>
      </c>
    </row>
    <row r="30" spans="1:12" x14ac:dyDescent="0.2">
      <c r="A30" t="s">
        <v>2</v>
      </c>
      <c r="B30" t="s">
        <v>8</v>
      </c>
      <c r="D30" s="2">
        <v>43460</v>
      </c>
      <c r="E30" s="2">
        <f t="shared" si="0"/>
        <v>43507</v>
      </c>
      <c r="F30" t="s">
        <v>53</v>
      </c>
      <c r="G30" t="s">
        <v>5</v>
      </c>
      <c r="H30" t="s">
        <v>50</v>
      </c>
      <c r="I30" t="s">
        <v>7</v>
      </c>
      <c r="J30" s="22">
        <v>-8.6199999999999992</v>
      </c>
      <c r="K30" t="str">
        <f t="shared" si="1"/>
        <v>décembre</v>
      </c>
      <c r="L30" t="str">
        <f t="shared" si="2"/>
        <v>Dépenses</v>
      </c>
    </row>
    <row r="31" spans="1:12" x14ac:dyDescent="0.2">
      <c r="A31" t="s">
        <v>2</v>
      </c>
      <c r="B31" t="s">
        <v>8</v>
      </c>
      <c r="D31" s="2">
        <v>43461</v>
      </c>
      <c r="E31" s="2">
        <v>43501</v>
      </c>
      <c r="F31" t="s">
        <v>54</v>
      </c>
      <c r="G31" t="s">
        <v>25</v>
      </c>
      <c r="H31" t="s">
        <v>55</v>
      </c>
      <c r="I31" t="s">
        <v>7</v>
      </c>
      <c r="J31" s="22">
        <v>-23.5</v>
      </c>
      <c r="K31" t="str">
        <f t="shared" si="1"/>
        <v>décembre</v>
      </c>
      <c r="L31" t="str">
        <f t="shared" si="2"/>
        <v>Dépenses</v>
      </c>
    </row>
    <row r="32" spans="1:12" x14ac:dyDescent="0.2">
      <c r="A32" t="s">
        <v>2</v>
      </c>
      <c r="B32" t="s">
        <v>8</v>
      </c>
      <c r="C32" s="1" t="s">
        <v>58</v>
      </c>
      <c r="D32" s="2">
        <v>43462</v>
      </c>
      <c r="E32" s="2">
        <v>43501</v>
      </c>
      <c r="F32" t="s">
        <v>59</v>
      </c>
      <c r="G32" t="s">
        <v>60</v>
      </c>
      <c r="H32" t="s">
        <v>61</v>
      </c>
      <c r="I32" t="s">
        <v>7</v>
      </c>
      <c r="J32" s="22">
        <v>-29.99</v>
      </c>
      <c r="K32" t="str">
        <f t="shared" si="1"/>
        <v>décembre</v>
      </c>
      <c r="L32" t="str">
        <f t="shared" si="2"/>
        <v>Dépenses</v>
      </c>
    </row>
    <row r="33" spans="1:12" x14ac:dyDescent="0.2">
      <c r="A33" t="s">
        <v>2</v>
      </c>
      <c r="B33" t="s">
        <v>3</v>
      </c>
      <c r="D33" s="2">
        <v>43462</v>
      </c>
      <c r="E33" s="2">
        <f>IF(A33="","",IF(A33&lt;&gt;"Carte Lux",D33,VLOOKUP(D33,Periode_datedebit_2019,3)))</f>
        <v>43507</v>
      </c>
      <c r="F33" t="s">
        <v>56</v>
      </c>
      <c r="G33" t="s">
        <v>5</v>
      </c>
      <c r="H33" t="s">
        <v>37</v>
      </c>
      <c r="I33" t="s">
        <v>7</v>
      </c>
      <c r="J33" s="22">
        <v>-47.34</v>
      </c>
      <c r="K33" t="str">
        <f t="shared" si="1"/>
        <v>décembre</v>
      </c>
      <c r="L33" t="str">
        <f t="shared" si="2"/>
        <v>Dépenses</v>
      </c>
    </row>
    <row r="34" spans="1:12" ht="15" customHeight="1" x14ac:dyDescent="0.2">
      <c r="A34" t="s">
        <v>2</v>
      </c>
      <c r="B34" t="s">
        <v>3</v>
      </c>
      <c r="D34" s="2">
        <v>43462</v>
      </c>
      <c r="E34" s="2">
        <f>IF(A34="","",IF(A34&lt;&gt;"Carte Lux",D34,VLOOKUP(D34,Periode_datedebit_2019,3)))</f>
        <v>43507</v>
      </c>
      <c r="F34" t="s">
        <v>57</v>
      </c>
      <c r="G34" t="s">
        <v>5</v>
      </c>
      <c r="H34" t="s">
        <v>6</v>
      </c>
      <c r="I34" t="s">
        <v>7</v>
      </c>
      <c r="J34" s="22">
        <v>-38.89</v>
      </c>
      <c r="K34" t="str">
        <f t="shared" si="1"/>
        <v>décembre</v>
      </c>
      <c r="L34" t="str">
        <f t="shared" si="2"/>
        <v>Dépenses</v>
      </c>
    </row>
    <row r="35" spans="1:12" x14ac:dyDescent="0.2">
      <c r="A35" t="s">
        <v>2</v>
      </c>
      <c r="B35" t="s">
        <v>3</v>
      </c>
      <c r="D35" s="2">
        <v>43463</v>
      </c>
      <c r="E35" s="2">
        <f>IF(A35="","",IF(A35&lt;&gt;"Carte Lux",D35,VLOOKUP(D35,Periode_datedebit_2019,3)))</f>
        <v>43507</v>
      </c>
      <c r="F35" t="s">
        <v>57</v>
      </c>
      <c r="G35" t="s">
        <v>5</v>
      </c>
      <c r="H35" t="s">
        <v>6</v>
      </c>
      <c r="I35" t="s">
        <v>7</v>
      </c>
      <c r="J35" s="22">
        <v>-146.18</v>
      </c>
      <c r="K35" t="str">
        <f t="shared" si="1"/>
        <v>décembre</v>
      </c>
      <c r="L35" t="str">
        <f t="shared" si="2"/>
        <v>Dépenses</v>
      </c>
    </row>
    <row r="36" spans="1:12" x14ac:dyDescent="0.2">
      <c r="A36" t="s">
        <v>2</v>
      </c>
      <c r="B36" t="s">
        <v>8</v>
      </c>
      <c r="D36" s="2">
        <v>43464</v>
      </c>
      <c r="E36" s="2">
        <v>43501</v>
      </c>
      <c r="F36" t="s">
        <v>62</v>
      </c>
      <c r="G36" t="s">
        <v>63</v>
      </c>
      <c r="H36" t="s">
        <v>64</v>
      </c>
      <c r="I36" t="s">
        <v>7</v>
      </c>
      <c r="J36" s="22">
        <v>-35.43</v>
      </c>
      <c r="K36" t="str">
        <f t="shared" si="1"/>
        <v>décembre</v>
      </c>
      <c r="L36" t="str">
        <f t="shared" si="2"/>
        <v>Dépenses</v>
      </c>
    </row>
    <row r="37" spans="1:12" ht="11.25" customHeight="1" x14ac:dyDescent="0.2">
      <c r="A37" t="s">
        <v>2</v>
      </c>
      <c r="B37" t="s">
        <v>8</v>
      </c>
      <c r="D37" s="2">
        <v>43464</v>
      </c>
      <c r="E37" s="2">
        <v>43501</v>
      </c>
      <c r="F37" t="s">
        <v>21</v>
      </c>
      <c r="G37" t="s">
        <v>21</v>
      </c>
      <c r="H37" t="s">
        <v>64</v>
      </c>
      <c r="I37" t="s">
        <v>7</v>
      </c>
      <c r="J37" s="22">
        <v>-9.8000000000000007</v>
      </c>
      <c r="K37" t="str">
        <f t="shared" si="1"/>
        <v>décembre</v>
      </c>
      <c r="L37" t="str">
        <f t="shared" si="2"/>
        <v>Dépenses</v>
      </c>
    </row>
    <row r="38" spans="1:12" ht="15" customHeight="1" x14ac:dyDescent="0.2">
      <c r="A38" t="s">
        <v>2</v>
      </c>
      <c r="B38" t="s">
        <v>8</v>
      </c>
      <c r="D38" s="2">
        <v>43464</v>
      </c>
      <c r="E38" s="2">
        <v>43501</v>
      </c>
      <c r="F38" t="s">
        <v>65</v>
      </c>
      <c r="G38" t="s">
        <v>5</v>
      </c>
      <c r="H38" t="s">
        <v>64</v>
      </c>
      <c r="I38" t="s">
        <v>7</v>
      </c>
      <c r="J38" s="22">
        <f>-4.8*2</f>
        <v>-9.6</v>
      </c>
      <c r="K38" t="str">
        <f t="shared" si="1"/>
        <v>décembre</v>
      </c>
      <c r="L38" t="str">
        <f t="shared" si="2"/>
        <v>Dépenses</v>
      </c>
    </row>
    <row r="39" spans="1:12" x14ac:dyDescent="0.2">
      <c r="A39" t="s">
        <v>2</v>
      </c>
      <c r="B39" t="s">
        <v>8</v>
      </c>
      <c r="D39" s="2">
        <v>43465</v>
      </c>
      <c r="E39" s="2">
        <f t="shared" ref="E39:E63" si="3">IF(A39="","",IF(A39&lt;&gt;"Carte Lux",D39,VLOOKUP(D39,Periode_datedebit_2019,3)))</f>
        <v>43507</v>
      </c>
      <c r="F39" t="s">
        <v>66</v>
      </c>
      <c r="G39" t="s">
        <v>60</v>
      </c>
      <c r="H39" t="s">
        <v>61</v>
      </c>
      <c r="I39" t="s">
        <v>7</v>
      </c>
      <c r="J39" s="22">
        <v>-62.97</v>
      </c>
      <c r="K39" t="str">
        <f t="shared" si="1"/>
        <v>décembre</v>
      </c>
      <c r="L39" t="str">
        <f t="shared" si="2"/>
        <v>Dépenses</v>
      </c>
    </row>
    <row r="40" spans="1:12" x14ac:dyDescent="0.2">
      <c r="A40" t="s">
        <v>2</v>
      </c>
      <c r="B40" t="s">
        <v>8</v>
      </c>
      <c r="D40" s="2">
        <v>43465</v>
      </c>
      <c r="E40" s="2">
        <f t="shared" si="3"/>
        <v>43507</v>
      </c>
      <c r="F40" t="s">
        <v>66</v>
      </c>
      <c r="G40" t="s">
        <v>60</v>
      </c>
      <c r="H40" t="s">
        <v>61</v>
      </c>
      <c r="I40" t="s">
        <v>7</v>
      </c>
      <c r="J40" s="22">
        <v>-29.01</v>
      </c>
      <c r="K40" t="str">
        <f t="shared" si="1"/>
        <v>décembre</v>
      </c>
      <c r="L40" t="str">
        <f t="shared" si="2"/>
        <v>Dépenses</v>
      </c>
    </row>
    <row r="41" spans="1:12" x14ac:dyDescent="0.2">
      <c r="A41" t="s">
        <v>2</v>
      </c>
      <c r="B41" t="s">
        <v>8</v>
      </c>
      <c r="D41" s="2">
        <v>43465</v>
      </c>
      <c r="E41" s="2">
        <f t="shared" si="3"/>
        <v>43507</v>
      </c>
      <c r="F41" t="s">
        <v>67</v>
      </c>
      <c r="G41" t="s">
        <v>5</v>
      </c>
      <c r="H41" t="s">
        <v>68</v>
      </c>
      <c r="I41" t="s">
        <v>7</v>
      </c>
      <c r="J41" s="22">
        <v>-18.5</v>
      </c>
      <c r="K41" t="str">
        <f t="shared" si="1"/>
        <v>décembre</v>
      </c>
      <c r="L41" t="str">
        <f t="shared" si="2"/>
        <v>Dépenses</v>
      </c>
    </row>
    <row r="42" spans="1:12" x14ac:dyDescent="0.2">
      <c r="A42" t="s">
        <v>2</v>
      </c>
      <c r="B42" t="s">
        <v>3</v>
      </c>
      <c r="D42" s="2">
        <v>43465</v>
      </c>
      <c r="E42" s="2">
        <f t="shared" si="3"/>
        <v>43507</v>
      </c>
      <c r="F42" t="s">
        <v>57</v>
      </c>
      <c r="G42" t="s">
        <v>5</v>
      </c>
      <c r="H42" t="s">
        <v>6</v>
      </c>
      <c r="I42" t="s">
        <v>7</v>
      </c>
      <c r="J42" s="22">
        <v>-61.89</v>
      </c>
      <c r="K42" t="str">
        <f t="shared" si="1"/>
        <v>décembre</v>
      </c>
      <c r="L42" t="str">
        <f t="shared" si="2"/>
        <v>Dépenses</v>
      </c>
    </row>
    <row r="43" spans="1:12" ht="15" customHeight="1" x14ac:dyDescent="0.2">
      <c r="A43" t="s">
        <v>77</v>
      </c>
      <c r="B43" t="s">
        <v>77</v>
      </c>
      <c r="D43" s="2">
        <v>43466</v>
      </c>
      <c r="E43" s="2">
        <f t="shared" si="3"/>
        <v>43466</v>
      </c>
      <c r="F43" t="s">
        <v>78</v>
      </c>
      <c r="G43" t="s">
        <v>79</v>
      </c>
      <c r="H43" t="s">
        <v>80</v>
      </c>
      <c r="I43" t="s">
        <v>77</v>
      </c>
      <c r="J43" s="22">
        <v>30</v>
      </c>
      <c r="K43" t="str">
        <f t="shared" si="1"/>
        <v>janvier</v>
      </c>
      <c r="L43" t="str">
        <f t="shared" si="2"/>
        <v>Recettes</v>
      </c>
    </row>
    <row r="44" spans="1:12" ht="11.25" customHeight="1" x14ac:dyDescent="0.2">
      <c r="A44" t="s">
        <v>77</v>
      </c>
      <c r="B44" s="4" t="s">
        <v>77</v>
      </c>
      <c r="D44" s="2">
        <v>43466</v>
      </c>
      <c r="E44" s="2">
        <f t="shared" si="3"/>
        <v>43466</v>
      </c>
      <c r="F44" t="s">
        <v>81</v>
      </c>
      <c r="G44" t="s">
        <v>19</v>
      </c>
      <c r="I44" t="s">
        <v>77</v>
      </c>
      <c r="J44" s="22">
        <v>360</v>
      </c>
      <c r="K44" t="str">
        <f t="shared" si="1"/>
        <v>janvier</v>
      </c>
      <c r="L44" t="str">
        <f t="shared" si="2"/>
        <v>Recettes</v>
      </c>
    </row>
    <row r="45" spans="1:12" x14ac:dyDescent="0.2">
      <c r="A45" t="s">
        <v>77</v>
      </c>
      <c r="B45" t="s">
        <v>77</v>
      </c>
      <c r="D45" s="2">
        <v>43466</v>
      </c>
      <c r="E45" s="2">
        <f t="shared" si="3"/>
        <v>43466</v>
      </c>
      <c r="F45" t="s">
        <v>82</v>
      </c>
      <c r="G45" t="s">
        <v>5</v>
      </c>
      <c r="H45" t="s">
        <v>50</v>
      </c>
      <c r="I45" t="s">
        <v>77</v>
      </c>
      <c r="J45" s="22">
        <v>-1.5</v>
      </c>
      <c r="K45" t="str">
        <f t="shared" si="1"/>
        <v>janvier</v>
      </c>
      <c r="L45" t="str">
        <f t="shared" si="2"/>
        <v>Dépenses</v>
      </c>
    </row>
    <row r="46" spans="1:12" ht="11.25" customHeight="1" x14ac:dyDescent="0.2">
      <c r="A46" t="s">
        <v>69</v>
      </c>
      <c r="B46" s="4" t="s">
        <v>70</v>
      </c>
      <c r="C46" s="5" t="s">
        <v>71</v>
      </c>
      <c r="D46" s="2">
        <v>43466</v>
      </c>
      <c r="E46" s="2">
        <f t="shared" si="3"/>
        <v>43466</v>
      </c>
      <c r="F46" t="s">
        <v>72</v>
      </c>
      <c r="G46" t="s">
        <v>73</v>
      </c>
      <c r="H46" t="s">
        <v>74</v>
      </c>
      <c r="I46" t="s">
        <v>7</v>
      </c>
      <c r="J46" s="23">
        <v>-500</v>
      </c>
      <c r="K46" t="str">
        <f t="shared" si="1"/>
        <v>janvier</v>
      </c>
      <c r="L46" t="str">
        <f t="shared" si="2"/>
        <v>Dépenses</v>
      </c>
    </row>
    <row r="47" spans="1:12" ht="11.25" customHeight="1" x14ac:dyDescent="0.2">
      <c r="A47" t="s">
        <v>75</v>
      </c>
      <c r="B47" s="4" t="s">
        <v>70</v>
      </c>
      <c r="C47" s="5" t="s">
        <v>71</v>
      </c>
      <c r="D47" s="2">
        <v>43466</v>
      </c>
      <c r="E47" s="2">
        <f t="shared" si="3"/>
        <v>43466</v>
      </c>
      <c r="F47" t="s">
        <v>72</v>
      </c>
      <c r="G47" t="s">
        <v>76</v>
      </c>
      <c r="H47" t="s">
        <v>74</v>
      </c>
      <c r="I47" t="s">
        <v>7</v>
      </c>
      <c r="J47" s="23">
        <v>500</v>
      </c>
      <c r="K47" t="str">
        <f t="shared" si="1"/>
        <v>janvier</v>
      </c>
      <c r="L47" t="str">
        <f t="shared" si="2"/>
        <v>Recettes</v>
      </c>
    </row>
    <row r="48" spans="1:12" x14ac:dyDescent="0.2">
      <c r="A48" t="s">
        <v>83</v>
      </c>
      <c r="B48" t="s">
        <v>84</v>
      </c>
      <c r="D48" s="2">
        <v>43466</v>
      </c>
      <c r="E48" s="2">
        <f t="shared" si="3"/>
        <v>43466</v>
      </c>
      <c r="F48" t="s">
        <v>85</v>
      </c>
      <c r="G48" t="s">
        <v>86</v>
      </c>
      <c r="H48" t="s">
        <v>87</v>
      </c>
      <c r="I48" t="s">
        <v>7</v>
      </c>
      <c r="J48" s="22">
        <v>0.05</v>
      </c>
      <c r="K48" t="str">
        <f t="shared" si="1"/>
        <v>janvier</v>
      </c>
      <c r="L48" t="str">
        <f t="shared" si="2"/>
        <v>Recettes</v>
      </c>
    </row>
    <row r="49" spans="1:12" x14ac:dyDescent="0.2">
      <c r="A49" t="s">
        <v>88</v>
      </c>
      <c r="B49" t="s">
        <v>84</v>
      </c>
      <c r="D49" s="2">
        <v>43466</v>
      </c>
      <c r="E49" s="2">
        <f t="shared" si="3"/>
        <v>43466</v>
      </c>
      <c r="F49" t="s">
        <v>85</v>
      </c>
      <c r="G49" t="s">
        <v>86</v>
      </c>
      <c r="H49" t="s">
        <v>87</v>
      </c>
      <c r="I49" t="s">
        <v>7</v>
      </c>
      <c r="J49" s="22">
        <v>0.05</v>
      </c>
      <c r="K49" t="str">
        <f t="shared" si="1"/>
        <v>janvier</v>
      </c>
      <c r="L49" t="str">
        <f t="shared" si="2"/>
        <v>Recettes</v>
      </c>
    </row>
    <row r="50" spans="1:12" x14ac:dyDescent="0.2">
      <c r="A50" t="s">
        <v>89</v>
      </c>
      <c r="B50" t="s">
        <v>84</v>
      </c>
      <c r="D50" s="2">
        <v>43466</v>
      </c>
      <c r="E50" s="2">
        <f t="shared" si="3"/>
        <v>43466</v>
      </c>
      <c r="F50" t="s">
        <v>85</v>
      </c>
      <c r="G50" t="s">
        <v>86</v>
      </c>
      <c r="H50" t="s">
        <v>87</v>
      </c>
      <c r="I50" t="s">
        <v>7</v>
      </c>
      <c r="J50" s="22">
        <v>0.08</v>
      </c>
      <c r="K50" t="str">
        <f t="shared" si="1"/>
        <v>janvier</v>
      </c>
      <c r="L50" t="str">
        <f t="shared" si="2"/>
        <v>Recettes</v>
      </c>
    </row>
    <row r="51" spans="1:12" x14ac:dyDescent="0.2">
      <c r="A51" t="s">
        <v>90</v>
      </c>
      <c r="B51" t="s">
        <v>84</v>
      </c>
      <c r="D51" s="2">
        <v>43466</v>
      </c>
      <c r="E51" s="2">
        <f t="shared" si="3"/>
        <v>43466</v>
      </c>
      <c r="F51" t="s">
        <v>85</v>
      </c>
      <c r="G51" t="s">
        <v>86</v>
      </c>
      <c r="H51" t="s">
        <v>87</v>
      </c>
      <c r="I51" t="s">
        <v>7</v>
      </c>
      <c r="J51" s="22">
        <v>0.8</v>
      </c>
      <c r="K51" t="str">
        <f t="shared" si="1"/>
        <v>janvier</v>
      </c>
      <c r="L51" t="str">
        <f t="shared" si="2"/>
        <v>Recettes</v>
      </c>
    </row>
    <row r="52" spans="1:12" ht="15" customHeight="1" x14ac:dyDescent="0.2">
      <c r="A52" t="s">
        <v>91</v>
      </c>
      <c r="B52" t="s">
        <v>84</v>
      </c>
      <c r="D52" s="2">
        <v>43466</v>
      </c>
      <c r="E52" s="2">
        <f t="shared" si="3"/>
        <v>43466</v>
      </c>
      <c r="F52" t="s">
        <v>85</v>
      </c>
      <c r="G52" t="s">
        <v>86</v>
      </c>
      <c r="H52" t="s">
        <v>87</v>
      </c>
      <c r="I52" t="s">
        <v>7</v>
      </c>
      <c r="J52" s="22">
        <v>0.08</v>
      </c>
      <c r="K52" t="str">
        <f t="shared" si="1"/>
        <v>janvier</v>
      </c>
      <c r="L52" t="str">
        <f t="shared" si="2"/>
        <v>Recettes</v>
      </c>
    </row>
    <row r="53" spans="1:12" ht="15" customHeight="1" x14ac:dyDescent="0.2">
      <c r="A53" t="s">
        <v>92</v>
      </c>
      <c r="B53" t="s">
        <v>84</v>
      </c>
      <c r="D53" s="2">
        <v>43466</v>
      </c>
      <c r="E53" s="2">
        <f t="shared" si="3"/>
        <v>43466</v>
      </c>
      <c r="F53" t="s">
        <v>85</v>
      </c>
      <c r="G53" t="s">
        <v>86</v>
      </c>
      <c r="H53" t="s">
        <v>87</v>
      </c>
      <c r="I53" t="s">
        <v>7</v>
      </c>
      <c r="J53" s="22">
        <v>0.08</v>
      </c>
      <c r="K53" t="str">
        <f t="shared" si="1"/>
        <v>janvier</v>
      </c>
      <c r="L53" t="str">
        <f t="shared" si="2"/>
        <v>Recettes</v>
      </c>
    </row>
    <row r="54" spans="1:12" ht="15" customHeight="1" x14ac:dyDescent="0.2">
      <c r="A54" t="s">
        <v>2</v>
      </c>
      <c r="B54" t="s">
        <v>8</v>
      </c>
      <c r="D54" s="2">
        <v>43467</v>
      </c>
      <c r="E54" s="2">
        <f t="shared" si="3"/>
        <v>43507</v>
      </c>
      <c r="F54" t="s">
        <v>93</v>
      </c>
      <c r="G54" t="s">
        <v>10</v>
      </c>
      <c r="H54" t="s">
        <v>11</v>
      </c>
      <c r="I54" t="s">
        <v>7</v>
      </c>
      <c r="J54" s="22">
        <v>-25</v>
      </c>
      <c r="K54" t="str">
        <f t="shared" si="1"/>
        <v>janvier</v>
      </c>
      <c r="L54" t="str">
        <f t="shared" si="2"/>
        <v>Dépenses</v>
      </c>
    </row>
    <row r="55" spans="1:12" x14ac:dyDescent="0.2">
      <c r="A55" t="s">
        <v>2</v>
      </c>
      <c r="B55" t="s">
        <v>3</v>
      </c>
      <c r="C55" t="s">
        <v>116</v>
      </c>
      <c r="D55" s="2">
        <v>43467</v>
      </c>
      <c r="E55" s="2">
        <f t="shared" si="3"/>
        <v>43507</v>
      </c>
      <c r="F55" t="s">
        <v>48</v>
      </c>
      <c r="G55" t="s">
        <v>49</v>
      </c>
      <c r="H55" t="s">
        <v>23</v>
      </c>
      <c r="I55" t="s">
        <v>7</v>
      </c>
      <c r="J55" s="22">
        <v>-8.4700000000000006</v>
      </c>
      <c r="K55" t="str">
        <f t="shared" si="1"/>
        <v>janvier</v>
      </c>
      <c r="L55" t="str">
        <f t="shared" si="2"/>
        <v>Dépenses</v>
      </c>
    </row>
    <row r="56" spans="1:12" ht="11.25" customHeight="1" x14ac:dyDescent="0.2">
      <c r="A56" t="s">
        <v>2</v>
      </c>
      <c r="B56" t="s">
        <v>3</v>
      </c>
      <c r="C56" t="s">
        <v>116</v>
      </c>
      <c r="D56" s="2">
        <v>43467</v>
      </c>
      <c r="E56" s="2">
        <f t="shared" si="3"/>
        <v>43507</v>
      </c>
      <c r="F56" t="s">
        <v>117</v>
      </c>
      <c r="G56" t="s">
        <v>118</v>
      </c>
      <c r="H56" t="s">
        <v>23</v>
      </c>
      <c r="I56" t="s">
        <v>7</v>
      </c>
      <c r="J56" s="22">
        <v>-6.66</v>
      </c>
      <c r="K56" t="str">
        <f t="shared" si="1"/>
        <v>janvier</v>
      </c>
      <c r="L56" t="str">
        <f t="shared" si="2"/>
        <v>Dépenses</v>
      </c>
    </row>
    <row r="57" spans="1:12" ht="11.25" customHeight="1" x14ac:dyDescent="0.2">
      <c r="A57" t="s">
        <v>2</v>
      </c>
      <c r="B57" t="s">
        <v>3</v>
      </c>
      <c r="C57" t="s">
        <v>116</v>
      </c>
      <c r="D57" s="2">
        <v>43467</v>
      </c>
      <c r="E57" s="2">
        <f t="shared" si="3"/>
        <v>43507</v>
      </c>
      <c r="F57" t="s">
        <v>5</v>
      </c>
      <c r="G57" t="s">
        <v>5</v>
      </c>
      <c r="H57" t="s">
        <v>23</v>
      </c>
      <c r="I57" t="s">
        <v>7</v>
      </c>
      <c r="J57" s="22">
        <f>-42.82--6.66--8.47</f>
        <v>-27.689999999999998</v>
      </c>
      <c r="K57" t="str">
        <f t="shared" si="1"/>
        <v>janvier</v>
      </c>
      <c r="L57" t="str">
        <f t="shared" si="2"/>
        <v>Dépenses</v>
      </c>
    </row>
    <row r="58" spans="1:12" ht="11.25" customHeight="1" x14ac:dyDescent="0.2">
      <c r="A58" t="s">
        <v>108</v>
      </c>
      <c r="B58" t="s">
        <v>109</v>
      </c>
      <c r="D58" s="2">
        <v>43467</v>
      </c>
      <c r="E58" s="2">
        <f t="shared" si="3"/>
        <v>43467</v>
      </c>
      <c r="F58" t="s">
        <v>110</v>
      </c>
      <c r="G58" t="s">
        <v>111</v>
      </c>
      <c r="H58" t="s">
        <v>112</v>
      </c>
      <c r="I58" t="s">
        <v>7</v>
      </c>
      <c r="J58" s="22">
        <v>-15.3</v>
      </c>
      <c r="K58" t="str">
        <f t="shared" si="1"/>
        <v>janvier</v>
      </c>
      <c r="L58" t="str">
        <f t="shared" si="2"/>
        <v>Dépenses</v>
      </c>
    </row>
    <row r="59" spans="1:12" x14ac:dyDescent="0.2">
      <c r="A59" t="s">
        <v>108</v>
      </c>
      <c r="B59" t="s">
        <v>109</v>
      </c>
      <c r="D59" s="2">
        <v>43467</v>
      </c>
      <c r="E59" s="2">
        <f t="shared" si="3"/>
        <v>43467</v>
      </c>
      <c r="F59" t="s">
        <v>119</v>
      </c>
      <c r="G59" t="s">
        <v>39</v>
      </c>
      <c r="H59" t="s">
        <v>120</v>
      </c>
      <c r="I59" t="s">
        <v>7</v>
      </c>
      <c r="J59" s="22">
        <v>-8</v>
      </c>
      <c r="K59" t="str">
        <f t="shared" si="1"/>
        <v>janvier</v>
      </c>
      <c r="L59" t="str">
        <f t="shared" si="2"/>
        <v>Dépenses</v>
      </c>
    </row>
    <row r="60" spans="1:12" x14ac:dyDescent="0.2">
      <c r="A60" t="s">
        <v>94</v>
      </c>
      <c r="B60" s="4" t="s">
        <v>70</v>
      </c>
      <c r="C60" s="5" t="s">
        <v>95</v>
      </c>
      <c r="D60" s="2">
        <v>43467</v>
      </c>
      <c r="E60" s="2">
        <f t="shared" si="3"/>
        <v>43467</v>
      </c>
      <c r="F60" t="s">
        <v>96</v>
      </c>
      <c r="G60" t="s">
        <v>86</v>
      </c>
      <c r="H60" t="s">
        <v>87</v>
      </c>
      <c r="I60" t="s">
        <v>7</v>
      </c>
      <c r="J60" s="22">
        <v>-6.72</v>
      </c>
      <c r="K60" t="str">
        <f t="shared" si="1"/>
        <v>janvier</v>
      </c>
      <c r="L60" t="str">
        <f t="shared" si="2"/>
        <v>Dépenses</v>
      </c>
    </row>
    <row r="61" spans="1:12" ht="11.25" customHeight="1" x14ac:dyDescent="0.2">
      <c r="A61" t="s">
        <v>69</v>
      </c>
      <c r="B61" s="4" t="s">
        <v>70</v>
      </c>
      <c r="C61" s="7" t="s">
        <v>97</v>
      </c>
      <c r="D61" s="2">
        <v>43467</v>
      </c>
      <c r="E61" s="2">
        <f t="shared" si="3"/>
        <v>43467</v>
      </c>
      <c r="F61" t="s">
        <v>98</v>
      </c>
      <c r="G61" t="s">
        <v>73</v>
      </c>
      <c r="H61" t="s">
        <v>74</v>
      </c>
      <c r="I61" t="s">
        <v>7</v>
      </c>
      <c r="J61" s="23">
        <v>-597</v>
      </c>
      <c r="K61" t="str">
        <f t="shared" si="1"/>
        <v>janvier</v>
      </c>
      <c r="L61" t="str">
        <f t="shared" si="2"/>
        <v>Dépenses</v>
      </c>
    </row>
    <row r="62" spans="1:12" ht="11.25" customHeight="1" x14ac:dyDescent="0.2">
      <c r="A62" t="s">
        <v>69</v>
      </c>
      <c r="B62" s="4" t="s">
        <v>70</v>
      </c>
      <c r="C62" s="7" t="s">
        <v>99</v>
      </c>
      <c r="D62" s="2">
        <v>43467</v>
      </c>
      <c r="E62" s="2">
        <f t="shared" si="3"/>
        <v>43467</v>
      </c>
      <c r="F62" t="s">
        <v>100</v>
      </c>
      <c r="G62" t="s">
        <v>73</v>
      </c>
      <c r="H62" t="s">
        <v>74</v>
      </c>
      <c r="I62" t="s">
        <v>7</v>
      </c>
      <c r="J62" s="23">
        <v>-120</v>
      </c>
      <c r="K62" t="str">
        <f t="shared" si="1"/>
        <v>janvier</v>
      </c>
      <c r="L62" t="str">
        <f t="shared" si="2"/>
        <v>Dépenses</v>
      </c>
    </row>
    <row r="63" spans="1:12" ht="11.25" customHeight="1" x14ac:dyDescent="0.2">
      <c r="A63" t="s">
        <v>69</v>
      </c>
      <c r="B63" s="4" t="s">
        <v>70</v>
      </c>
      <c r="C63" s="7" t="s">
        <v>101</v>
      </c>
      <c r="D63" s="2">
        <v>43467</v>
      </c>
      <c r="E63" s="2">
        <f t="shared" si="3"/>
        <v>43467</v>
      </c>
      <c r="F63" t="s">
        <v>102</v>
      </c>
      <c r="G63" t="s">
        <v>103</v>
      </c>
      <c r="H63" t="s">
        <v>94</v>
      </c>
      <c r="I63" t="s">
        <v>7</v>
      </c>
      <c r="J63" s="23">
        <v>-400</v>
      </c>
      <c r="K63" t="str">
        <f t="shared" si="1"/>
        <v>janvier</v>
      </c>
      <c r="L63" t="str">
        <f t="shared" si="2"/>
        <v>Dépenses</v>
      </c>
    </row>
    <row r="64" spans="1:12" ht="15" customHeight="1" x14ac:dyDescent="0.2">
      <c r="A64" t="s">
        <v>69</v>
      </c>
      <c r="B64" s="4" t="s">
        <v>70</v>
      </c>
      <c r="C64" s="5" t="s">
        <v>104</v>
      </c>
      <c r="D64" s="2">
        <v>43467</v>
      </c>
      <c r="E64" s="2">
        <v>43467</v>
      </c>
      <c r="F64" t="s">
        <v>105</v>
      </c>
      <c r="G64" t="s">
        <v>106</v>
      </c>
      <c r="H64" t="s">
        <v>107</v>
      </c>
      <c r="I64" t="s">
        <v>7</v>
      </c>
      <c r="J64" s="23">
        <v>-10.99</v>
      </c>
      <c r="K64" t="str">
        <f t="shared" si="1"/>
        <v>janvier</v>
      </c>
      <c r="L64" t="str">
        <f t="shared" si="2"/>
        <v>Dépenses</v>
      </c>
    </row>
    <row r="65" spans="1:12" x14ac:dyDescent="0.2">
      <c r="A65" t="s">
        <v>77</v>
      </c>
      <c r="B65" s="4" t="s">
        <v>113</v>
      </c>
      <c r="D65" s="2">
        <v>43467</v>
      </c>
      <c r="E65" s="2">
        <f t="shared" ref="E65:E112" si="4">IF(A65="","",IF(A65&lt;&gt;"Carte Lux",D65,VLOOKUP(D65,Periode_datedebit_2019,3)))</f>
        <v>43467</v>
      </c>
      <c r="F65" t="s">
        <v>114</v>
      </c>
      <c r="G65" t="s">
        <v>115</v>
      </c>
      <c r="H65" t="s">
        <v>114</v>
      </c>
      <c r="I65" t="s">
        <v>77</v>
      </c>
      <c r="J65" s="22">
        <v>-15.5</v>
      </c>
      <c r="K65" t="str">
        <f t="shared" si="1"/>
        <v>janvier</v>
      </c>
      <c r="L65" t="str">
        <f t="shared" si="2"/>
        <v>Dépenses</v>
      </c>
    </row>
    <row r="66" spans="1:12" x14ac:dyDescent="0.2">
      <c r="A66" t="s">
        <v>2</v>
      </c>
      <c r="B66" t="s">
        <v>8</v>
      </c>
      <c r="C66" t="s">
        <v>130</v>
      </c>
      <c r="D66" s="2">
        <v>43468</v>
      </c>
      <c r="E66" s="2">
        <f t="shared" si="4"/>
        <v>43507</v>
      </c>
      <c r="F66" t="s">
        <v>131</v>
      </c>
      <c r="G66" t="s">
        <v>132</v>
      </c>
      <c r="H66" t="s">
        <v>64</v>
      </c>
      <c r="I66" t="s">
        <v>7</v>
      </c>
      <c r="J66" s="22">
        <v>-53.69</v>
      </c>
      <c r="K66" t="str">
        <f t="shared" ref="K66:K129" si="5">IF(D66="","",TEXT(D66,"Mmmm"))</f>
        <v>janvier</v>
      </c>
      <c r="L66" t="str">
        <f t="shared" ref="L66:L129" si="6">IF(J66="","",IF(J66&lt;0,"Dépenses","Recettes"))</f>
        <v>Dépenses</v>
      </c>
    </row>
    <row r="67" spans="1:12" x14ac:dyDescent="0.2">
      <c r="A67" t="s">
        <v>2</v>
      </c>
      <c r="B67" t="s">
        <v>8</v>
      </c>
      <c r="C67" t="s">
        <v>130</v>
      </c>
      <c r="D67" s="2">
        <v>43468</v>
      </c>
      <c r="E67" s="2">
        <f t="shared" si="4"/>
        <v>43507</v>
      </c>
      <c r="F67" t="s">
        <v>12</v>
      </c>
      <c r="G67" t="s">
        <v>5</v>
      </c>
      <c r="H67" t="s">
        <v>64</v>
      </c>
      <c r="I67" t="s">
        <v>7</v>
      </c>
      <c r="J67" s="22">
        <v>-3.9</v>
      </c>
      <c r="K67" t="str">
        <f t="shared" si="5"/>
        <v>janvier</v>
      </c>
      <c r="L67" t="str">
        <f t="shared" si="6"/>
        <v>Dépenses</v>
      </c>
    </row>
    <row r="68" spans="1:12" x14ac:dyDescent="0.2">
      <c r="A68" t="s">
        <v>2</v>
      </c>
      <c r="B68" t="s">
        <v>3</v>
      </c>
      <c r="C68" t="s">
        <v>125</v>
      </c>
      <c r="D68" s="2">
        <v>43468</v>
      </c>
      <c r="E68" s="2">
        <f t="shared" si="4"/>
        <v>43507</v>
      </c>
      <c r="F68" t="s">
        <v>126</v>
      </c>
      <c r="G68" t="s">
        <v>127</v>
      </c>
      <c r="H68" t="s">
        <v>6</v>
      </c>
      <c r="I68" t="s">
        <v>7</v>
      </c>
      <c r="J68" s="22">
        <f>-6.99-3.99-2.14</f>
        <v>-13.120000000000001</v>
      </c>
      <c r="K68" t="str">
        <f t="shared" si="5"/>
        <v>janvier</v>
      </c>
      <c r="L68" t="str">
        <f t="shared" si="6"/>
        <v>Dépenses</v>
      </c>
    </row>
    <row r="69" spans="1:12" x14ac:dyDescent="0.2">
      <c r="A69" t="s">
        <v>2</v>
      </c>
      <c r="B69" t="s">
        <v>3</v>
      </c>
      <c r="C69" t="s">
        <v>125</v>
      </c>
      <c r="D69" s="2">
        <v>43468</v>
      </c>
      <c r="E69" s="2">
        <f t="shared" si="4"/>
        <v>43507</v>
      </c>
      <c r="F69" t="s">
        <v>48</v>
      </c>
      <c r="G69" t="s">
        <v>49</v>
      </c>
      <c r="H69" t="s">
        <v>6</v>
      </c>
      <c r="I69" t="s">
        <v>7</v>
      </c>
      <c r="J69" s="22">
        <v>-11.25</v>
      </c>
      <c r="K69" t="str">
        <f t="shared" si="5"/>
        <v>janvier</v>
      </c>
      <c r="L69" t="str">
        <f t="shared" si="6"/>
        <v>Dépenses</v>
      </c>
    </row>
    <row r="70" spans="1:12" x14ac:dyDescent="0.2">
      <c r="A70" t="s">
        <v>2</v>
      </c>
      <c r="B70" t="s">
        <v>3</v>
      </c>
      <c r="C70" t="s">
        <v>125</v>
      </c>
      <c r="D70" s="2">
        <v>43468</v>
      </c>
      <c r="E70" s="2">
        <f t="shared" si="4"/>
        <v>43507</v>
      </c>
      <c r="F70" t="s">
        <v>5</v>
      </c>
      <c r="G70" t="s">
        <v>5</v>
      </c>
      <c r="H70" t="s">
        <v>6</v>
      </c>
      <c r="I70" t="s">
        <v>7</v>
      </c>
      <c r="J70" s="22">
        <f>-46.34--13.12--11.25</f>
        <v>-21.970000000000006</v>
      </c>
      <c r="K70" t="str">
        <f t="shared" si="5"/>
        <v>janvier</v>
      </c>
      <c r="L70" t="str">
        <f t="shared" si="6"/>
        <v>Dépenses</v>
      </c>
    </row>
    <row r="71" spans="1:12" x14ac:dyDescent="0.2">
      <c r="A71" t="s">
        <v>2</v>
      </c>
      <c r="B71" t="s">
        <v>3</v>
      </c>
      <c r="C71" t="s">
        <v>128</v>
      </c>
      <c r="D71" s="2">
        <v>43468</v>
      </c>
      <c r="E71" s="2">
        <f t="shared" si="4"/>
        <v>43507</v>
      </c>
      <c r="F71" t="s">
        <v>129</v>
      </c>
      <c r="G71" t="s">
        <v>5</v>
      </c>
      <c r="H71" t="s">
        <v>37</v>
      </c>
      <c r="I71" t="s">
        <v>7</v>
      </c>
      <c r="J71" s="22">
        <f>-5.19-4.43*2-2.34*2-3.36</f>
        <v>-22.09</v>
      </c>
      <c r="K71" t="str">
        <f t="shared" si="5"/>
        <v>janvier</v>
      </c>
      <c r="L71" t="str">
        <f t="shared" si="6"/>
        <v>Dépenses</v>
      </c>
    </row>
    <row r="72" spans="1:12" x14ac:dyDescent="0.2">
      <c r="A72" t="s">
        <v>2</v>
      </c>
      <c r="B72" t="s">
        <v>3</v>
      </c>
      <c r="C72" t="s">
        <v>128</v>
      </c>
      <c r="D72" s="2">
        <v>43468</v>
      </c>
      <c r="E72" s="2">
        <f t="shared" si="4"/>
        <v>43507</v>
      </c>
      <c r="F72" t="s">
        <v>5</v>
      </c>
      <c r="G72" t="s">
        <v>5</v>
      </c>
      <c r="H72" t="s">
        <v>37</v>
      </c>
      <c r="I72" t="s">
        <v>7</v>
      </c>
      <c r="J72" s="22">
        <f>-0.99-0.79-0.85-0.39</f>
        <v>-3.02</v>
      </c>
      <c r="K72" t="str">
        <f t="shared" si="5"/>
        <v>janvier</v>
      </c>
      <c r="L72" t="str">
        <f t="shared" si="6"/>
        <v>Dépenses</v>
      </c>
    </row>
    <row r="73" spans="1:12" ht="11.25" customHeight="1" x14ac:dyDescent="0.2">
      <c r="A73" t="s">
        <v>94</v>
      </c>
      <c r="B73" t="s">
        <v>122</v>
      </c>
      <c r="C73">
        <v>8748507</v>
      </c>
      <c r="D73" s="2">
        <v>43468</v>
      </c>
      <c r="E73" s="2">
        <f t="shared" si="4"/>
        <v>43468</v>
      </c>
      <c r="F73" t="s">
        <v>123</v>
      </c>
      <c r="G73" t="s">
        <v>25</v>
      </c>
      <c r="H73" t="s">
        <v>124</v>
      </c>
      <c r="I73" t="s">
        <v>7</v>
      </c>
      <c r="J73" s="22">
        <v>-28.5</v>
      </c>
      <c r="K73" t="str">
        <f t="shared" si="5"/>
        <v>janvier</v>
      </c>
      <c r="L73" t="str">
        <f t="shared" si="6"/>
        <v>Dépenses</v>
      </c>
    </row>
    <row r="74" spans="1:12" x14ac:dyDescent="0.2">
      <c r="A74" t="s">
        <v>108</v>
      </c>
      <c r="B74" s="4" t="s">
        <v>70</v>
      </c>
      <c r="C74" s="5" t="s">
        <v>121</v>
      </c>
      <c r="D74" s="2">
        <v>43468</v>
      </c>
      <c r="E74" s="2">
        <f t="shared" si="4"/>
        <v>43468</v>
      </c>
      <c r="F74" t="s">
        <v>96</v>
      </c>
      <c r="G74" t="s">
        <v>86</v>
      </c>
      <c r="H74" t="s">
        <v>87</v>
      </c>
      <c r="I74" t="s">
        <v>7</v>
      </c>
      <c r="J74" s="22">
        <v>-6.72</v>
      </c>
      <c r="K74" t="str">
        <f t="shared" si="5"/>
        <v>janvier</v>
      </c>
      <c r="L74" t="str">
        <f t="shared" si="6"/>
        <v>Dépenses</v>
      </c>
    </row>
    <row r="75" spans="1:12" x14ac:dyDescent="0.2">
      <c r="A75" t="s">
        <v>77</v>
      </c>
      <c r="B75" s="4" t="s">
        <v>113</v>
      </c>
      <c r="D75" s="2">
        <v>43468</v>
      </c>
      <c r="E75" s="2">
        <f t="shared" si="4"/>
        <v>43468</v>
      </c>
      <c r="F75" t="s">
        <v>114</v>
      </c>
      <c r="G75" t="s">
        <v>115</v>
      </c>
      <c r="H75" t="s">
        <v>114</v>
      </c>
      <c r="I75" t="s">
        <v>77</v>
      </c>
      <c r="J75" s="22">
        <v>-48</v>
      </c>
      <c r="K75" t="str">
        <f t="shared" si="5"/>
        <v>janvier</v>
      </c>
      <c r="L75" t="str">
        <f t="shared" si="6"/>
        <v>Dépenses</v>
      </c>
    </row>
    <row r="76" spans="1:12" ht="15" customHeight="1" x14ac:dyDescent="0.2">
      <c r="A76" t="s">
        <v>69</v>
      </c>
      <c r="B76" t="s">
        <v>84</v>
      </c>
      <c r="D76" s="2">
        <v>43468</v>
      </c>
      <c r="E76" s="2">
        <f t="shared" si="4"/>
        <v>43468</v>
      </c>
      <c r="F76" t="s">
        <v>133</v>
      </c>
      <c r="G76" t="s">
        <v>134</v>
      </c>
      <c r="H76" t="s">
        <v>11</v>
      </c>
      <c r="I76" t="s">
        <v>7</v>
      </c>
      <c r="J76" s="22">
        <v>0.8</v>
      </c>
      <c r="K76" t="str">
        <f t="shared" si="5"/>
        <v>janvier</v>
      </c>
      <c r="L76" t="str">
        <f t="shared" si="6"/>
        <v>Recettes</v>
      </c>
    </row>
    <row r="77" spans="1:12" ht="15" customHeight="1" x14ac:dyDescent="0.2">
      <c r="A77" t="s">
        <v>2</v>
      </c>
      <c r="B77" t="s">
        <v>8</v>
      </c>
      <c r="D77" s="2">
        <v>43469</v>
      </c>
      <c r="E77" s="2">
        <f t="shared" si="4"/>
        <v>43507</v>
      </c>
      <c r="F77" t="s">
        <v>136</v>
      </c>
      <c r="G77" t="s">
        <v>5</v>
      </c>
      <c r="H77" t="s">
        <v>22</v>
      </c>
      <c r="I77" t="s">
        <v>7</v>
      </c>
      <c r="J77" s="22">
        <v>-4.3</v>
      </c>
      <c r="K77" t="str">
        <f t="shared" si="5"/>
        <v>janvier</v>
      </c>
      <c r="L77" t="str">
        <f t="shared" si="6"/>
        <v>Dépenses</v>
      </c>
    </row>
    <row r="78" spans="1:12" ht="15" customHeight="1" x14ac:dyDescent="0.2">
      <c r="A78" t="s">
        <v>2</v>
      </c>
      <c r="B78" t="s">
        <v>8</v>
      </c>
      <c r="D78" s="2">
        <v>43469</v>
      </c>
      <c r="E78" s="2">
        <f t="shared" si="4"/>
        <v>43507</v>
      </c>
      <c r="F78" t="s">
        <v>5</v>
      </c>
      <c r="G78" t="s">
        <v>5</v>
      </c>
      <c r="H78" t="s">
        <v>6</v>
      </c>
      <c r="I78" t="s">
        <v>7</v>
      </c>
      <c r="J78" s="22">
        <v>-39.68</v>
      </c>
      <c r="K78" t="str">
        <f t="shared" si="5"/>
        <v>janvier</v>
      </c>
      <c r="L78" t="str">
        <f t="shared" si="6"/>
        <v>Dépenses</v>
      </c>
    </row>
    <row r="79" spans="1:12" ht="15" customHeight="1" x14ac:dyDescent="0.2">
      <c r="A79" t="s">
        <v>108</v>
      </c>
      <c r="B79" t="s">
        <v>109</v>
      </c>
      <c r="D79" s="2">
        <v>43469</v>
      </c>
      <c r="E79" s="2">
        <f t="shared" si="4"/>
        <v>43469</v>
      </c>
      <c r="F79" t="s">
        <v>140</v>
      </c>
      <c r="G79" t="s">
        <v>16</v>
      </c>
      <c r="H79" t="s">
        <v>141</v>
      </c>
      <c r="I79" t="s">
        <v>7</v>
      </c>
      <c r="J79" s="22">
        <f>-7.89-6.99</f>
        <v>-14.879999999999999</v>
      </c>
      <c r="K79" t="str">
        <f t="shared" si="5"/>
        <v>janvier</v>
      </c>
      <c r="L79" t="str">
        <f t="shared" si="6"/>
        <v>Dépenses</v>
      </c>
    </row>
    <row r="80" spans="1:12" ht="11.25" customHeight="1" x14ac:dyDescent="0.2">
      <c r="A80" t="s">
        <v>77</v>
      </c>
      <c r="B80" t="s">
        <v>77</v>
      </c>
      <c r="D80" s="2">
        <v>43469</v>
      </c>
      <c r="E80" s="2">
        <f t="shared" si="4"/>
        <v>43469</v>
      </c>
      <c r="F80" t="s">
        <v>115</v>
      </c>
      <c r="G80" t="s">
        <v>115</v>
      </c>
      <c r="H80" t="s">
        <v>14</v>
      </c>
      <c r="I80" t="s">
        <v>77</v>
      </c>
      <c r="J80" s="22">
        <v>-4.2</v>
      </c>
      <c r="K80" t="str">
        <f t="shared" si="5"/>
        <v>janvier</v>
      </c>
      <c r="L80" t="str">
        <f t="shared" si="6"/>
        <v>Dépenses</v>
      </c>
    </row>
    <row r="81" spans="1:12" ht="11.25" customHeight="1" x14ac:dyDescent="0.2">
      <c r="A81" t="s">
        <v>94</v>
      </c>
      <c r="B81" s="4" t="s">
        <v>70</v>
      </c>
      <c r="C81" s="7" t="s">
        <v>101</v>
      </c>
      <c r="D81" s="2">
        <v>43469</v>
      </c>
      <c r="E81" s="2">
        <f t="shared" si="4"/>
        <v>43469</v>
      </c>
      <c r="F81" t="s">
        <v>135</v>
      </c>
      <c r="G81" t="s">
        <v>103</v>
      </c>
      <c r="H81" t="s">
        <v>69</v>
      </c>
      <c r="I81" t="s">
        <v>7</v>
      </c>
      <c r="J81" s="23">
        <v>400</v>
      </c>
      <c r="K81" t="str">
        <f t="shared" si="5"/>
        <v>janvier</v>
      </c>
      <c r="L81" t="str">
        <f t="shared" si="6"/>
        <v>Recettes</v>
      </c>
    </row>
    <row r="82" spans="1:12" ht="15" customHeight="1" x14ac:dyDescent="0.2">
      <c r="A82" t="s">
        <v>69</v>
      </c>
      <c r="B82" t="s">
        <v>137</v>
      </c>
      <c r="D82" s="2">
        <v>43469</v>
      </c>
      <c r="E82" s="2">
        <f t="shared" si="4"/>
        <v>43469</v>
      </c>
      <c r="F82" t="s">
        <v>138</v>
      </c>
      <c r="G82" t="s">
        <v>25</v>
      </c>
      <c r="H82" t="s">
        <v>139</v>
      </c>
      <c r="I82" t="s">
        <v>7</v>
      </c>
      <c r="J82" s="22">
        <v>-25.2</v>
      </c>
      <c r="K82" t="str">
        <f t="shared" si="5"/>
        <v>janvier</v>
      </c>
      <c r="L82" t="str">
        <f t="shared" si="6"/>
        <v>Dépenses</v>
      </c>
    </row>
    <row r="83" spans="1:12" ht="11.25" customHeight="1" x14ac:dyDescent="0.2">
      <c r="A83" t="s">
        <v>2</v>
      </c>
      <c r="B83" t="s">
        <v>8</v>
      </c>
      <c r="D83" s="2">
        <v>43470</v>
      </c>
      <c r="E83" s="2">
        <f t="shared" si="4"/>
        <v>43507</v>
      </c>
      <c r="F83" t="s">
        <v>151</v>
      </c>
      <c r="G83" t="s">
        <v>5</v>
      </c>
      <c r="H83" t="s">
        <v>152</v>
      </c>
      <c r="I83" t="s">
        <v>7</v>
      </c>
      <c r="J83" s="22">
        <v>-19.2</v>
      </c>
      <c r="K83" t="str">
        <f t="shared" si="5"/>
        <v>janvier</v>
      </c>
      <c r="L83" t="str">
        <f t="shared" si="6"/>
        <v>Dépenses</v>
      </c>
    </row>
    <row r="84" spans="1:12" ht="15" customHeight="1" x14ac:dyDescent="0.2">
      <c r="A84" t="s">
        <v>2</v>
      </c>
      <c r="B84" t="s">
        <v>8</v>
      </c>
      <c r="D84" s="2">
        <v>43470</v>
      </c>
      <c r="E84" s="2">
        <f t="shared" si="4"/>
        <v>43507</v>
      </c>
      <c r="F84" t="s">
        <v>5</v>
      </c>
      <c r="G84" t="s">
        <v>5</v>
      </c>
      <c r="H84" t="s">
        <v>23</v>
      </c>
      <c r="I84" t="s">
        <v>7</v>
      </c>
      <c r="J84" s="22">
        <v>-18.399999999999999</v>
      </c>
      <c r="K84" t="str">
        <f t="shared" si="5"/>
        <v>janvier</v>
      </c>
      <c r="L84" t="str">
        <f t="shared" si="6"/>
        <v>Dépenses</v>
      </c>
    </row>
    <row r="85" spans="1:12" ht="15" customHeight="1" x14ac:dyDescent="0.2">
      <c r="A85" t="s">
        <v>2</v>
      </c>
      <c r="B85" t="s">
        <v>8</v>
      </c>
      <c r="C85" s="1" t="s">
        <v>153</v>
      </c>
      <c r="D85" s="2">
        <v>43470</v>
      </c>
      <c r="E85" s="2">
        <f t="shared" si="4"/>
        <v>43507</v>
      </c>
      <c r="F85" t="s">
        <v>154</v>
      </c>
      <c r="G85" t="s">
        <v>79</v>
      </c>
      <c r="H85" t="s">
        <v>155</v>
      </c>
      <c r="I85" t="s">
        <v>7</v>
      </c>
      <c r="J85" s="22">
        <v>-52</v>
      </c>
      <c r="K85" t="str">
        <f t="shared" si="5"/>
        <v>janvier</v>
      </c>
      <c r="L85" t="str">
        <f t="shared" si="6"/>
        <v>Dépenses</v>
      </c>
    </row>
    <row r="86" spans="1:12" ht="11.25" customHeight="1" x14ac:dyDescent="0.2">
      <c r="A86" t="s">
        <v>2</v>
      </c>
      <c r="B86" t="s">
        <v>3</v>
      </c>
      <c r="D86" s="2">
        <v>43470</v>
      </c>
      <c r="E86" s="2">
        <f t="shared" si="4"/>
        <v>43507</v>
      </c>
      <c r="F86" t="s">
        <v>5</v>
      </c>
      <c r="G86" t="s">
        <v>5</v>
      </c>
      <c r="H86" t="s">
        <v>6</v>
      </c>
      <c r="I86" t="s">
        <v>7</v>
      </c>
      <c r="J86" s="22">
        <v>-30.47</v>
      </c>
      <c r="K86" t="str">
        <f t="shared" si="5"/>
        <v>janvier</v>
      </c>
      <c r="L86" t="str">
        <f t="shared" si="6"/>
        <v>Dépenses</v>
      </c>
    </row>
    <row r="87" spans="1:12" x14ac:dyDescent="0.2">
      <c r="A87" t="s">
        <v>108</v>
      </c>
      <c r="B87" t="s">
        <v>109</v>
      </c>
      <c r="D87" s="2">
        <v>43470</v>
      </c>
      <c r="E87" s="2">
        <f t="shared" si="4"/>
        <v>43470</v>
      </c>
      <c r="F87" t="s">
        <v>150</v>
      </c>
      <c r="G87" t="s">
        <v>111</v>
      </c>
      <c r="H87" t="s">
        <v>112</v>
      </c>
      <c r="I87" t="s">
        <v>7</v>
      </c>
      <c r="J87" s="22">
        <v>-4.9000000000000004</v>
      </c>
      <c r="K87" t="str">
        <f t="shared" si="5"/>
        <v>janvier</v>
      </c>
      <c r="L87" t="str">
        <f t="shared" si="6"/>
        <v>Dépenses</v>
      </c>
    </row>
    <row r="88" spans="1:12" x14ac:dyDescent="0.2">
      <c r="A88" t="s">
        <v>77</v>
      </c>
      <c r="B88" s="4" t="s">
        <v>77</v>
      </c>
      <c r="D88" s="2">
        <v>43470</v>
      </c>
      <c r="E88" s="2">
        <f t="shared" si="4"/>
        <v>43470</v>
      </c>
      <c r="F88" t="s">
        <v>149</v>
      </c>
      <c r="G88" t="s">
        <v>5</v>
      </c>
      <c r="H88" t="s">
        <v>33</v>
      </c>
      <c r="I88" t="s">
        <v>77</v>
      </c>
      <c r="J88" s="22">
        <v>-4.2</v>
      </c>
      <c r="K88" t="str">
        <f t="shared" si="5"/>
        <v>janvier</v>
      </c>
      <c r="L88" t="str">
        <f t="shared" si="6"/>
        <v>Dépenses</v>
      </c>
    </row>
    <row r="89" spans="1:12" ht="11.25" customHeight="1" x14ac:dyDescent="0.2">
      <c r="A89" t="s">
        <v>94</v>
      </c>
      <c r="B89" s="4" t="s">
        <v>70</v>
      </c>
      <c r="C89" s="7" t="s">
        <v>142</v>
      </c>
      <c r="D89" s="2">
        <v>43470</v>
      </c>
      <c r="E89" s="2">
        <f t="shared" si="4"/>
        <v>43470</v>
      </c>
      <c r="F89" t="s">
        <v>143</v>
      </c>
      <c r="G89" t="s">
        <v>144</v>
      </c>
      <c r="H89" t="s">
        <v>145</v>
      </c>
      <c r="I89" t="s">
        <v>7</v>
      </c>
      <c r="J89" s="23">
        <v>131.16</v>
      </c>
      <c r="K89" t="str">
        <f t="shared" si="5"/>
        <v>janvier</v>
      </c>
      <c r="L89" t="str">
        <f t="shared" si="6"/>
        <v>Recettes</v>
      </c>
    </row>
    <row r="90" spans="1:12" ht="11.25" customHeight="1" x14ac:dyDescent="0.2">
      <c r="A90" t="s">
        <v>69</v>
      </c>
      <c r="B90" s="4" t="s">
        <v>70</v>
      </c>
      <c r="C90" s="7" t="s">
        <v>146</v>
      </c>
      <c r="D90" s="2">
        <v>43470</v>
      </c>
      <c r="E90" s="2">
        <f t="shared" si="4"/>
        <v>43470</v>
      </c>
      <c r="F90" t="s">
        <v>147</v>
      </c>
      <c r="G90" t="s">
        <v>115</v>
      </c>
      <c r="H90" t="s">
        <v>148</v>
      </c>
      <c r="I90" t="s">
        <v>7</v>
      </c>
      <c r="J90" s="23">
        <v>-26.26</v>
      </c>
      <c r="K90" t="str">
        <f t="shared" si="5"/>
        <v>janvier</v>
      </c>
      <c r="L90" t="str">
        <f t="shared" si="6"/>
        <v>Dépenses</v>
      </c>
    </row>
    <row r="91" spans="1:12" ht="11.25" customHeight="1" x14ac:dyDescent="0.2">
      <c r="A91" t="s">
        <v>94</v>
      </c>
      <c r="B91" s="4" t="s">
        <v>70</v>
      </c>
      <c r="C91" s="7" t="s">
        <v>156</v>
      </c>
      <c r="D91" s="2">
        <v>43471</v>
      </c>
      <c r="E91" s="2">
        <f t="shared" si="4"/>
        <v>43471</v>
      </c>
      <c r="F91" t="s">
        <v>157</v>
      </c>
      <c r="G91" t="s">
        <v>158</v>
      </c>
      <c r="H91" t="s">
        <v>87</v>
      </c>
      <c r="I91" t="s">
        <v>7</v>
      </c>
      <c r="J91" s="23">
        <v>-7.43</v>
      </c>
      <c r="K91" t="str">
        <f t="shared" si="5"/>
        <v>janvier</v>
      </c>
      <c r="L91" t="str">
        <f t="shared" si="6"/>
        <v>Dépenses</v>
      </c>
    </row>
    <row r="92" spans="1:12" x14ac:dyDescent="0.2">
      <c r="A92" t="s">
        <v>2</v>
      </c>
      <c r="B92" t="s">
        <v>8</v>
      </c>
      <c r="D92" s="2">
        <v>43472</v>
      </c>
      <c r="E92" s="2">
        <f t="shared" si="4"/>
        <v>43507</v>
      </c>
      <c r="F92" t="s">
        <v>179</v>
      </c>
      <c r="G92" t="s">
        <v>5</v>
      </c>
      <c r="H92" t="s">
        <v>22</v>
      </c>
      <c r="I92" t="s">
        <v>7</v>
      </c>
      <c r="J92" s="22">
        <v>-4.5</v>
      </c>
      <c r="K92" t="str">
        <f t="shared" si="5"/>
        <v>janvier</v>
      </c>
      <c r="L92" t="str">
        <f t="shared" si="6"/>
        <v>Dépenses</v>
      </c>
    </row>
    <row r="93" spans="1:12" ht="15" customHeight="1" x14ac:dyDescent="0.2">
      <c r="A93" t="s">
        <v>2</v>
      </c>
      <c r="B93" t="s">
        <v>8</v>
      </c>
      <c r="D93" s="2">
        <v>43472</v>
      </c>
      <c r="E93" s="2">
        <f t="shared" si="4"/>
        <v>43507</v>
      </c>
      <c r="F93" t="s">
        <v>13</v>
      </c>
      <c r="G93" t="s">
        <v>115</v>
      </c>
      <c r="H93" t="s">
        <v>14</v>
      </c>
      <c r="I93" t="s">
        <v>7</v>
      </c>
      <c r="J93" s="22">
        <v>-14.01</v>
      </c>
      <c r="K93" t="str">
        <f t="shared" si="5"/>
        <v>janvier</v>
      </c>
      <c r="L93" t="str">
        <f t="shared" si="6"/>
        <v>Dépenses</v>
      </c>
    </row>
    <row r="94" spans="1:12" x14ac:dyDescent="0.2">
      <c r="A94" t="s">
        <v>2</v>
      </c>
      <c r="B94" t="s">
        <v>3</v>
      </c>
      <c r="C94" t="s">
        <v>181</v>
      </c>
      <c r="D94" s="2">
        <v>43472</v>
      </c>
      <c r="E94" s="2">
        <f t="shared" si="4"/>
        <v>43507</v>
      </c>
      <c r="F94" t="s">
        <v>182</v>
      </c>
      <c r="G94" t="s">
        <v>49</v>
      </c>
      <c r="H94" t="s">
        <v>23</v>
      </c>
      <c r="I94" t="s">
        <v>7</v>
      </c>
      <c r="J94" s="22">
        <v>-2.38</v>
      </c>
      <c r="K94" t="str">
        <f t="shared" si="5"/>
        <v>janvier</v>
      </c>
      <c r="L94" t="str">
        <f t="shared" si="6"/>
        <v>Dépenses</v>
      </c>
    </row>
    <row r="95" spans="1:12" x14ac:dyDescent="0.2">
      <c r="A95" t="s">
        <v>2</v>
      </c>
      <c r="B95" t="s">
        <v>3</v>
      </c>
      <c r="C95" t="s">
        <v>181</v>
      </c>
      <c r="D95" s="2">
        <v>43472</v>
      </c>
      <c r="E95" s="2">
        <f t="shared" si="4"/>
        <v>43507</v>
      </c>
      <c r="F95" t="s">
        <v>5</v>
      </c>
      <c r="G95" t="s">
        <v>5</v>
      </c>
      <c r="H95" t="s">
        <v>23</v>
      </c>
      <c r="I95" t="s">
        <v>7</v>
      </c>
      <c r="J95" s="22">
        <f>-34.59--2.38</f>
        <v>-32.21</v>
      </c>
      <c r="K95" t="str">
        <f t="shared" si="5"/>
        <v>janvier</v>
      </c>
      <c r="L95" t="str">
        <f t="shared" si="6"/>
        <v>Dépenses</v>
      </c>
    </row>
    <row r="96" spans="1:12" x14ac:dyDescent="0.2">
      <c r="A96" t="s">
        <v>108</v>
      </c>
      <c r="B96" t="s">
        <v>109</v>
      </c>
      <c r="D96" s="2">
        <v>43472</v>
      </c>
      <c r="E96" s="2">
        <f t="shared" si="4"/>
        <v>43472</v>
      </c>
      <c r="F96" t="s">
        <v>159</v>
      </c>
      <c r="G96" t="s">
        <v>16</v>
      </c>
      <c r="H96" t="s">
        <v>141</v>
      </c>
      <c r="I96" t="s">
        <v>7</v>
      </c>
      <c r="J96" s="22">
        <v>-6.99</v>
      </c>
      <c r="K96" t="str">
        <f t="shared" si="5"/>
        <v>janvier</v>
      </c>
      <c r="L96" t="str">
        <f t="shared" si="6"/>
        <v>Dépenses</v>
      </c>
    </row>
    <row r="97" spans="1:12" x14ac:dyDescent="0.2">
      <c r="A97" t="s">
        <v>108</v>
      </c>
      <c r="B97" t="s">
        <v>109</v>
      </c>
      <c r="D97" s="2">
        <v>43472</v>
      </c>
      <c r="E97" s="2">
        <f t="shared" si="4"/>
        <v>43472</v>
      </c>
      <c r="F97" t="s">
        <v>159</v>
      </c>
      <c r="G97" t="s">
        <v>16</v>
      </c>
      <c r="H97" t="s">
        <v>141</v>
      </c>
      <c r="I97" t="s">
        <v>7</v>
      </c>
      <c r="J97" s="22">
        <v>-10.99</v>
      </c>
      <c r="K97" t="str">
        <f t="shared" si="5"/>
        <v>janvier</v>
      </c>
      <c r="L97" t="str">
        <f t="shared" si="6"/>
        <v>Dépenses</v>
      </c>
    </row>
    <row r="98" spans="1:12" x14ac:dyDescent="0.2">
      <c r="A98" t="s">
        <v>108</v>
      </c>
      <c r="B98" t="s">
        <v>109</v>
      </c>
      <c r="D98" s="2">
        <v>43472</v>
      </c>
      <c r="E98" s="2">
        <f t="shared" si="4"/>
        <v>43472</v>
      </c>
      <c r="F98" t="s">
        <v>177</v>
      </c>
      <c r="G98" t="s">
        <v>111</v>
      </c>
      <c r="H98" t="s">
        <v>178</v>
      </c>
      <c r="I98" t="s">
        <v>7</v>
      </c>
      <c r="J98" s="22">
        <v>-6.85</v>
      </c>
      <c r="K98" t="str">
        <f t="shared" si="5"/>
        <v>janvier</v>
      </c>
      <c r="L98" t="str">
        <f t="shared" si="6"/>
        <v>Dépenses</v>
      </c>
    </row>
    <row r="99" spans="1:12" ht="11.25" customHeight="1" x14ac:dyDescent="0.2">
      <c r="A99" t="s">
        <v>94</v>
      </c>
      <c r="B99" s="4" t="s">
        <v>70</v>
      </c>
      <c r="C99" s="7" t="s">
        <v>160</v>
      </c>
      <c r="D99" s="2">
        <v>43472</v>
      </c>
      <c r="E99" s="2">
        <f t="shared" si="4"/>
        <v>43472</v>
      </c>
      <c r="F99" t="s">
        <v>161</v>
      </c>
      <c r="G99" t="s">
        <v>162</v>
      </c>
      <c r="H99" t="s">
        <v>163</v>
      </c>
      <c r="I99" t="s">
        <v>7</v>
      </c>
      <c r="J99" s="23">
        <v>-63.37</v>
      </c>
      <c r="K99" t="str">
        <f t="shared" si="5"/>
        <v>janvier</v>
      </c>
      <c r="L99" t="str">
        <f t="shared" si="6"/>
        <v>Dépenses</v>
      </c>
    </row>
    <row r="100" spans="1:12" ht="11.25" customHeight="1" x14ac:dyDescent="0.2">
      <c r="A100" t="s">
        <v>94</v>
      </c>
      <c r="B100" s="4" t="s">
        <v>70</v>
      </c>
      <c r="C100" s="7" t="s">
        <v>164</v>
      </c>
      <c r="D100" s="2">
        <v>43472</v>
      </c>
      <c r="E100" s="2">
        <f t="shared" si="4"/>
        <v>43472</v>
      </c>
      <c r="F100" t="s">
        <v>165</v>
      </c>
      <c r="G100" t="s">
        <v>158</v>
      </c>
      <c r="H100" t="s">
        <v>166</v>
      </c>
      <c r="I100" t="s">
        <v>7</v>
      </c>
      <c r="J100" s="23">
        <v>-27.35</v>
      </c>
      <c r="K100" t="str">
        <f t="shared" si="5"/>
        <v>janvier</v>
      </c>
      <c r="L100" t="str">
        <f t="shared" si="6"/>
        <v>Dépenses</v>
      </c>
    </row>
    <row r="101" spans="1:12" ht="11.25" customHeight="1" x14ac:dyDescent="0.2">
      <c r="A101" t="s">
        <v>94</v>
      </c>
      <c r="B101" s="4" t="s">
        <v>70</v>
      </c>
      <c r="C101" s="7" t="s">
        <v>167</v>
      </c>
      <c r="D101" s="2">
        <v>43472</v>
      </c>
      <c r="E101" s="2">
        <f t="shared" si="4"/>
        <v>43472</v>
      </c>
      <c r="F101" t="s">
        <v>165</v>
      </c>
      <c r="G101" t="s">
        <v>158</v>
      </c>
      <c r="H101" t="s">
        <v>166</v>
      </c>
      <c r="I101" t="s">
        <v>7</v>
      </c>
      <c r="J101" s="23">
        <v>-25.2</v>
      </c>
      <c r="K101" t="str">
        <f t="shared" si="5"/>
        <v>janvier</v>
      </c>
      <c r="L101" t="str">
        <f t="shared" si="6"/>
        <v>Dépenses</v>
      </c>
    </row>
    <row r="102" spans="1:12" ht="11.25" customHeight="1" x14ac:dyDescent="0.2">
      <c r="A102" t="s">
        <v>94</v>
      </c>
      <c r="B102" s="4" t="s">
        <v>70</v>
      </c>
      <c r="C102" s="7" t="s">
        <v>168</v>
      </c>
      <c r="D102" s="2">
        <v>43472</v>
      </c>
      <c r="E102" s="2">
        <f t="shared" si="4"/>
        <v>43472</v>
      </c>
      <c r="F102" t="s">
        <v>169</v>
      </c>
      <c r="G102" t="s">
        <v>158</v>
      </c>
      <c r="H102" t="s">
        <v>166</v>
      </c>
      <c r="I102" t="s">
        <v>7</v>
      </c>
      <c r="J102" s="23">
        <v>-34.33</v>
      </c>
      <c r="K102" t="str">
        <f t="shared" si="5"/>
        <v>janvier</v>
      </c>
      <c r="L102" t="str">
        <f t="shared" si="6"/>
        <v>Dépenses</v>
      </c>
    </row>
    <row r="103" spans="1:12" ht="11.25" customHeight="1" x14ac:dyDescent="0.2">
      <c r="A103" t="s">
        <v>108</v>
      </c>
      <c r="B103" s="4" t="s">
        <v>70</v>
      </c>
      <c r="C103" s="7" t="s">
        <v>170</v>
      </c>
      <c r="D103" s="2">
        <v>43472</v>
      </c>
      <c r="E103" s="2">
        <f t="shared" si="4"/>
        <v>43472</v>
      </c>
      <c r="F103" t="s">
        <v>171</v>
      </c>
      <c r="G103" t="s">
        <v>172</v>
      </c>
      <c r="H103" t="s">
        <v>173</v>
      </c>
      <c r="I103" t="s">
        <v>7</v>
      </c>
      <c r="J103" s="23">
        <v>-19.989999999999998</v>
      </c>
      <c r="K103" t="str">
        <f t="shared" si="5"/>
        <v>janvier</v>
      </c>
      <c r="L103" t="str">
        <f t="shared" si="6"/>
        <v>Dépenses</v>
      </c>
    </row>
    <row r="104" spans="1:12" ht="11.25" customHeight="1" x14ac:dyDescent="0.2">
      <c r="A104" t="s">
        <v>94</v>
      </c>
      <c r="B104" s="4" t="s">
        <v>70</v>
      </c>
      <c r="C104" s="7" t="s">
        <v>174</v>
      </c>
      <c r="D104" s="2">
        <v>43472</v>
      </c>
      <c r="E104" s="2">
        <f t="shared" si="4"/>
        <v>43472</v>
      </c>
      <c r="F104" t="s">
        <v>175</v>
      </c>
      <c r="G104" t="s">
        <v>172</v>
      </c>
      <c r="H104" t="s">
        <v>176</v>
      </c>
      <c r="I104" t="s">
        <v>7</v>
      </c>
      <c r="J104" s="23">
        <f>-19.99-2-19.25</f>
        <v>-41.239999999999995</v>
      </c>
      <c r="K104" t="str">
        <f t="shared" si="5"/>
        <v>janvier</v>
      </c>
      <c r="L104" t="str">
        <f t="shared" si="6"/>
        <v>Dépenses</v>
      </c>
    </row>
    <row r="105" spans="1:12" ht="11.25" customHeight="1" x14ac:dyDescent="0.2">
      <c r="A105" t="s">
        <v>108</v>
      </c>
      <c r="B105" s="4" t="s">
        <v>70</v>
      </c>
      <c r="C105" s="7" t="s">
        <v>183</v>
      </c>
      <c r="D105" s="2">
        <v>43472</v>
      </c>
      <c r="E105" s="2">
        <f t="shared" si="4"/>
        <v>43472</v>
      </c>
      <c r="F105" t="s">
        <v>184</v>
      </c>
      <c r="G105" t="s">
        <v>106</v>
      </c>
      <c r="H105" t="s">
        <v>185</v>
      </c>
      <c r="I105" t="s">
        <v>7</v>
      </c>
      <c r="J105" s="23">
        <v>-0.99</v>
      </c>
      <c r="K105" t="str">
        <f t="shared" si="5"/>
        <v>janvier</v>
      </c>
      <c r="L105" t="str">
        <f t="shared" si="6"/>
        <v>Dépenses</v>
      </c>
    </row>
    <row r="106" spans="1:12" x14ac:dyDescent="0.2">
      <c r="A106" t="s">
        <v>69</v>
      </c>
      <c r="B106" t="s">
        <v>84</v>
      </c>
      <c r="D106" s="2">
        <v>43472</v>
      </c>
      <c r="E106" s="2">
        <f t="shared" si="4"/>
        <v>43472</v>
      </c>
      <c r="F106" t="s">
        <v>180</v>
      </c>
      <c r="G106" t="s">
        <v>103</v>
      </c>
      <c r="H106" t="s">
        <v>94</v>
      </c>
      <c r="I106" t="s">
        <v>7</v>
      </c>
      <c r="J106" s="22">
        <v>-2000</v>
      </c>
      <c r="K106" t="str">
        <f t="shared" si="5"/>
        <v>janvier</v>
      </c>
      <c r="L106" t="str">
        <f t="shared" si="6"/>
        <v>Dépenses</v>
      </c>
    </row>
    <row r="107" spans="1:12" x14ac:dyDescent="0.2">
      <c r="A107" t="s">
        <v>94</v>
      </c>
      <c r="B107" t="s">
        <v>84</v>
      </c>
      <c r="D107" s="2">
        <v>43472</v>
      </c>
      <c r="E107" s="2">
        <f t="shared" si="4"/>
        <v>43472</v>
      </c>
      <c r="F107" t="s">
        <v>180</v>
      </c>
      <c r="G107" t="s">
        <v>103</v>
      </c>
      <c r="H107" t="s">
        <v>69</v>
      </c>
      <c r="I107" t="s">
        <v>7</v>
      </c>
      <c r="J107" s="22">
        <v>2000</v>
      </c>
      <c r="K107" t="str">
        <f t="shared" si="5"/>
        <v>janvier</v>
      </c>
      <c r="L107" t="str">
        <f t="shared" si="6"/>
        <v>Recettes</v>
      </c>
    </row>
    <row r="108" spans="1:12" x14ac:dyDescent="0.2">
      <c r="A108" t="s">
        <v>2</v>
      </c>
      <c r="B108" t="s">
        <v>3</v>
      </c>
      <c r="D108" s="2">
        <v>43473</v>
      </c>
      <c r="E108" s="2">
        <f t="shared" si="4"/>
        <v>43507</v>
      </c>
      <c r="F108" t="s">
        <v>5</v>
      </c>
      <c r="G108" t="s">
        <v>5</v>
      </c>
      <c r="H108" t="s">
        <v>23</v>
      </c>
      <c r="I108" t="s">
        <v>7</v>
      </c>
      <c r="J108" s="22">
        <v>-35.61</v>
      </c>
      <c r="K108" t="str">
        <f t="shared" si="5"/>
        <v>janvier</v>
      </c>
      <c r="L108" t="str">
        <f t="shared" si="6"/>
        <v>Dépenses</v>
      </c>
    </row>
    <row r="109" spans="1:12" x14ac:dyDescent="0.2">
      <c r="A109" t="s">
        <v>108</v>
      </c>
      <c r="B109" t="s">
        <v>109</v>
      </c>
      <c r="D109" s="2">
        <v>43473</v>
      </c>
      <c r="E109" s="2">
        <f t="shared" si="4"/>
        <v>43473</v>
      </c>
      <c r="F109" t="s">
        <v>192</v>
      </c>
      <c r="G109" t="s">
        <v>16</v>
      </c>
      <c r="H109" t="s">
        <v>141</v>
      </c>
      <c r="I109" t="s">
        <v>7</v>
      </c>
      <c r="J109" s="22">
        <v>-11.94</v>
      </c>
      <c r="K109" t="str">
        <f t="shared" si="5"/>
        <v>janvier</v>
      </c>
      <c r="L109" t="str">
        <f t="shared" si="6"/>
        <v>Dépenses</v>
      </c>
    </row>
    <row r="110" spans="1:12" x14ac:dyDescent="0.2">
      <c r="A110" t="s">
        <v>94</v>
      </c>
      <c r="B110" t="s">
        <v>122</v>
      </c>
      <c r="C110">
        <v>8748499</v>
      </c>
      <c r="D110" s="2">
        <v>43473</v>
      </c>
      <c r="E110" s="2">
        <f t="shared" si="4"/>
        <v>43473</v>
      </c>
      <c r="F110" t="s">
        <v>190</v>
      </c>
      <c r="G110" t="s">
        <v>16</v>
      </c>
      <c r="H110" t="s">
        <v>191</v>
      </c>
      <c r="I110" t="s">
        <v>7</v>
      </c>
      <c r="J110" s="22">
        <v>-100</v>
      </c>
      <c r="K110" t="str">
        <f t="shared" si="5"/>
        <v>janvier</v>
      </c>
      <c r="L110" t="str">
        <f t="shared" si="6"/>
        <v>Dépenses</v>
      </c>
    </row>
    <row r="111" spans="1:12" ht="11.25" customHeight="1" x14ac:dyDescent="0.2">
      <c r="A111" t="s">
        <v>94</v>
      </c>
      <c r="B111" s="4" t="s">
        <v>70</v>
      </c>
      <c r="C111" s="7" t="s">
        <v>186</v>
      </c>
      <c r="D111" s="2">
        <v>43473</v>
      </c>
      <c r="E111" s="2">
        <f t="shared" si="4"/>
        <v>43473</v>
      </c>
      <c r="F111" t="s">
        <v>187</v>
      </c>
      <c r="G111" t="s">
        <v>158</v>
      </c>
      <c r="H111" t="s">
        <v>188</v>
      </c>
      <c r="I111" t="s">
        <v>7</v>
      </c>
      <c r="J111" s="23">
        <v>-8.99</v>
      </c>
      <c r="K111" t="str">
        <f t="shared" si="5"/>
        <v>janvier</v>
      </c>
      <c r="L111" t="str">
        <f t="shared" si="6"/>
        <v>Dépenses</v>
      </c>
    </row>
    <row r="112" spans="1:12" ht="15" customHeight="1" x14ac:dyDescent="0.2">
      <c r="A112" t="s">
        <v>94</v>
      </c>
      <c r="B112" s="4" t="s">
        <v>70</v>
      </c>
      <c r="C112" s="7" t="s">
        <v>186</v>
      </c>
      <c r="D112" s="2">
        <v>43473</v>
      </c>
      <c r="E112" s="2">
        <f t="shared" si="4"/>
        <v>43473</v>
      </c>
      <c r="F112" t="s">
        <v>189</v>
      </c>
      <c r="G112" t="s">
        <v>158</v>
      </c>
      <c r="H112" t="s">
        <v>188</v>
      </c>
      <c r="I112" t="s">
        <v>7</v>
      </c>
      <c r="J112" s="23">
        <v>-6.99</v>
      </c>
      <c r="K112" t="str">
        <f t="shared" si="5"/>
        <v>janvier</v>
      </c>
      <c r="L112" t="str">
        <f t="shared" si="6"/>
        <v>Dépenses</v>
      </c>
    </row>
    <row r="113" spans="1:12" x14ac:dyDescent="0.2">
      <c r="A113" t="s">
        <v>94</v>
      </c>
      <c r="B113" t="s">
        <v>122</v>
      </c>
      <c r="C113">
        <v>8748503</v>
      </c>
      <c r="D113" s="2">
        <v>43474</v>
      </c>
      <c r="E113" s="2">
        <v>43496</v>
      </c>
      <c r="F113" t="s">
        <v>195</v>
      </c>
      <c r="G113" t="s">
        <v>16</v>
      </c>
      <c r="H113" t="s">
        <v>196</v>
      </c>
      <c r="I113" t="s">
        <v>7</v>
      </c>
      <c r="J113" s="22">
        <v>-25</v>
      </c>
      <c r="K113" t="str">
        <f t="shared" si="5"/>
        <v>janvier</v>
      </c>
      <c r="L113" t="str">
        <f t="shared" si="6"/>
        <v>Dépenses</v>
      </c>
    </row>
    <row r="114" spans="1:12" ht="11.25" customHeight="1" x14ac:dyDescent="0.2">
      <c r="A114" t="s">
        <v>69</v>
      </c>
      <c r="B114" t="s">
        <v>84</v>
      </c>
      <c r="C114" s="1">
        <v>223196905</v>
      </c>
      <c r="D114" s="2">
        <v>43474</v>
      </c>
      <c r="E114" s="2">
        <f t="shared" ref="E114:E136" si="7">IF(A114="","",IF(A114&lt;&gt;"Carte Lux",D114,VLOOKUP(D114,Periode_datedebit_2019,3)))</f>
        <v>43474</v>
      </c>
      <c r="F114" t="s">
        <v>193</v>
      </c>
      <c r="G114" t="s">
        <v>111</v>
      </c>
      <c r="H114" t="s">
        <v>194</v>
      </c>
      <c r="I114" t="s">
        <v>7</v>
      </c>
      <c r="J114" s="22">
        <v>7.94</v>
      </c>
      <c r="K114" t="str">
        <f t="shared" si="5"/>
        <v>janvier</v>
      </c>
      <c r="L114" t="str">
        <f t="shared" si="6"/>
        <v>Recettes</v>
      </c>
    </row>
    <row r="115" spans="1:12" x14ac:dyDescent="0.2">
      <c r="A115" t="s">
        <v>2</v>
      </c>
      <c r="B115" t="s">
        <v>8</v>
      </c>
      <c r="D115" s="2">
        <v>43475</v>
      </c>
      <c r="E115" s="2">
        <f t="shared" si="7"/>
        <v>43507</v>
      </c>
      <c r="F115" t="s">
        <v>208</v>
      </c>
      <c r="G115" t="s">
        <v>5</v>
      </c>
      <c r="H115" t="s">
        <v>22</v>
      </c>
      <c r="I115" t="s">
        <v>7</v>
      </c>
      <c r="J115" s="22">
        <v>-8.85</v>
      </c>
      <c r="K115" t="str">
        <f t="shared" si="5"/>
        <v>janvier</v>
      </c>
      <c r="L115" t="str">
        <f t="shared" si="6"/>
        <v>Dépenses</v>
      </c>
    </row>
    <row r="116" spans="1:12" ht="15" customHeight="1" x14ac:dyDescent="0.2">
      <c r="A116" t="s">
        <v>2</v>
      </c>
      <c r="B116" t="s">
        <v>8</v>
      </c>
      <c r="D116" s="2">
        <v>43475</v>
      </c>
      <c r="E116" s="2">
        <f t="shared" si="7"/>
        <v>43507</v>
      </c>
      <c r="F116" t="s">
        <v>209</v>
      </c>
      <c r="G116" t="s">
        <v>16</v>
      </c>
      <c r="H116" t="s">
        <v>210</v>
      </c>
      <c r="I116" t="s">
        <v>7</v>
      </c>
      <c r="J116" s="22">
        <v>-44</v>
      </c>
      <c r="K116" t="str">
        <f t="shared" si="5"/>
        <v>janvier</v>
      </c>
      <c r="L116" t="str">
        <f t="shared" si="6"/>
        <v>Dépenses</v>
      </c>
    </row>
    <row r="117" spans="1:12" ht="15" customHeight="1" x14ac:dyDescent="0.2">
      <c r="A117" t="s">
        <v>77</v>
      </c>
      <c r="B117" t="s">
        <v>77</v>
      </c>
      <c r="D117" s="2">
        <v>43475</v>
      </c>
      <c r="E117" s="2">
        <f t="shared" si="7"/>
        <v>43475</v>
      </c>
      <c r="F117" t="s">
        <v>78</v>
      </c>
      <c r="G117" t="s">
        <v>79</v>
      </c>
      <c r="H117" t="s">
        <v>211</v>
      </c>
      <c r="I117" t="s">
        <v>77</v>
      </c>
      <c r="J117" s="22">
        <v>30</v>
      </c>
      <c r="K117" t="str">
        <f t="shared" si="5"/>
        <v>janvier</v>
      </c>
      <c r="L117" t="str">
        <f t="shared" si="6"/>
        <v>Recettes</v>
      </c>
    </row>
    <row r="118" spans="1:12" ht="15" customHeight="1" x14ac:dyDescent="0.2">
      <c r="A118" t="s">
        <v>77</v>
      </c>
      <c r="B118" t="s">
        <v>77</v>
      </c>
      <c r="D118" s="2">
        <v>43475</v>
      </c>
      <c r="E118" s="2">
        <f t="shared" si="7"/>
        <v>43475</v>
      </c>
      <c r="F118" t="s">
        <v>212</v>
      </c>
      <c r="G118" t="s">
        <v>16</v>
      </c>
      <c r="H118" t="s">
        <v>213</v>
      </c>
      <c r="I118" t="s">
        <v>77</v>
      </c>
      <c r="J118" s="22">
        <v>44</v>
      </c>
      <c r="K118" t="str">
        <f t="shared" si="5"/>
        <v>janvier</v>
      </c>
      <c r="L118" t="str">
        <f t="shared" si="6"/>
        <v>Recettes</v>
      </c>
    </row>
    <row r="119" spans="1:12" x14ac:dyDescent="0.2">
      <c r="A119" t="s">
        <v>108</v>
      </c>
      <c r="B119" s="4" t="s">
        <v>70</v>
      </c>
      <c r="C119" s="7" t="s">
        <v>197</v>
      </c>
      <c r="D119" s="2">
        <v>43475</v>
      </c>
      <c r="E119" s="2">
        <f t="shared" si="7"/>
        <v>43475</v>
      </c>
      <c r="F119" t="s">
        <v>198</v>
      </c>
      <c r="G119" t="s">
        <v>199</v>
      </c>
      <c r="H119" t="s">
        <v>200</v>
      </c>
      <c r="I119" t="s">
        <v>7</v>
      </c>
      <c r="J119" s="23">
        <v>880.86</v>
      </c>
      <c r="K119" t="str">
        <f t="shared" si="5"/>
        <v>janvier</v>
      </c>
      <c r="L119" t="str">
        <f t="shared" si="6"/>
        <v>Recettes</v>
      </c>
    </row>
    <row r="120" spans="1:12" ht="11.25" customHeight="1" x14ac:dyDescent="0.2">
      <c r="A120" t="s">
        <v>94</v>
      </c>
      <c r="B120" s="4" t="s">
        <v>70</v>
      </c>
      <c r="C120" s="7" t="s">
        <v>201</v>
      </c>
      <c r="D120" s="2">
        <v>43475</v>
      </c>
      <c r="E120" s="2">
        <f t="shared" si="7"/>
        <v>43475</v>
      </c>
      <c r="F120" t="s">
        <v>202</v>
      </c>
      <c r="G120" t="s">
        <v>158</v>
      </c>
      <c r="H120" t="s">
        <v>87</v>
      </c>
      <c r="I120" t="s">
        <v>7</v>
      </c>
      <c r="J120" s="23">
        <v>-15</v>
      </c>
      <c r="K120" t="str">
        <f t="shared" si="5"/>
        <v>janvier</v>
      </c>
      <c r="L120" t="str">
        <f t="shared" si="6"/>
        <v>Dépenses</v>
      </c>
    </row>
    <row r="121" spans="1:12" ht="11.25" customHeight="1" x14ac:dyDescent="0.2">
      <c r="A121" t="s">
        <v>94</v>
      </c>
      <c r="B121" s="4" t="s">
        <v>70</v>
      </c>
      <c r="C121" s="7" t="s">
        <v>203</v>
      </c>
      <c r="D121" s="2">
        <v>43475</v>
      </c>
      <c r="E121" s="2">
        <f t="shared" si="7"/>
        <v>43475</v>
      </c>
      <c r="F121" t="s">
        <v>204</v>
      </c>
      <c r="G121" t="s">
        <v>158</v>
      </c>
      <c r="H121" t="s">
        <v>87</v>
      </c>
      <c r="I121" t="s">
        <v>7</v>
      </c>
      <c r="J121" s="23">
        <v>-15</v>
      </c>
      <c r="K121" t="str">
        <f t="shared" si="5"/>
        <v>janvier</v>
      </c>
      <c r="L121" t="str">
        <f t="shared" si="6"/>
        <v>Dépenses</v>
      </c>
    </row>
    <row r="122" spans="1:12" x14ac:dyDescent="0.2">
      <c r="A122" t="s">
        <v>108</v>
      </c>
      <c r="B122" s="4" t="s">
        <v>70</v>
      </c>
      <c r="C122" s="7" t="s">
        <v>205</v>
      </c>
      <c r="D122" s="2">
        <v>43475</v>
      </c>
      <c r="E122" s="2">
        <f t="shared" si="7"/>
        <v>43475</v>
      </c>
      <c r="F122" t="s">
        <v>206</v>
      </c>
      <c r="G122" t="s">
        <v>111</v>
      </c>
      <c r="H122" t="s">
        <v>207</v>
      </c>
      <c r="I122" t="s">
        <v>7</v>
      </c>
      <c r="J122" s="22">
        <v>-33.44</v>
      </c>
      <c r="K122" t="str">
        <f t="shared" si="5"/>
        <v>janvier</v>
      </c>
      <c r="L122" t="str">
        <f t="shared" si="6"/>
        <v>Dépenses</v>
      </c>
    </row>
    <row r="123" spans="1:12" x14ac:dyDescent="0.2">
      <c r="A123" t="s">
        <v>2</v>
      </c>
      <c r="B123" t="s">
        <v>8</v>
      </c>
      <c r="D123" s="2">
        <v>43476</v>
      </c>
      <c r="E123" s="2">
        <f t="shared" si="7"/>
        <v>43507</v>
      </c>
      <c r="F123" t="s">
        <v>214</v>
      </c>
      <c r="G123" t="s">
        <v>19</v>
      </c>
      <c r="H123" t="s">
        <v>215</v>
      </c>
      <c r="I123" t="s">
        <v>7</v>
      </c>
      <c r="J123" s="22">
        <v>-23.15</v>
      </c>
      <c r="K123" t="str">
        <f t="shared" si="5"/>
        <v>janvier</v>
      </c>
      <c r="L123" t="str">
        <f t="shared" si="6"/>
        <v>Dépenses</v>
      </c>
    </row>
    <row r="124" spans="1:12" x14ac:dyDescent="0.2">
      <c r="A124" t="s">
        <v>2</v>
      </c>
      <c r="B124" t="s">
        <v>3</v>
      </c>
      <c r="C124" t="s">
        <v>216</v>
      </c>
      <c r="D124" s="2">
        <v>43476</v>
      </c>
      <c r="E124" s="2">
        <f t="shared" si="7"/>
        <v>43507</v>
      </c>
      <c r="F124" t="s">
        <v>217</v>
      </c>
      <c r="G124" t="s">
        <v>49</v>
      </c>
      <c r="H124" t="s">
        <v>6</v>
      </c>
      <c r="I124" t="s">
        <v>7</v>
      </c>
      <c r="J124" s="22">
        <f>-10.1-3.25-3.35-5.75-19.15</f>
        <v>-41.599999999999994</v>
      </c>
      <c r="K124" t="str">
        <f t="shared" si="5"/>
        <v>janvier</v>
      </c>
      <c r="L124" t="str">
        <f t="shared" si="6"/>
        <v>Dépenses</v>
      </c>
    </row>
    <row r="125" spans="1:12" x14ac:dyDescent="0.2">
      <c r="A125" t="s">
        <v>2</v>
      </c>
      <c r="B125" t="s">
        <v>8</v>
      </c>
      <c r="D125" s="2">
        <v>43477</v>
      </c>
      <c r="E125" s="2">
        <f t="shared" si="7"/>
        <v>43507</v>
      </c>
      <c r="F125" t="s">
        <v>5</v>
      </c>
      <c r="G125" t="s">
        <v>5</v>
      </c>
      <c r="H125" t="s">
        <v>50</v>
      </c>
      <c r="I125" t="s">
        <v>7</v>
      </c>
      <c r="J125" s="22">
        <v>-9.7899999999999991</v>
      </c>
      <c r="K125" t="str">
        <f t="shared" si="5"/>
        <v>janvier</v>
      </c>
      <c r="L125" t="str">
        <f t="shared" si="6"/>
        <v>Dépenses</v>
      </c>
    </row>
    <row r="126" spans="1:12" x14ac:dyDescent="0.2">
      <c r="A126" t="s">
        <v>2</v>
      </c>
      <c r="B126" t="s">
        <v>8</v>
      </c>
      <c r="D126" s="2">
        <v>43477</v>
      </c>
      <c r="E126" s="2">
        <f t="shared" si="7"/>
        <v>43507</v>
      </c>
      <c r="F126" t="s">
        <v>5</v>
      </c>
      <c r="G126" t="s">
        <v>5</v>
      </c>
      <c r="H126" t="s">
        <v>50</v>
      </c>
      <c r="I126" t="s">
        <v>7</v>
      </c>
      <c r="J126" s="22">
        <v>-27.94</v>
      </c>
      <c r="K126" t="str">
        <f t="shared" si="5"/>
        <v>janvier</v>
      </c>
      <c r="L126" t="str">
        <f t="shared" si="6"/>
        <v>Dépenses</v>
      </c>
    </row>
    <row r="127" spans="1:12" x14ac:dyDescent="0.2">
      <c r="A127" t="s">
        <v>2</v>
      </c>
      <c r="B127" t="s">
        <v>3</v>
      </c>
      <c r="C127" t="s">
        <v>216</v>
      </c>
      <c r="D127" s="2">
        <v>43477</v>
      </c>
      <c r="E127" s="2">
        <f t="shared" si="7"/>
        <v>43507</v>
      </c>
      <c r="F127" t="s">
        <v>5</v>
      </c>
      <c r="G127" t="s">
        <v>5</v>
      </c>
      <c r="H127" t="s">
        <v>6</v>
      </c>
      <c r="I127" t="s">
        <v>7</v>
      </c>
      <c r="J127" s="22">
        <f>-72.23--41.6</f>
        <v>-30.630000000000003</v>
      </c>
      <c r="K127" t="str">
        <f t="shared" si="5"/>
        <v>janvier</v>
      </c>
      <c r="L127" t="str">
        <f t="shared" si="6"/>
        <v>Dépenses</v>
      </c>
    </row>
    <row r="128" spans="1:12" x14ac:dyDescent="0.2">
      <c r="A128" t="s">
        <v>108</v>
      </c>
      <c r="B128" t="s">
        <v>109</v>
      </c>
      <c r="D128" s="2">
        <v>43477</v>
      </c>
      <c r="E128" s="2">
        <f t="shared" si="7"/>
        <v>43477</v>
      </c>
      <c r="F128" t="s">
        <v>218</v>
      </c>
      <c r="G128" t="s">
        <v>16</v>
      </c>
      <c r="H128" t="s">
        <v>141</v>
      </c>
      <c r="I128" t="s">
        <v>7</v>
      </c>
      <c r="J128" s="22">
        <v>-28</v>
      </c>
      <c r="K128" t="str">
        <f t="shared" si="5"/>
        <v>janvier</v>
      </c>
      <c r="L128" t="str">
        <f t="shared" si="6"/>
        <v>Dépenses</v>
      </c>
    </row>
    <row r="129" spans="1:12" x14ac:dyDescent="0.2">
      <c r="A129" t="s">
        <v>108</v>
      </c>
      <c r="B129" t="s">
        <v>109</v>
      </c>
      <c r="D129" s="2">
        <v>43477</v>
      </c>
      <c r="E129" s="2">
        <f t="shared" si="7"/>
        <v>43477</v>
      </c>
      <c r="F129" t="s">
        <v>219</v>
      </c>
      <c r="G129" t="s">
        <v>16</v>
      </c>
      <c r="H129" t="s">
        <v>141</v>
      </c>
      <c r="I129" t="s">
        <v>7</v>
      </c>
      <c r="J129" s="22">
        <v>-25</v>
      </c>
      <c r="K129" t="str">
        <f t="shared" si="5"/>
        <v>janvier</v>
      </c>
      <c r="L129" t="str">
        <f t="shared" si="6"/>
        <v>Dépenses</v>
      </c>
    </row>
    <row r="130" spans="1:12" x14ac:dyDescent="0.2">
      <c r="A130" t="s">
        <v>108</v>
      </c>
      <c r="B130" t="s">
        <v>109</v>
      </c>
      <c r="D130" s="2">
        <v>43477</v>
      </c>
      <c r="E130" s="2">
        <f t="shared" si="7"/>
        <v>43477</v>
      </c>
      <c r="F130" t="s">
        <v>220</v>
      </c>
      <c r="G130" t="s">
        <v>16</v>
      </c>
      <c r="H130" t="s">
        <v>221</v>
      </c>
      <c r="I130" t="s">
        <v>7</v>
      </c>
      <c r="J130" s="22">
        <v>-34.99</v>
      </c>
      <c r="K130" t="str">
        <f t="shared" ref="K130:K193" si="8">IF(D130="","",TEXT(D130,"Mmmm"))</f>
        <v>janvier</v>
      </c>
      <c r="L130" t="str">
        <f t="shared" ref="L130:L193" si="9">IF(J130="","",IF(J130&lt;0,"Dépenses","Recettes"))</f>
        <v>Dépenses</v>
      </c>
    </row>
    <row r="131" spans="1:12" x14ac:dyDescent="0.2">
      <c r="A131" t="s">
        <v>2</v>
      </c>
      <c r="B131" t="s">
        <v>8</v>
      </c>
      <c r="D131" s="2">
        <v>43478</v>
      </c>
      <c r="E131" s="2">
        <f t="shared" si="7"/>
        <v>43507</v>
      </c>
      <c r="F131" t="s">
        <v>222</v>
      </c>
      <c r="G131" t="s">
        <v>5</v>
      </c>
      <c r="H131" t="s">
        <v>33</v>
      </c>
      <c r="I131" t="s">
        <v>7</v>
      </c>
      <c r="J131" s="22">
        <v>-9.6</v>
      </c>
      <c r="K131" t="str">
        <f t="shared" si="8"/>
        <v>janvier</v>
      </c>
      <c r="L131" t="str">
        <f t="shared" si="9"/>
        <v>Dépenses</v>
      </c>
    </row>
    <row r="132" spans="1:12" x14ac:dyDescent="0.2">
      <c r="A132" t="s">
        <v>2</v>
      </c>
      <c r="B132" t="s">
        <v>8</v>
      </c>
      <c r="D132" s="2">
        <v>43479</v>
      </c>
      <c r="E132" s="2">
        <f t="shared" si="7"/>
        <v>43507</v>
      </c>
      <c r="F132" t="s">
        <v>224</v>
      </c>
      <c r="G132" t="s">
        <v>115</v>
      </c>
      <c r="H132" t="s">
        <v>14</v>
      </c>
      <c r="I132" t="s">
        <v>7</v>
      </c>
      <c r="J132" s="22">
        <v>-10.220000000000001</v>
      </c>
      <c r="K132" t="str">
        <f t="shared" si="8"/>
        <v>janvier</v>
      </c>
      <c r="L132" t="str">
        <f t="shared" si="9"/>
        <v>Dépenses</v>
      </c>
    </row>
    <row r="133" spans="1:12" x14ac:dyDescent="0.2">
      <c r="A133" t="s">
        <v>2</v>
      </c>
      <c r="B133" t="s">
        <v>8</v>
      </c>
      <c r="D133" s="2">
        <v>43479</v>
      </c>
      <c r="E133" s="2">
        <f t="shared" si="7"/>
        <v>43507</v>
      </c>
      <c r="F133" t="s">
        <v>32</v>
      </c>
      <c r="G133" t="s">
        <v>115</v>
      </c>
      <c r="H133" t="s">
        <v>22</v>
      </c>
      <c r="I133" t="s">
        <v>7</v>
      </c>
      <c r="J133" s="22">
        <v>-4.3</v>
      </c>
      <c r="K133" t="str">
        <f t="shared" si="8"/>
        <v>janvier</v>
      </c>
      <c r="L133" t="str">
        <f t="shared" si="9"/>
        <v>Dépenses</v>
      </c>
    </row>
    <row r="134" spans="1:12" x14ac:dyDescent="0.2">
      <c r="A134" t="s">
        <v>2</v>
      </c>
      <c r="B134" t="s">
        <v>3</v>
      </c>
      <c r="D134" s="2">
        <v>43479</v>
      </c>
      <c r="E134" s="2">
        <f t="shared" si="7"/>
        <v>43507</v>
      </c>
      <c r="F134" t="s">
        <v>5</v>
      </c>
      <c r="G134" t="s">
        <v>5</v>
      </c>
      <c r="H134" t="s">
        <v>223</v>
      </c>
      <c r="I134" t="s">
        <v>7</v>
      </c>
      <c r="J134" s="22">
        <v>-12.49</v>
      </c>
      <c r="K134" t="str">
        <f t="shared" si="8"/>
        <v>janvier</v>
      </c>
      <c r="L134" t="str">
        <f t="shared" si="9"/>
        <v>Dépenses</v>
      </c>
    </row>
    <row r="135" spans="1:12" x14ac:dyDescent="0.2">
      <c r="A135" t="s">
        <v>108</v>
      </c>
      <c r="B135" t="s">
        <v>109</v>
      </c>
      <c r="D135" s="2">
        <v>43479</v>
      </c>
      <c r="E135" s="2">
        <f t="shared" si="7"/>
        <v>43479</v>
      </c>
      <c r="F135" t="s">
        <v>225</v>
      </c>
      <c r="G135" t="s">
        <v>16</v>
      </c>
      <c r="H135" t="s">
        <v>141</v>
      </c>
      <c r="I135" t="s">
        <v>7</v>
      </c>
      <c r="J135" s="22">
        <v>-15.99</v>
      </c>
      <c r="K135" t="str">
        <f t="shared" si="8"/>
        <v>janvier</v>
      </c>
      <c r="L135" t="str">
        <f t="shared" si="9"/>
        <v>Dépenses</v>
      </c>
    </row>
    <row r="136" spans="1:12" x14ac:dyDescent="0.2">
      <c r="A136" t="s">
        <v>94</v>
      </c>
      <c r="B136" t="s">
        <v>122</v>
      </c>
      <c r="D136" s="2">
        <v>43479</v>
      </c>
      <c r="E136" s="2">
        <f t="shared" si="7"/>
        <v>43479</v>
      </c>
      <c r="F136" t="s">
        <v>81</v>
      </c>
      <c r="G136" t="s">
        <v>19</v>
      </c>
      <c r="I136" t="s">
        <v>7</v>
      </c>
      <c r="J136" s="22">
        <v>50</v>
      </c>
      <c r="K136" t="str">
        <f t="shared" si="8"/>
        <v>janvier</v>
      </c>
      <c r="L136" t="str">
        <f t="shared" si="9"/>
        <v>Recettes</v>
      </c>
    </row>
    <row r="137" spans="1:12" x14ac:dyDescent="0.2">
      <c r="A137" t="s">
        <v>94</v>
      </c>
      <c r="B137" t="s">
        <v>122</v>
      </c>
      <c r="C137">
        <v>8748493</v>
      </c>
      <c r="D137" s="2">
        <v>43479</v>
      </c>
      <c r="E137" s="2">
        <v>43496</v>
      </c>
      <c r="F137" t="s">
        <v>228</v>
      </c>
      <c r="G137" t="s">
        <v>229</v>
      </c>
      <c r="H137" t="s">
        <v>230</v>
      </c>
      <c r="I137" t="s">
        <v>7</v>
      </c>
      <c r="J137" s="22">
        <v>-60</v>
      </c>
      <c r="K137" t="str">
        <f t="shared" si="8"/>
        <v>janvier</v>
      </c>
      <c r="L137" t="str">
        <f t="shared" si="9"/>
        <v>Dépenses</v>
      </c>
    </row>
    <row r="138" spans="1:12" x14ac:dyDescent="0.2">
      <c r="A138" t="s">
        <v>108</v>
      </c>
      <c r="B138" t="s">
        <v>84</v>
      </c>
      <c r="D138" s="2">
        <v>43479</v>
      </c>
      <c r="E138" s="2">
        <f t="shared" ref="E138:E149" si="10">IF(A138="","",IF(A138&lt;&gt;"Carte Lux",D138,VLOOKUP(D138,Periode_datedebit_2019,3)))</f>
        <v>43479</v>
      </c>
      <c r="F138" t="s">
        <v>226</v>
      </c>
      <c r="G138" t="s">
        <v>16</v>
      </c>
      <c r="H138" t="s">
        <v>141</v>
      </c>
      <c r="I138" t="s">
        <v>7</v>
      </c>
      <c r="J138" s="22">
        <v>10.99</v>
      </c>
      <c r="K138" t="str">
        <f t="shared" si="8"/>
        <v>janvier</v>
      </c>
      <c r="L138" t="str">
        <f t="shared" si="9"/>
        <v>Recettes</v>
      </c>
    </row>
    <row r="139" spans="1:12" x14ac:dyDescent="0.2">
      <c r="A139" t="s">
        <v>69</v>
      </c>
      <c r="B139" t="s">
        <v>84</v>
      </c>
      <c r="D139" s="2">
        <v>43479</v>
      </c>
      <c r="E139" s="2">
        <f t="shared" si="10"/>
        <v>43479</v>
      </c>
      <c r="F139" t="s">
        <v>227</v>
      </c>
      <c r="G139" t="s">
        <v>10</v>
      </c>
      <c r="H139" t="s">
        <v>74</v>
      </c>
      <c r="I139" t="s">
        <v>7</v>
      </c>
      <c r="J139" s="22">
        <v>150</v>
      </c>
      <c r="K139" t="str">
        <f t="shared" si="8"/>
        <v>janvier</v>
      </c>
      <c r="L139" t="str">
        <f t="shared" si="9"/>
        <v>Recettes</v>
      </c>
    </row>
    <row r="140" spans="1:12" x14ac:dyDescent="0.2">
      <c r="A140" t="s">
        <v>2</v>
      </c>
      <c r="B140" t="s">
        <v>8</v>
      </c>
      <c r="D140" s="2">
        <v>43480</v>
      </c>
      <c r="E140" s="2">
        <f t="shared" si="10"/>
        <v>43507</v>
      </c>
      <c r="F140" t="s">
        <v>5</v>
      </c>
      <c r="G140" t="s">
        <v>5</v>
      </c>
      <c r="H140" t="s">
        <v>6</v>
      </c>
      <c r="I140" t="s">
        <v>7</v>
      </c>
      <c r="J140" s="22">
        <v>-12.9</v>
      </c>
      <c r="K140" t="str">
        <f t="shared" si="8"/>
        <v>janvier</v>
      </c>
      <c r="L140" t="str">
        <f t="shared" si="9"/>
        <v>Dépenses</v>
      </c>
    </row>
    <row r="141" spans="1:12" x14ac:dyDescent="0.2">
      <c r="A141" t="s">
        <v>2</v>
      </c>
      <c r="B141" t="s">
        <v>3</v>
      </c>
      <c r="D141" s="2">
        <v>43480</v>
      </c>
      <c r="E141" s="2">
        <f t="shared" si="10"/>
        <v>43507</v>
      </c>
      <c r="F141" t="s">
        <v>235</v>
      </c>
      <c r="G141" t="s">
        <v>39</v>
      </c>
      <c r="H141" t="s">
        <v>120</v>
      </c>
      <c r="I141" t="s">
        <v>7</v>
      </c>
      <c r="J141" s="22">
        <v>-8</v>
      </c>
      <c r="K141" t="str">
        <f t="shared" si="8"/>
        <v>janvier</v>
      </c>
      <c r="L141" t="str">
        <f t="shared" si="9"/>
        <v>Dépenses</v>
      </c>
    </row>
    <row r="142" spans="1:12" x14ac:dyDescent="0.2">
      <c r="A142" t="s">
        <v>2</v>
      </c>
      <c r="B142" t="s">
        <v>3</v>
      </c>
      <c r="D142" s="2">
        <v>43480</v>
      </c>
      <c r="E142" s="2">
        <f t="shared" si="10"/>
        <v>43507</v>
      </c>
      <c r="F142" t="s">
        <v>5</v>
      </c>
      <c r="G142" t="s">
        <v>5</v>
      </c>
      <c r="H142" t="s">
        <v>23</v>
      </c>
      <c r="I142" t="s">
        <v>7</v>
      </c>
      <c r="J142" s="22">
        <v>-32.49</v>
      </c>
      <c r="K142" t="str">
        <f t="shared" si="8"/>
        <v>janvier</v>
      </c>
      <c r="L142" t="str">
        <f t="shared" si="9"/>
        <v>Dépenses</v>
      </c>
    </row>
    <row r="143" spans="1:12" x14ac:dyDescent="0.2">
      <c r="A143" t="s">
        <v>108</v>
      </c>
      <c r="B143" t="s">
        <v>109</v>
      </c>
      <c r="D143" s="2">
        <v>43480</v>
      </c>
      <c r="E143" s="2">
        <f t="shared" si="10"/>
        <v>43480</v>
      </c>
      <c r="F143" t="s">
        <v>234</v>
      </c>
      <c r="G143" t="s">
        <v>16</v>
      </c>
      <c r="I143" t="s">
        <v>7</v>
      </c>
      <c r="J143" s="22">
        <v>-3</v>
      </c>
      <c r="K143" t="str">
        <f t="shared" si="8"/>
        <v>janvier</v>
      </c>
      <c r="L143" t="str">
        <f t="shared" si="9"/>
        <v>Dépenses</v>
      </c>
    </row>
    <row r="144" spans="1:12" x14ac:dyDescent="0.2">
      <c r="A144" t="s">
        <v>108</v>
      </c>
      <c r="B144" t="s">
        <v>109</v>
      </c>
      <c r="D144" s="2">
        <v>43480</v>
      </c>
      <c r="E144" s="2">
        <f t="shared" si="10"/>
        <v>43480</v>
      </c>
      <c r="F144" t="s">
        <v>236</v>
      </c>
      <c r="G144" t="s">
        <v>127</v>
      </c>
      <c r="H144" t="s">
        <v>237</v>
      </c>
      <c r="I144" t="s">
        <v>7</v>
      </c>
      <c r="J144" s="22">
        <v>-50.4</v>
      </c>
      <c r="K144" t="str">
        <f t="shared" si="8"/>
        <v>janvier</v>
      </c>
      <c r="L144" t="str">
        <f t="shared" si="9"/>
        <v>Dépenses</v>
      </c>
    </row>
    <row r="145" spans="1:12" x14ac:dyDescent="0.2">
      <c r="A145" t="s">
        <v>77</v>
      </c>
      <c r="B145" t="s">
        <v>77</v>
      </c>
      <c r="D145" s="2">
        <v>43480</v>
      </c>
      <c r="E145" s="2">
        <f t="shared" si="10"/>
        <v>43480</v>
      </c>
      <c r="F145" t="s">
        <v>238</v>
      </c>
      <c r="G145" t="s">
        <v>5</v>
      </c>
      <c r="H145" t="s">
        <v>77</v>
      </c>
      <c r="I145" t="s">
        <v>77</v>
      </c>
      <c r="J145" s="22">
        <v>4.8</v>
      </c>
      <c r="K145" t="str">
        <f t="shared" si="8"/>
        <v>janvier</v>
      </c>
      <c r="L145" t="str">
        <f t="shared" si="9"/>
        <v>Recettes</v>
      </c>
    </row>
    <row r="146" spans="1:12" x14ac:dyDescent="0.2">
      <c r="A146" t="s">
        <v>94</v>
      </c>
      <c r="B146" s="4" t="s">
        <v>70</v>
      </c>
      <c r="C146" s="7" t="s">
        <v>231</v>
      </c>
      <c r="D146" s="2">
        <v>43480</v>
      </c>
      <c r="E146" s="2">
        <f t="shared" si="10"/>
        <v>43480</v>
      </c>
      <c r="F146" s="4" t="s">
        <v>232</v>
      </c>
      <c r="G146" s="4" t="s">
        <v>79</v>
      </c>
      <c r="H146" s="4" t="s">
        <v>233</v>
      </c>
      <c r="I146" t="s">
        <v>7</v>
      </c>
      <c r="J146" s="23">
        <v>-22.1</v>
      </c>
      <c r="K146" t="str">
        <f t="shared" si="8"/>
        <v>janvier</v>
      </c>
      <c r="L146" t="str">
        <f t="shared" si="9"/>
        <v>Dépenses</v>
      </c>
    </row>
    <row r="147" spans="1:12" x14ac:dyDescent="0.2">
      <c r="A147" t="s">
        <v>69</v>
      </c>
      <c r="B147" s="4" t="s">
        <v>70</v>
      </c>
      <c r="C147" s="7" t="s">
        <v>146</v>
      </c>
      <c r="D147" s="2">
        <v>43480</v>
      </c>
      <c r="E147" s="2">
        <f t="shared" si="10"/>
        <v>43480</v>
      </c>
      <c r="F147" t="s">
        <v>147</v>
      </c>
      <c r="G147" t="s">
        <v>115</v>
      </c>
      <c r="H147" t="s">
        <v>148</v>
      </c>
      <c r="I147" t="s">
        <v>7</v>
      </c>
      <c r="J147" s="23">
        <v>-7.71</v>
      </c>
      <c r="K147" t="str">
        <f t="shared" si="8"/>
        <v>janvier</v>
      </c>
      <c r="L147" t="str">
        <f t="shared" si="9"/>
        <v>Dépenses</v>
      </c>
    </row>
    <row r="148" spans="1:12" ht="15" customHeight="1" x14ac:dyDescent="0.2">
      <c r="A148" t="s">
        <v>108</v>
      </c>
      <c r="B148" t="s">
        <v>109</v>
      </c>
      <c r="D148" s="2">
        <v>43481</v>
      </c>
      <c r="E148" s="2">
        <f t="shared" si="10"/>
        <v>43481</v>
      </c>
      <c r="F148" t="s">
        <v>250</v>
      </c>
      <c r="G148" t="s">
        <v>5</v>
      </c>
      <c r="I148" t="s">
        <v>7</v>
      </c>
      <c r="J148" s="22">
        <v>-4.3499999999999996</v>
      </c>
      <c r="K148" t="str">
        <f t="shared" si="8"/>
        <v>janvier</v>
      </c>
      <c r="L148" t="str">
        <f t="shared" si="9"/>
        <v>Dépenses</v>
      </c>
    </row>
    <row r="149" spans="1:12" x14ac:dyDescent="0.2">
      <c r="A149" t="s">
        <v>108</v>
      </c>
      <c r="B149" t="s">
        <v>109</v>
      </c>
      <c r="D149" s="2">
        <v>43481</v>
      </c>
      <c r="E149" s="2">
        <f t="shared" si="10"/>
        <v>43481</v>
      </c>
      <c r="F149" t="s">
        <v>251</v>
      </c>
      <c r="G149" t="s">
        <v>19</v>
      </c>
      <c r="H149" t="s">
        <v>252</v>
      </c>
      <c r="I149" t="s">
        <v>7</v>
      </c>
      <c r="J149" s="22">
        <v>-25</v>
      </c>
      <c r="K149" t="str">
        <f t="shared" si="8"/>
        <v>janvier</v>
      </c>
      <c r="L149" t="str">
        <f t="shared" si="9"/>
        <v>Dépenses</v>
      </c>
    </row>
    <row r="150" spans="1:12" x14ac:dyDescent="0.2">
      <c r="A150" t="s">
        <v>94</v>
      </c>
      <c r="B150" t="s">
        <v>122</v>
      </c>
      <c r="C150" s="1">
        <v>8748505</v>
      </c>
      <c r="D150" s="2">
        <v>43481</v>
      </c>
      <c r="E150" s="2">
        <v>43496</v>
      </c>
      <c r="F150" t="s">
        <v>253</v>
      </c>
      <c r="G150" t="s">
        <v>254</v>
      </c>
      <c r="H150" t="s">
        <v>255</v>
      </c>
      <c r="I150" t="s">
        <v>7</v>
      </c>
      <c r="J150" s="22">
        <v>-329.77</v>
      </c>
      <c r="K150" t="str">
        <f t="shared" si="8"/>
        <v>janvier</v>
      </c>
      <c r="L150" t="str">
        <f t="shared" si="9"/>
        <v>Dépenses</v>
      </c>
    </row>
    <row r="151" spans="1:12" ht="11.25" customHeight="1" x14ac:dyDescent="0.2">
      <c r="A151" t="s">
        <v>94</v>
      </c>
      <c r="B151" s="4" t="s">
        <v>70</v>
      </c>
      <c r="C151" s="7" t="s">
        <v>239</v>
      </c>
      <c r="D151" s="2">
        <v>43481</v>
      </c>
      <c r="E151" s="2">
        <f t="shared" ref="E151:E164" si="11">IF(A151="","",IF(A151&lt;&gt;"Carte Lux",D151,VLOOKUP(D151,Periode_datedebit_2019,3)))</f>
        <v>43481</v>
      </c>
      <c r="F151" s="4" t="s">
        <v>240</v>
      </c>
      <c r="G151" s="4" t="s">
        <v>73</v>
      </c>
      <c r="H151" s="4" t="s">
        <v>241</v>
      </c>
      <c r="I151" t="s">
        <v>7</v>
      </c>
      <c r="J151" s="23">
        <v>-164.14</v>
      </c>
      <c r="K151" t="str">
        <f t="shared" si="8"/>
        <v>janvier</v>
      </c>
      <c r="L151" t="str">
        <f t="shared" si="9"/>
        <v>Dépenses</v>
      </c>
    </row>
    <row r="152" spans="1:12" ht="11.25" customHeight="1" x14ac:dyDescent="0.2">
      <c r="A152" t="s">
        <v>94</v>
      </c>
      <c r="B152" s="4" t="s">
        <v>70</v>
      </c>
      <c r="C152" s="7" t="s">
        <v>242</v>
      </c>
      <c r="D152" s="2">
        <v>43481</v>
      </c>
      <c r="E152" s="2">
        <f t="shared" si="11"/>
        <v>43481</v>
      </c>
      <c r="F152" t="s">
        <v>243</v>
      </c>
      <c r="G152" t="s">
        <v>244</v>
      </c>
      <c r="H152" t="s">
        <v>245</v>
      </c>
      <c r="I152" t="s">
        <v>7</v>
      </c>
      <c r="J152" s="23">
        <v>-34.950000000000003</v>
      </c>
      <c r="K152" t="str">
        <f t="shared" si="8"/>
        <v>janvier</v>
      </c>
      <c r="L152" t="str">
        <f t="shared" si="9"/>
        <v>Dépenses</v>
      </c>
    </row>
    <row r="153" spans="1:12" ht="11.25" customHeight="1" x14ac:dyDescent="0.2">
      <c r="A153" t="s">
        <v>94</v>
      </c>
      <c r="B153" s="4" t="s">
        <v>70</v>
      </c>
      <c r="C153" s="7" t="s">
        <v>246</v>
      </c>
      <c r="D153" s="2">
        <v>43481</v>
      </c>
      <c r="E153" s="2">
        <f t="shared" si="11"/>
        <v>43481</v>
      </c>
      <c r="F153" t="s">
        <v>247</v>
      </c>
      <c r="G153" t="s">
        <v>134</v>
      </c>
      <c r="H153" t="s">
        <v>155</v>
      </c>
      <c r="I153" t="s">
        <v>7</v>
      </c>
      <c r="J153" s="23">
        <v>-38</v>
      </c>
      <c r="K153" t="str">
        <f t="shared" si="8"/>
        <v>janvier</v>
      </c>
      <c r="L153" t="str">
        <f t="shared" si="9"/>
        <v>Dépenses</v>
      </c>
    </row>
    <row r="154" spans="1:12" ht="11.25" customHeight="1" x14ac:dyDescent="0.2">
      <c r="A154" t="s">
        <v>94</v>
      </c>
      <c r="B154" s="4" t="s">
        <v>70</v>
      </c>
      <c r="C154" s="7" t="s">
        <v>248</v>
      </c>
      <c r="D154" s="2">
        <v>43481</v>
      </c>
      <c r="E154" s="2">
        <f t="shared" si="11"/>
        <v>43481</v>
      </c>
      <c r="F154" t="s">
        <v>249</v>
      </c>
      <c r="G154" t="s">
        <v>134</v>
      </c>
      <c r="H154" t="s">
        <v>155</v>
      </c>
      <c r="I154" t="s">
        <v>7</v>
      </c>
      <c r="J154" s="23">
        <v>-32</v>
      </c>
      <c r="K154" t="str">
        <f t="shared" si="8"/>
        <v>janvier</v>
      </c>
      <c r="L154" t="str">
        <f t="shared" si="9"/>
        <v>Dépenses</v>
      </c>
    </row>
    <row r="155" spans="1:12" x14ac:dyDescent="0.2">
      <c r="A155" t="s">
        <v>2</v>
      </c>
      <c r="B155" t="s">
        <v>8</v>
      </c>
      <c r="C155" t="s">
        <v>261</v>
      </c>
      <c r="D155" s="2">
        <v>43482</v>
      </c>
      <c r="E155" s="2">
        <f t="shared" si="11"/>
        <v>43507</v>
      </c>
      <c r="F155" t="s">
        <v>32</v>
      </c>
      <c r="G155" t="s">
        <v>5</v>
      </c>
      <c r="H155" t="s">
        <v>64</v>
      </c>
      <c r="I155" t="s">
        <v>7</v>
      </c>
      <c r="J155" s="22">
        <v>-1.75</v>
      </c>
      <c r="K155" t="str">
        <f t="shared" si="8"/>
        <v>janvier</v>
      </c>
      <c r="L155" t="str">
        <f t="shared" si="9"/>
        <v>Dépenses</v>
      </c>
    </row>
    <row r="156" spans="1:12" x14ac:dyDescent="0.2">
      <c r="A156" t="s">
        <v>2</v>
      </c>
      <c r="B156" t="s">
        <v>8</v>
      </c>
      <c r="C156" t="s">
        <v>261</v>
      </c>
      <c r="D156" s="2">
        <v>43482</v>
      </c>
      <c r="E156" s="2">
        <f t="shared" si="11"/>
        <v>43507</v>
      </c>
      <c r="F156" t="s">
        <v>262</v>
      </c>
      <c r="G156" t="s">
        <v>263</v>
      </c>
      <c r="H156" t="s">
        <v>64</v>
      </c>
      <c r="I156" t="s">
        <v>7</v>
      </c>
      <c r="J156" s="22">
        <v>-53.79</v>
      </c>
      <c r="K156" t="str">
        <f t="shared" si="8"/>
        <v>janvier</v>
      </c>
      <c r="L156" t="str">
        <f t="shared" si="9"/>
        <v>Dépenses</v>
      </c>
    </row>
    <row r="157" spans="1:12" x14ac:dyDescent="0.2">
      <c r="A157" t="s">
        <v>2</v>
      </c>
      <c r="B157" t="s">
        <v>8</v>
      </c>
      <c r="D157" s="2">
        <v>43482</v>
      </c>
      <c r="E157" s="2">
        <f t="shared" si="11"/>
        <v>43507</v>
      </c>
      <c r="F157" t="s">
        <v>179</v>
      </c>
      <c r="G157" t="s">
        <v>5</v>
      </c>
      <c r="H157" t="s">
        <v>22</v>
      </c>
      <c r="I157" t="s">
        <v>7</v>
      </c>
      <c r="J157" s="22">
        <v>-11.7</v>
      </c>
      <c r="K157" t="str">
        <f t="shared" si="8"/>
        <v>janvier</v>
      </c>
      <c r="L157" t="str">
        <f t="shared" si="9"/>
        <v>Dépenses</v>
      </c>
    </row>
    <row r="158" spans="1:12" x14ac:dyDescent="0.2">
      <c r="A158" t="s">
        <v>2</v>
      </c>
      <c r="B158" t="s">
        <v>3</v>
      </c>
      <c r="D158" s="2">
        <v>43482</v>
      </c>
      <c r="E158" s="2">
        <f t="shared" si="11"/>
        <v>43507</v>
      </c>
      <c r="F158" t="s">
        <v>5</v>
      </c>
      <c r="G158" t="s">
        <v>5</v>
      </c>
      <c r="H158" t="s">
        <v>260</v>
      </c>
      <c r="I158" t="s">
        <v>7</v>
      </c>
      <c r="J158" s="22">
        <v>-84.97</v>
      </c>
      <c r="K158" t="str">
        <f t="shared" si="8"/>
        <v>janvier</v>
      </c>
      <c r="L158" t="str">
        <f t="shared" si="9"/>
        <v>Dépenses</v>
      </c>
    </row>
    <row r="159" spans="1:12" x14ac:dyDescent="0.2">
      <c r="A159" t="s">
        <v>108</v>
      </c>
      <c r="B159" t="s">
        <v>109</v>
      </c>
      <c r="D159" s="2">
        <v>43482</v>
      </c>
      <c r="E159" s="2">
        <f t="shared" si="11"/>
        <v>43482</v>
      </c>
      <c r="F159" t="s">
        <v>256</v>
      </c>
      <c r="G159" t="s">
        <v>19</v>
      </c>
      <c r="H159" t="s">
        <v>257</v>
      </c>
      <c r="I159" t="s">
        <v>7</v>
      </c>
      <c r="J159" s="22">
        <v>-20</v>
      </c>
      <c r="K159" t="str">
        <f t="shared" si="8"/>
        <v>janvier</v>
      </c>
      <c r="L159" t="str">
        <f t="shared" si="9"/>
        <v>Dépenses</v>
      </c>
    </row>
    <row r="160" spans="1:12" x14ac:dyDescent="0.2">
      <c r="A160" t="s">
        <v>108</v>
      </c>
      <c r="B160" t="s">
        <v>109</v>
      </c>
      <c r="D160" s="2">
        <v>43482</v>
      </c>
      <c r="E160" s="2">
        <f t="shared" si="11"/>
        <v>43482</v>
      </c>
      <c r="F160" t="s">
        <v>258</v>
      </c>
      <c r="G160" t="s">
        <v>52</v>
      </c>
      <c r="H160" t="s">
        <v>258</v>
      </c>
      <c r="I160" t="s">
        <v>7</v>
      </c>
      <c r="J160" s="22">
        <v>-12</v>
      </c>
      <c r="K160" t="str">
        <f t="shared" si="8"/>
        <v>janvier</v>
      </c>
      <c r="L160" t="str">
        <f t="shared" si="9"/>
        <v>Dépenses</v>
      </c>
    </row>
    <row r="161" spans="1:12" x14ac:dyDescent="0.2">
      <c r="A161" t="s">
        <v>108</v>
      </c>
      <c r="B161" t="s">
        <v>109</v>
      </c>
      <c r="D161" s="2">
        <v>43482</v>
      </c>
      <c r="E161" s="2">
        <f t="shared" si="11"/>
        <v>43482</v>
      </c>
      <c r="F161" t="s">
        <v>251</v>
      </c>
      <c r="G161" t="s">
        <v>19</v>
      </c>
      <c r="H161" t="s">
        <v>259</v>
      </c>
      <c r="I161" t="s">
        <v>7</v>
      </c>
      <c r="J161" s="22">
        <v>-16.059999999999999</v>
      </c>
      <c r="K161" t="str">
        <f t="shared" si="8"/>
        <v>janvier</v>
      </c>
      <c r="L161" t="str">
        <f t="shared" si="9"/>
        <v>Dépenses</v>
      </c>
    </row>
    <row r="162" spans="1:12" x14ac:dyDescent="0.2">
      <c r="A162" t="s">
        <v>108</v>
      </c>
      <c r="B162" t="s">
        <v>109</v>
      </c>
      <c r="C162" t="s">
        <v>264</v>
      </c>
      <c r="D162" s="2">
        <v>43483</v>
      </c>
      <c r="E162" s="2">
        <f t="shared" si="11"/>
        <v>43483</v>
      </c>
      <c r="F162" t="s">
        <v>21</v>
      </c>
      <c r="G162" t="s">
        <v>21</v>
      </c>
      <c r="H162" t="s">
        <v>64</v>
      </c>
      <c r="I162" t="s">
        <v>7</v>
      </c>
      <c r="J162" s="22">
        <v>-14.7</v>
      </c>
      <c r="K162" t="str">
        <f t="shared" si="8"/>
        <v>janvier</v>
      </c>
      <c r="L162" t="str">
        <f t="shared" si="9"/>
        <v>Dépenses</v>
      </c>
    </row>
    <row r="163" spans="1:12" x14ac:dyDescent="0.2">
      <c r="A163" t="s">
        <v>108</v>
      </c>
      <c r="B163" t="s">
        <v>109</v>
      </c>
      <c r="C163" t="s">
        <v>264</v>
      </c>
      <c r="D163" s="2">
        <v>43483</v>
      </c>
      <c r="E163" s="2">
        <f t="shared" si="11"/>
        <v>43483</v>
      </c>
      <c r="F163" t="s">
        <v>265</v>
      </c>
      <c r="G163" t="s">
        <v>63</v>
      </c>
      <c r="H163" t="s">
        <v>64</v>
      </c>
      <c r="I163" t="s">
        <v>7</v>
      </c>
      <c r="J163" s="22">
        <v>-30.01</v>
      </c>
      <c r="K163" t="str">
        <f t="shared" si="8"/>
        <v>janvier</v>
      </c>
      <c r="L163" t="str">
        <f t="shared" si="9"/>
        <v>Dépenses</v>
      </c>
    </row>
    <row r="164" spans="1:12" x14ac:dyDescent="0.2">
      <c r="A164" t="s">
        <v>108</v>
      </c>
      <c r="B164" t="s">
        <v>109</v>
      </c>
      <c r="D164" s="2">
        <v>43483</v>
      </c>
      <c r="E164" s="2">
        <f t="shared" si="11"/>
        <v>43483</v>
      </c>
      <c r="F164" t="s">
        <v>266</v>
      </c>
      <c r="G164" t="s">
        <v>118</v>
      </c>
      <c r="H164" t="s">
        <v>267</v>
      </c>
      <c r="I164" t="s">
        <v>7</v>
      </c>
      <c r="J164" s="22">
        <v>-81</v>
      </c>
      <c r="K164" t="str">
        <f t="shared" si="8"/>
        <v>janvier</v>
      </c>
      <c r="L164" t="str">
        <f t="shared" si="9"/>
        <v>Dépenses</v>
      </c>
    </row>
    <row r="165" spans="1:12" x14ac:dyDescent="0.2">
      <c r="A165" t="s">
        <v>108</v>
      </c>
      <c r="B165" t="s">
        <v>109</v>
      </c>
      <c r="C165" t="s">
        <v>268</v>
      </c>
      <c r="D165" s="2">
        <v>43483</v>
      </c>
      <c r="E165" s="2">
        <f>IF(B165="","",IF(B165&lt;&gt;"Carte Lux",D165,VLOOKUP(D165,Periode_datedebit_2019,3)))</f>
        <v>43483</v>
      </c>
      <c r="F165" t="s">
        <v>265</v>
      </c>
      <c r="G165" t="s">
        <v>63</v>
      </c>
      <c r="H165" t="s">
        <v>64</v>
      </c>
      <c r="I165" t="s">
        <v>7</v>
      </c>
      <c r="J165" s="22">
        <f>-41.7--14.7</f>
        <v>-27.000000000000004</v>
      </c>
      <c r="K165" t="str">
        <f t="shared" si="8"/>
        <v>janvier</v>
      </c>
      <c r="L165" t="str">
        <f t="shared" si="9"/>
        <v>Dépenses</v>
      </c>
    </row>
    <row r="166" spans="1:12" x14ac:dyDescent="0.2">
      <c r="A166" t="s">
        <v>77</v>
      </c>
      <c r="B166" t="s">
        <v>77</v>
      </c>
      <c r="D166" s="2">
        <v>43484</v>
      </c>
      <c r="E166" s="2">
        <f t="shared" ref="E166:E185" si="12">IF(A166="","",IF(A166&lt;&gt;"Carte Lux",D166,VLOOKUP(D166,Periode_datedebit_2019,3)))</f>
        <v>43484</v>
      </c>
      <c r="F166" t="s">
        <v>269</v>
      </c>
      <c r="G166" t="s">
        <v>270</v>
      </c>
      <c r="H166" t="s">
        <v>271</v>
      </c>
      <c r="I166" t="s">
        <v>77</v>
      </c>
      <c r="J166" s="22">
        <v>-70</v>
      </c>
      <c r="K166" t="str">
        <f t="shared" si="8"/>
        <v>janvier</v>
      </c>
      <c r="L166" t="str">
        <f t="shared" si="9"/>
        <v>Dépenses</v>
      </c>
    </row>
    <row r="167" spans="1:12" ht="11.25" customHeight="1" x14ac:dyDescent="0.2">
      <c r="A167" t="s">
        <v>2</v>
      </c>
      <c r="B167" t="s">
        <v>8</v>
      </c>
      <c r="D167" s="2">
        <v>43485</v>
      </c>
      <c r="E167" s="2">
        <f t="shared" si="12"/>
        <v>43535</v>
      </c>
      <c r="F167" t="s">
        <v>272</v>
      </c>
      <c r="G167" t="s">
        <v>115</v>
      </c>
      <c r="H167" t="s">
        <v>114</v>
      </c>
      <c r="I167" t="s">
        <v>7</v>
      </c>
      <c r="J167" s="22">
        <v>-47</v>
      </c>
      <c r="K167" t="str">
        <f t="shared" si="8"/>
        <v>janvier</v>
      </c>
      <c r="L167" t="str">
        <f t="shared" si="9"/>
        <v>Dépenses</v>
      </c>
    </row>
    <row r="168" spans="1:12" x14ac:dyDescent="0.2">
      <c r="A168" t="s">
        <v>2</v>
      </c>
      <c r="B168" t="s">
        <v>8</v>
      </c>
      <c r="D168" s="2">
        <v>43485</v>
      </c>
      <c r="E168" s="2">
        <f t="shared" si="12"/>
        <v>43535</v>
      </c>
      <c r="F168" t="s">
        <v>32</v>
      </c>
      <c r="G168" t="s">
        <v>5</v>
      </c>
      <c r="H168" t="s">
        <v>33</v>
      </c>
      <c r="I168" t="s">
        <v>7</v>
      </c>
      <c r="J168" s="22">
        <v>-6.3</v>
      </c>
      <c r="K168" t="str">
        <f t="shared" si="8"/>
        <v>janvier</v>
      </c>
      <c r="L168" t="str">
        <f t="shared" si="9"/>
        <v>Dépenses</v>
      </c>
    </row>
    <row r="169" spans="1:12" ht="15" customHeight="1" x14ac:dyDescent="0.2">
      <c r="A169" t="s">
        <v>2</v>
      </c>
      <c r="B169" t="s">
        <v>8</v>
      </c>
      <c r="D169" s="2">
        <v>43485</v>
      </c>
      <c r="E169" s="2">
        <f t="shared" si="12"/>
        <v>43535</v>
      </c>
      <c r="F169" t="s">
        <v>5</v>
      </c>
      <c r="G169" t="s">
        <v>5</v>
      </c>
      <c r="I169" t="s">
        <v>7</v>
      </c>
      <c r="J169" s="22">
        <v>-35.76</v>
      </c>
      <c r="K169" t="str">
        <f t="shared" si="8"/>
        <v>janvier</v>
      </c>
      <c r="L169" t="str">
        <f t="shared" si="9"/>
        <v>Dépenses</v>
      </c>
    </row>
    <row r="170" spans="1:12" x14ac:dyDescent="0.2">
      <c r="A170" t="s">
        <v>2</v>
      </c>
      <c r="B170" t="s">
        <v>3</v>
      </c>
      <c r="D170" s="2">
        <v>43485</v>
      </c>
      <c r="E170" s="2">
        <f t="shared" si="12"/>
        <v>43535</v>
      </c>
      <c r="F170" t="s">
        <v>5</v>
      </c>
      <c r="G170" t="s">
        <v>5</v>
      </c>
      <c r="H170" t="s">
        <v>223</v>
      </c>
      <c r="I170" t="s">
        <v>7</v>
      </c>
      <c r="J170" s="22">
        <v>-25.36</v>
      </c>
      <c r="K170" t="str">
        <f t="shared" si="8"/>
        <v>janvier</v>
      </c>
      <c r="L170" t="str">
        <f t="shared" si="9"/>
        <v>Dépenses</v>
      </c>
    </row>
    <row r="171" spans="1:12" x14ac:dyDescent="0.2">
      <c r="A171" t="s">
        <v>2</v>
      </c>
      <c r="B171" t="s">
        <v>8</v>
      </c>
      <c r="D171" s="2">
        <v>43486</v>
      </c>
      <c r="E171" s="2">
        <f t="shared" si="12"/>
        <v>43535</v>
      </c>
      <c r="F171" t="s">
        <v>273</v>
      </c>
      <c r="G171" t="s">
        <v>16</v>
      </c>
      <c r="H171" t="s">
        <v>274</v>
      </c>
      <c r="I171" t="s">
        <v>7</v>
      </c>
      <c r="J171" s="22">
        <v>-100</v>
      </c>
      <c r="K171" t="str">
        <f t="shared" si="8"/>
        <v>janvier</v>
      </c>
      <c r="L171" t="str">
        <f t="shared" si="9"/>
        <v>Dépenses</v>
      </c>
    </row>
    <row r="172" spans="1:12" x14ac:dyDescent="0.2">
      <c r="A172" t="s">
        <v>2</v>
      </c>
      <c r="B172" t="s">
        <v>8</v>
      </c>
      <c r="D172" s="2">
        <v>43486</v>
      </c>
      <c r="E172" s="2">
        <f t="shared" si="12"/>
        <v>43535</v>
      </c>
      <c r="F172" t="s">
        <v>275</v>
      </c>
      <c r="G172" t="s">
        <v>25</v>
      </c>
      <c r="H172" t="s">
        <v>276</v>
      </c>
      <c r="I172" t="s">
        <v>7</v>
      </c>
      <c r="J172" s="22">
        <v>-17.45</v>
      </c>
      <c r="K172" t="str">
        <f t="shared" si="8"/>
        <v>janvier</v>
      </c>
      <c r="L172" t="str">
        <f t="shared" si="9"/>
        <v>Dépenses</v>
      </c>
    </row>
    <row r="173" spans="1:12" x14ac:dyDescent="0.2">
      <c r="A173" t="s">
        <v>108</v>
      </c>
      <c r="B173" t="s">
        <v>109</v>
      </c>
      <c r="D173" s="2">
        <v>43486</v>
      </c>
      <c r="E173" s="2">
        <f t="shared" si="12"/>
        <v>43486</v>
      </c>
      <c r="F173" t="s">
        <v>277</v>
      </c>
      <c r="G173" t="s">
        <v>5</v>
      </c>
      <c r="H173" t="s">
        <v>23</v>
      </c>
      <c r="I173" t="s">
        <v>7</v>
      </c>
      <c r="J173" s="22">
        <v>-2.9</v>
      </c>
      <c r="K173" t="str">
        <f t="shared" si="8"/>
        <v>janvier</v>
      </c>
      <c r="L173" t="str">
        <f t="shared" si="9"/>
        <v>Dépenses</v>
      </c>
    </row>
    <row r="174" spans="1:12" x14ac:dyDescent="0.2">
      <c r="A174" t="s">
        <v>108</v>
      </c>
      <c r="B174" t="s">
        <v>109</v>
      </c>
      <c r="D174" s="2">
        <v>43486</v>
      </c>
      <c r="E174" s="2">
        <f t="shared" si="12"/>
        <v>43486</v>
      </c>
      <c r="F174" t="s">
        <v>278</v>
      </c>
      <c r="G174" t="s">
        <v>111</v>
      </c>
      <c r="H174" t="s">
        <v>178</v>
      </c>
      <c r="I174" t="s">
        <v>7</v>
      </c>
      <c r="J174" s="22">
        <v>-17.850000000000001</v>
      </c>
      <c r="K174" t="str">
        <f t="shared" si="8"/>
        <v>janvier</v>
      </c>
      <c r="L174" t="str">
        <f t="shared" si="9"/>
        <v>Dépenses</v>
      </c>
    </row>
    <row r="175" spans="1:12" x14ac:dyDescent="0.2">
      <c r="A175" t="s">
        <v>2</v>
      </c>
      <c r="B175" t="s">
        <v>8</v>
      </c>
      <c r="D175" s="2">
        <v>43487</v>
      </c>
      <c r="E175" s="2">
        <f t="shared" si="12"/>
        <v>43535</v>
      </c>
      <c r="F175" t="s">
        <v>279</v>
      </c>
      <c r="G175" t="s">
        <v>16</v>
      </c>
      <c r="H175" t="s">
        <v>260</v>
      </c>
      <c r="I175" t="s">
        <v>7</v>
      </c>
      <c r="J175" s="22">
        <v>-14.99</v>
      </c>
      <c r="K175" t="str">
        <f t="shared" si="8"/>
        <v>janvier</v>
      </c>
      <c r="L175" t="str">
        <f t="shared" si="9"/>
        <v>Dépenses</v>
      </c>
    </row>
    <row r="176" spans="1:12" x14ac:dyDescent="0.2">
      <c r="A176" t="s">
        <v>2</v>
      </c>
      <c r="B176" t="s">
        <v>8</v>
      </c>
      <c r="D176" s="2">
        <v>43487</v>
      </c>
      <c r="E176" s="2">
        <f t="shared" si="12"/>
        <v>43535</v>
      </c>
      <c r="F176" t="s">
        <v>5</v>
      </c>
      <c r="G176" t="s">
        <v>5</v>
      </c>
      <c r="H176" t="s">
        <v>50</v>
      </c>
      <c r="I176" t="s">
        <v>7</v>
      </c>
      <c r="J176" s="22">
        <v>-44.65</v>
      </c>
      <c r="K176" t="str">
        <f t="shared" si="8"/>
        <v>janvier</v>
      </c>
      <c r="L176" t="str">
        <f t="shared" si="9"/>
        <v>Dépenses</v>
      </c>
    </row>
    <row r="177" spans="1:12" x14ac:dyDescent="0.2">
      <c r="A177" t="s">
        <v>2</v>
      </c>
      <c r="B177" t="s">
        <v>8</v>
      </c>
      <c r="D177" s="2">
        <v>43488</v>
      </c>
      <c r="E177" s="2">
        <f t="shared" si="12"/>
        <v>43535</v>
      </c>
      <c r="F177" t="s">
        <v>32</v>
      </c>
      <c r="G177" t="s">
        <v>5</v>
      </c>
      <c r="H177" t="s">
        <v>22</v>
      </c>
      <c r="I177" t="s">
        <v>7</v>
      </c>
      <c r="J177" s="22">
        <v>-4.05</v>
      </c>
      <c r="K177" t="str">
        <f t="shared" si="8"/>
        <v>janvier</v>
      </c>
      <c r="L177" t="str">
        <f t="shared" si="9"/>
        <v>Dépenses</v>
      </c>
    </row>
    <row r="178" spans="1:12" x14ac:dyDescent="0.2">
      <c r="A178" t="s">
        <v>2</v>
      </c>
      <c r="B178" t="s">
        <v>3</v>
      </c>
      <c r="C178" t="s">
        <v>280</v>
      </c>
      <c r="D178" s="2">
        <v>43488</v>
      </c>
      <c r="E178" s="2">
        <f t="shared" si="12"/>
        <v>43535</v>
      </c>
      <c r="F178" t="s">
        <v>281</v>
      </c>
      <c r="G178" t="s">
        <v>49</v>
      </c>
      <c r="H178" t="s">
        <v>23</v>
      </c>
      <c r="I178" t="s">
        <v>7</v>
      </c>
      <c r="J178" s="22">
        <v>-4.32</v>
      </c>
      <c r="K178" t="str">
        <f t="shared" si="8"/>
        <v>janvier</v>
      </c>
      <c r="L178" t="str">
        <f t="shared" si="9"/>
        <v>Dépenses</v>
      </c>
    </row>
    <row r="179" spans="1:12" x14ac:dyDescent="0.2">
      <c r="A179" t="s">
        <v>2</v>
      </c>
      <c r="B179" t="s">
        <v>3</v>
      </c>
      <c r="C179" t="s">
        <v>280</v>
      </c>
      <c r="D179" s="2">
        <v>43488</v>
      </c>
      <c r="E179" s="2">
        <f t="shared" si="12"/>
        <v>43535</v>
      </c>
      <c r="F179" t="s">
        <v>5</v>
      </c>
      <c r="G179" t="s">
        <v>5</v>
      </c>
      <c r="H179" t="s">
        <v>23</v>
      </c>
      <c r="I179" t="s">
        <v>7</v>
      </c>
      <c r="J179" s="22">
        <f>-53.16--4.32</f>
        <v>-48.839999999999996</v>
      </c>
      <c r="K179" t="str">
        <f t="shared" si="8"/>
        <v>janvier</v>
      </c>
      <c r="L179" t="str">
        <f t="shared" si="9"/>
        <v>Dépenses</v>
      </c>
    </row>
    <row r="180" spans="1:12" x14ac:dyDescent="0.2">
      <c r="A180" t="s">
        <v>108</v>
      </c>
      <c r="B180" t="s">
        <v>109</v>
      </c>
      <c r="D180" s="2">
        <v>43488</v>
      </c>
      <c r="E180" s="2">
        <f t="shared" si="12"/>
        <v>43488</v>
      </c>
      <c r="F180" t="s">
        <v>282</v>
      </c>
      <c r="G180" t="s">
        <v>5</v>
      </c>
      <c r="H180" t="s">
        <v>33</v>
      </c>
      <c r="I180" t="s">
        <v>7</v>
      </c>
      <c r="J180" s="22">
        <v>-6.05</v>
      </c>
      <c r="K180" t="str">
        <f t="shared" si="8"/>
        <v>janvier</v>
      </c>
      <c r="L180" t="str">
        <f t="shared" si="9"/>
        <v>Dépenses</v>
      </c>
    </row>
    <row r="181" spans="1:12" x14ac:dyDescent="0.2">
      <c r="A181" t="s">
        <v>108</v>
      </c>
      <c r="B181" t="s">
        <v>109</v>
      </c>
      <c r="D181" s="2">
        <v>43488</v>
      </c>
      <c r="E181" s="2">
        <f t="shared" si="12"/>
        <v>43488</v>
      </c>
      <c r="F181" t="s">
        <v>283</v>
      </c>
      <c r="G181" t="s">
        <v>5</v>
      </c>
      <c r="H181" t="s">
        <v>23</v>
      </c>
      <c r="I181" t="s">
        <v>7</v>
      </c>
      <c r="J181" s="22">
        <v>-15.3</v>
      </c>
      <c r="K181" t="str">
        <f t="shared" si="8"/>
        <v>janvier</v>
      </c>
      <c r="L181" t="str">
        <f t="shared" si="9"/>
        <v>Dépenses</v>
      </c>
    </row>
    <row r="182" spans="1:12" x14ac:dyDescent="0.2">
      <c r="A182" t="s">
        <v>2</v>
      </c>
      <c r="B182" t="s">
        <v>8</v>
      </c>
      <c r="D182" s="2">
        <v>43489</v>
      </c>
      <c r="E182" s="2">
        <f t="shared" si="12"/>
        <v>43535</v>
      </c>
      <c r="F182" t="s">
        <v>286</v>
      </c>
      <c r="G182" t="s">
        <v>115</v>
      </c>
      <c r="H182" t="s">
        <v>114</v>
      </c>
      <c r="I182" t="s">
        <v>7</v>
      </c>
      <c r="J182" s="22">
        <v>-49</v>
      </c>
      <c r="K182" t="str">
        <f t="shared" si="8"/>
        <v>janvier</v>
      </c>
      <c r="L182" t="str">
        <f t="shared" si="9"/>
        <v>Dépenses</v>
      </c>
    </row>
    <row r="183" spans="1:12" x14ac:dyDescent="0.2">
      <c r="A183" t="s">
        <v>2</v>
      </c>
      <c r="B183" t="s">
        <v>8</v>
      </c>
      <c r="D183" s="2">
        <v>43489</v>
      </c>
      <c r="E183" s="2">
        <f t="shared" si="12"/>
        <v>43535</v>
      </c>
      <c r="F183" t="s">
        <v>5</v>
      </c>
      <c r="G183" t="s">
        <v>5</v>
      </c>
      <c r="H183" t="s">
        <v>223</v>
      </c>
      <c r="I183" t="s">
        <v>7</v>
      </c>
      <c r="J183" s="22">
        <v>-8.89</v>
      </c>
      <c r="K183" t="str">
        <f t="shared" si="8"/>
        <v>janvier</v>
      </c>
      <c r="L183" t="str">
        <f t="shared" si="9"/>
        <v>Dépenses</v>
      </c>
    </row>
    <row r="184" spans="1:12" x14ac:dyDescent="0.2">
      <c r="A184" t="s">
        <v>2</v>
      </c>
      <c r="B184" t="s">
        <v>3</v>
      </c>
      <c r="D184" s="2">
        <v>43489</v>
      </c>
      <c r="E184" s="2">
        <f t="shared" si="12"/>
        <v>43535</v>
      </c>
      <c r="F184" t="s">
        <v>5</v>
      </c>
      <c r="G184" t="s">
        <v>5</v>
      </c>
      <c r="H184" t="s">
        <v>23</v>
      </c>
      <c r="I184" t="s">
        <v>7</v>
      </c>
      <c r="J184" s="22">
        <v>-13.92</v>
      </c>
      <c r="K184" t="str">
        <f t="shared" si="8"/>
        <v>janvier</v>
      </c>
      <c r="L184" t="str">
        <f t="shared" si="9"/>
        <v>Dépenses</v>
      </c>
    </row>
    <row r="185" spans="1:12" x14ac:dyDescent="0.2">
      <c r="A185" t="s">
        <v>108</v>
      </c>
      <c r="B185" t="s">
        <v>109</v>
      </c>
      <c r="D185" s="2">
        <v>43489</v>
      </c>
      <c r="E185" s="2">
        <f t="shared" si="12"/>
        <v>43489</v>
      </c>
      <c r="F185" t="s">
        <v>289</v>
      </c>
      <c r="G185" t="s">
        <v>5</v>
      </c>
      <c r="H185" t="s">
        <v>223</v>
      </c>
      <c r="I185" t="s">
        <v>7</v>
      </c>
      <c r="J185" s="22">
        <v>-3</v>
      </c>
      <c r="K185" t="str">
        <f t="shared" si="8"/>
        <v>janvier</v>
      </c>
      <c r="L185" t="str">
        <f t="shared" si="9"/>
        <v>Dépenses</v>
      </c>
    </row>
    <row r="186" spans="1:12" x14ac:dyDescent="0.2">
      <c r="A186" t="s">
        <v>108</v>
      </c>
      <c r="B186" t="s">
        <v>109</v>
      </c>
      <c r="C186" t="s">
        <v>268</v>
      </c>
      <c r="D186" s="2">
        <v>43489</v>
      </c>
      <c r="E186" s="2">
        <f>IF(B186="","",IF(B186&lt;&gt;"Carte Lux",D186,VLOOKUP(D186,Periode_datedebit_2019,3)))</f>
        <v>43489</v>
      </c>
      <c r="F186" t="s">
        <v>21</v>
      </c>
      <c r="G186" t="s">
        <v>21</v>
      </c>
      <c r="H186" t="s">
        <v>64</v>
      </c>
      <c r="I186" t="s">
        <v>7</v>
      </c>
      <c r="J186" s="22">
        <v>-14.7</v>
      </c>
      <c r="K186" t="str">
        <f t="shared" si="8"/>
        <v>janvier</v>
      </c>
      <c r="L186" t="str">
        <f t="shared" si="9"/>
        <v>Dépenses</v>
      </c>
    </row>
    <row r="187" spans="1:12" x14ac:dyDescent="0.2">
      <c r="A187" t="s">
        <v>108</v>
      </c>
      <c r="B187" t="s">
        <v>287</v>
      </c>
      <c r="C187">
        <v>1155072</v>
      </c>
      <c r="D187" s="2">
        <v>43489</v>
      </c>
      <c r="E187" s="2">
        <f t="shared" ref="E187:E193" si="13">IF(A187="","",IF(A187&lt;&gt;"Carte Lux",D187,VLOOKUP(D187,Periode_datedebit_2019,3)))</f>
        <v>43489</v>
      </c>
      <c r="F187" t="s">
        <v>288</v>
      </c>
      <c r="G187" t="s">
        <v>25</v>
      </c>
      <c r="H187" t="s">
        <v>124</v>
      </c>
      <c r="I187" t="s">
        <v>7</v>
      </c>
      <c r="J187" s="22">
        <v>-36</v>
      </c>
      <c r="K187" t="str">
        <f t="shared" si="8"/>
        <v>janvier</v>
      </c>
      <c r="L187" t="str">
        <f t="shared" si="9"/>
        <v>Dépenses</v>
      </c>
    </row>
    <row r="188" spans="1:12" ht="15" customHeight="1" x14ac:dyDescent="0.2">
      <c r="A188" t="s">
        <v>69</v>
      </c>
      <c r="B188" s="4" t="s">
        <v>70</v>
      </c>
      <c r="C188" s="8" t="s">
        <v>284</v>
      </c>
      <c r="D188" s="2">
        <v>43489</v>
      </c>
      <c r="E188" s="2">
        <f t="shared" si="13"/>
        <v>43489</v>
      </c>
      <c r="F188" t="s">
        <v>285</v>
      </c>
      <c r="G188" t="s">
        <v>199</v>
      </c>
      <c r="H188" t="s">
        <v>74</v>
      </c>
      <c r="I188" t="s">
        <v>7</v>
      </c>
      <c r="J188" s="23">
        <v>3317.89</v>
      </c>
      <c r="K188" t="str">
        <f t="shared" si="8"/>
        <v>janvier</v>
      </c>
      <c r="L188" t="str">
        <f t="shared" si="9"/>
        <v>Recettes</v>
      </c>
    </row>
    <row r="189" spans="1:12" x14ac:dyDescent="0.2">
      <c r="A189" t="s">
        <v>2</v>
      </c>
      <c r="B189" t="s">
        <v>8</v>
      </c>
      <c r="D189" s="2">
        <v>43490</v>
      </c>
      <c r="E189" s="2">
        <f t="shared" si="13"/>
        <v>43535</v>
      </c>
      <c r="F189" t="s">
        <v>293</v>
      </c>
      <c r="G189" t="s">
        <v>111</v>
      </c>
      <c r="H189" t="s">
        <v>294</v>
      </c>
      <c r="I189" t="s">
        <v>7</v>
      </c>
      <c r="J189" s="22">
        <v>-19.72</v>
      </c>
      <c r="K189" t="str">
        <f t="shared" si="8"/>
        <v>janvier</v>
      </c>
      <c r="L189" t="str">
        <f t="shared" si="9"/>
        <v>Dépenses</v>
      </c>
    </row>
    <row r="190" spans="1:12" ht="11.25" customHeight="1" x14ac:dyDescent="0.2">
      <c r="A190" t="s">
        <v>2</v>
      </c>
      <c r="B190" t="s">
        <v>8</v>
      </c>
      <c r="D190" s="2">
        <v>43490</v>
      </c>
      <c r="E190" s="2">
        <f t="shared" si="13"/>
        <v>43535</v>
      </c>
      <c r="F190" t="s">
        <v>296</v>
      </c>
      <c r="G190" t="s">
        <v>111</v>
      </c>
      <c r="H190" t="s">
        <v>297</v>
      </c>
      <c r="I190" t="s">
        <v>7</v>
      </c>
      <c r="J190" s="22">
        <v>-50.4</v>
      </c>
      <c r="K190" t="str">
        <f t="shared" si="8"/>
        <v>janvier</v>
      </c>
      <c r="L190" t="str">
        <f t="shared" si="9"/>
        <v>Dépenses</v>
      </c>
    </row>
    <row r="191" spans="1:12" ht="11.25" customHeight="1" x14ac:dyDescent="0.2">
      <c r="A191" t="s">
        <v>2</v>
      </c>
      <c r="B191" t="s">
        <v>3</v>
      </c>
      <c r="C191" s="7" t="s">
        <v>302</v>
      </c>
      <c r="D191" s="2">
        <v>43490</v>
      </c>
      <c r="E191" s="2">
        <f t="shared" si="13"/>
        <v>43535</v>
      </c>
      <c r="F191" t="s">
        <v>32</v>
      </c>
      <c r="G191" t="s">
        <v>5</v>
      </c>
      <c r="H191" t="s">
        <v>23</v>
      </c>
      <c r="I191" t="s">
        <v>7</v>
      </c>
      <c r="J191" s="22">
        <f>-0.79-0.5-1.68-2.24</f>
        <v>-5.21</v>
      </c>
      <c r="K191" t="str">
        <f t="shared" si="8"/>
        <v>janvier</v>
      </c>
      <c r="L191" t="str">
        <f t="shared" si="9"/>
        <v>Dépenses</v>
      </c>
    </row>
    <row r="192" spans="1:12" x14ac:dyDescent="0.2">
      <c r="A192" t="s">
        <v>2</v>
      </c>
      <c r="B192" t="s">
        <v>3</v>
      </c>
      <c r="C192" s="7" t="s">
        <v>302</v>
      </c>
      <c r="D192" s="2">
        <v>43490</v>
      </c>
      <c r="E192" s="2">
        <f t="shared" si="13"/>
        <v>43535</v>
      </c>
      <c r="F192" t="s">
        <v>303</v>
      </c>
      <c r="G192" t="s">
        <v>49</v>
      </c>
      <c r="H192" t="s">
        <v>23</v>
      </c>
      <c r="I192" t="s">
        <v>7</v>
      </c>
      <c r="J192" s="22">
        <f>-4.15*2--1.64-2.96-3.99-3.11-2.86</f>
        <v>-19.580000000000002</v>
      </c>
      <c r="K192" t="str">
        <f t="shared" si="8"/>
        <v>janvier</v>
      </c>
      <c r="L192" t="str">
        <f t="shared" si="9"/>
        <v>Dépenses</v>
      </c>
    </row>
    <row r="193" spans="1:12" x14ac:dyDescent="0.2">
      <c r="A193" t="s">
        <v>2</v>
      </c>
      <c r="B193" t="s">
        <v>3</v>
      </c>
      <c r="C193" s="7" t="s">
        <v>302</v>
      </c>
      <c r="D193" s="2">
        <v>43490</v>
      </c>
      <c r="E193" s="2">
        <f t="shared" si="13"/>
        <v>43535</v>
      </c>
      <c r="F193" t="s">
        <v>5</v>
      </c>
      <c r="G193" t="s">
        <v>5</v>
      </c>
      <c r="H193" t="s">
        <v>23</v>
      </c>
      <c r="I193" t="s">
        <v>7</v>
      </c>
      <c r="J193" s="22">
        <f>-124.1--19.58--5.21</f>
        <v>-99.31</v>
      </c>
      <c r="K193" t="str">
        <f t="shared" si="8"/>
        <v>janvier</v>
      </c>
      <c r="L193" t="str">
        <f t="shared" si="9"/>
        <v>Dépenses</v>
      </c>
    </row>
    <row r="194" spans="1:12" ht="15" customHeight="1" x14ac:dyDescent="0.2">
      <c r="A194" t="s">
        <v>108</v>
      </c>
      <c r="B194" t="s">
        <v>109</v>
      </c>
      <c r="C194" s="5" t="s">
        <v>298</v>
      </c>
      <c r="D194" s="2">
        <v>43490</v>
      </c>
      <c r="E194" s="2">
        <v>43494</v>
      </c>
      <c r="F194" t="s">
        <v>299</v>
      </c>
      <c r="G194" t="s">
        <v>86</v>
      </c>
      <c r="H194" t="s">
        <v>87</v>
      </c>
      <c r="I194" t="s">
        <v>7</v>
      </c>
      <c r="J194" s="22">
        <v>-0.62</v>
      </c>
      <c r="K194" t="str">
        <f t="shared" ref="K194:K257" si="14">IF(D194="","",TEXT(D194,"Mmmm"))</f>
        <v>janvier</v>
      </c>
      <c r="L194" t="str">
        <f t="shared" ref="L194:L257" si="15">IF(J194="","",IF(J194&lt;0,"Dépenses","Recettes"))</f>
        <v>Dépenses</v>
      </c>
    </row>
    <row r="195" spans="1:12" x14ac:dyDescent="0.2">
      <c r="A195" t="s">
        <v>108</v>
      </c>
      <c r="B195" t="s">
        <v>109</v>
      </c>
      <c r="C195" s="5" t="s">
        <v>298</v>
      </c>
      <c r="D195" s="2">
        <v>43490</v>
      </c>
      <c r="E195" s="2">
        <v>43494</v>
      </c>
      <c r="F195" t="s">
        <v>300</v>
      </c>
      <c r="G195" t="s">
        <v>16</v>
      </c>
      <c r="H195" t="s">
        <v>301</v>
      </c>
      <c r="I195" t="s">
        <v>7</v>
      </c>
      <c r="J195" s="22">
        <v>-156.66</v>
      </c>
      <c r="K195" t="str">
        <f t="shared" si="14"/>
        <v>janvier</v>
      </c>
      <c r="L195" t="str">
        <f t="shared" si="15"/>
        <v>Dépenses</v>
      </c>
    </row>
    <row r="196" spans="1:12" x14ac:dyDescent="0.2">
      <c r="A196" t="s">
        <v>108</v>
      </c>
      <c r="B196" t="s">
        <v>109</v>
      </c>
      <c r="D196" s="2">
        <v>43490</v>
      </c>
      <c r="E196" s="2">
        <f t="shared" ref="E196:E227" si="16">IF(A196="","",IF(A196&lt;&gt;"Carte Lux",D196,VLOOKUP(D196,Periode_datedebit_2019,3)))</f>
        <v>43490</v>
      </c>
      <c r="F196" t="s">
        <v>295</v>
      </c>
      <c r="G196" t="s">
        <v>5</v>
      </c>
      <c r="H196" t="s">
        <v>23</v>
      </c>
      <c r="I196" t="s">
        <v>7</v>
      </c>
      <c r="J196" s="22">
        <v>-10.45</v>
      </c>
      <c r="K196" t="str">
        <f t="shared" si="14"/>
        <v>janvier</v>
      </c>
      <c r="L196" t="str">
        <f t="shared" si="15"/>
        <v>Dépenses</v>
      </c>
    </row>
    <row r="197" spans="1:12" x14ac:dyDescent="0.2">
      <c r="A197" t="s">
        <v>69</v>
      </c>
      <c r="B197" t="s">
        <v>137</v>
      </c>
      <c r="C197" s="7" t="s">
        <v>290</v>
      </c>
      <c r="D197" s="2">
        <v>43490</v>
      </c>
      <c r="E197" s="2">
        <f t="shared" si="16"/>
        <v>43490</v>
      </c>
      <c r="F197" t="s">
        <v>291</v>
      </c>
      <c r="G197" t="s">
        <v>79</v>
      </c>
      <c r="H197" t="s">
        <v>292</v>
      </c>
      <c r="I197" t="s">
        <v>7</v>
      </c>
      <c r="J197" s="22">
        <v>-2.38</v>
      </c>
      <c r="K197" t="str">
        <f t="shared" si="14"/>
        <v>janvier</v>
      </c>
      <c r="L197" t="str">
        <f t="shared" si="15"/>
        <v>Dépenses</v>
      </c>
    </row>
    <row r="198" spans="1:12" ht="11.25" customHeight="1" x14ac:dyDescent="0.2">
      <c r="A198" t="s">
        <v>77</v>
      </c>
      <c r="B198" t="s">
        <v>113</v>
      </c>
      <c r="D198" s="2">
        <v>43490</v>
      </c>
      <c r="E198" s="2">
        <f t="shared" si="16"/>
        <v>43490</v>
      </c>
      <c r="F198" t="s">
        <v>295</v>
      </c>
      <c r="G198" t="s">
        <v>5</v>
      </c>
      <c r="H198" t="s">
        <v>50</v>
      </c>
      <c r="I198" t="s">
        <v>77</v>
      </c>
      <c r="J198" s="22">
        <v>-5.39</v>
      </c>
      <c r="K198" t="str">
        <f t="shared" si="14"/>
        <v>janvier</v>
      </c>
      <c r="L198" t="str">
        <f t="shared" si="15"/>
        <v>Dépenses</v>
      </c>
    </row>
    <row r="199" spans="1:12" x14ac:dyDescent="0.2">
      <c r="A199" t="s">
        <v>2</v>
      </c>
      <c r="B199" t="s">
        <v>3</v>
      </c>
      <c r="C199" t="s">
        <v>304</v>
      </c>
      <c r="D199" s="2">
        <v>43491</v>
      </c>
      <c r="E199" s="2">
        <f t="shared" si="16"/>
        <v>43535</v>
      </c>
      <c r="F199" t="s">
        <v>305</v>
      </c>
      <c r="G199" t="s">
        <v>49</v>
      </c>
      <c r="H199" t="s">
        <v>6</v>
      </c>
      <c r="I199" t="s">
        <v>7</v>
      </c>
      <c r="J199" s="22">
        <v>-10.1</v>
      </c>
      <c r="K199" t="str">
        <f t="shared" si="14"/>
        <v>janvier</v>
      </c>
      <c r="L199" t="str">
        <f t="shared" si="15"/>
        <v>Dépenses</v>
      </c>
    </row>
    <row r="200" spans="1:12" ht="15" customHeight="1" x14ac:dyDescent="0.2">
      <c r="A200" t="s">
        <v>2</v>
      </c>
      <c r="B200" t="s">
        <v>3</v>
      </c>
      <c r="C200" t="s">
        <v>304</v>
      </c>
      <c r="D200" s="2">
        <v>43491</v>
      </c>
      <c r="E200" s="2">
        <f t="shared" si="16"/>
        <v>43535</v>
      </c>
      <c r="F200" t="s">
        <v>5</v>
      </c>
      <c r="G200" t="s">
        <v>5</v>
      </c>
      <c r="H200" t="s">
        <v>6</v>
      </c>
      <c r="I200" t="s">
        <v>7</v>
      </c>
      <c r="J200" s="22">
        <f>-52.29--10.1</f>
        <v>-42.19</v>
      </c>
      <c r="K200" t="str">
        <f t="shared" si="14"/>
        <v>janvier</v>
      </c>
      <c r="L200" t="str">
        <f t="shared" si="15"/>
        <v>Dépenses</v>
      </c>
    </row>
    <row r="201" spans="1:12" ht="15" customHeight="1" x14ac:dyDescent="0.2">
      <c r="A201" t="s">
        <v>2</v>
      </c>
      <c r="B201" t="s">
        <v>8</v>
      </c>
      <c r="D201" s="2">
        <v>43492</v>
      </c>
      <c r="E201" s="2">
        <f t="shared" si="16"/>
        <v>43535</v>
      </c>
      <c r="F201" t="s">
        <v>32</v>
      </c>
      <c r="G201" t="s">
        <v>5</v>
      </c>
      <c r="H201" t="s">
        <v>33</v>
      </c>
      <c r="I201" t="s">
        <v>7</v>
      </c>
      <c r="J201" s="22">
        <v>-5.3</v>
      </c>
      <c r="K201" t="str">
        <f t="shared" si="14"/>
        <v>janvier</v>
      </c>
      <c r="L201" t="str">
        <f t="shared" si="15"/>
        <v>Dépenses</v>
      </c>
    </row>
    <row r="202" spans="1:12" x14ac:dyDescent="0.2">
      <c r="A202" t="s">
        <v>2</v>
      </c>
      <c r="B202" t="s">
        <v>8</v>
      </c>
      <c r="D202" s="2">
        <v>43492</v>
      </c>
      <c r="E202" s="2">
        <f t="shared" si="16"/>
        <v>43535</v>
      </c>
      <c r="F202" t="s">
        <v>306</v>
      </c>
      <c r="G202" t="s">
        <v>5</v>
      </c>
      <c r="H202" t="s">
        <v>152</v>
      </c>
      <c r="I202" t="s">
        <v>7</v>
      </c>
      <c r="J202" s="22">
        <v>-11.4</v>
      </c>
      <c r="K202" t="str">
        <f t="shared" si="14"/>
        <v>janvier</v>
      </c>
      <c r="L202" t="str">
        <f t="shared" si="15"/>
        <v>Dépenses</v>
      </c>
    </row>
    <row r="203" spans="1:12" x14ac:dyDescent="0.2">
      <c r="A203" t="s">
        <v>94</v>
      </c>
      <c r="B203" s="4" t="s">
        <v>84</v>
      </c>
      <c r="D203" s="2">
        <v>43492</v>
      </c>
      <c r="E203" s="2">
        <f t="shared" si="16"/>
        <v>43492</v>
      </c>
      <c r="F203" t="s">
        <v>180</v>
      </c>
      <c r="G203" t="s">
        <v>307</v>
      </c>
      <c r="H203" t="s">
        <v>108</v>
      </c>
      <c r="I203" t="s">
        <v>7</v>
      </c>
      <c r="J203" s="22">
        <v>-250</v>
      </c>
      <c r="K203" t="str">
        <f t="shared" si="14"/>
        <v>janvier</v>
      </c>
      <c r="L203" t="str">
        <f t="shared" si="15"/>
        <v>Dépenses</v>
      </c>
    </row>
    <row r="204" spans="1:12" x14ac:dyDescent="0.2">
      <c r="A204" t="s">
        <v>108</v>
      </c>
      <c r="B204" s="4" t="s">
        <v>84</v>
      </c>
      <c r="D204" s="2">
        <v>43492</v>
      </c>
      <c r="E204" s="2">
        <f t="shared" si="16"/>
        <v>43492</v>
      </c>
      <c r="F204" t="s">
        <v>180</v>
      </c>
      <c r="G204" t="s">
        <v>307</v>
      </c>
      <c r="H204" t="s">
        <v>94</v>
      </c>
      <c r="I204" t="s">
        <v>7</v>
      </c>
      <c r="J204" s="22">
        <v>250</v>
      </c>
      <c r="K204" t="str">
        <f t="shared" si="14"/>
        <v>janvier</v>
      </c>
      <c r="L204" t="str">
        <f t="shared" si="15"/>
        <v>Recettes</v>
      </c>
    </row>
    <row r="205" spans="1:12" x14ac:dyDescent="0.2">
      <c r="A205" t="s">
        <v>2</v>
      </c>
      <c r="B205" t="s">
        <v>8</v>
      </c>
      <c r="D205" s="2">
        <v>43493</v>
      </c>
      <c r="E205" s="2">
        <f t="shared" si="16"/>
        <v>43535</v>
      </c>
      <c r="F205" t="s">
        <v>131</v>
      </c>
      <c r="G205" t="s">
        <v>263</v>
      </c>
      <c r="H205" t="s">
        <v>64</v>
      </c>
      <c r="I205" t="s">
        <v>7</v>
      </c>
      <c r="J205" s="22">
        <v>-54.87</v>
      </c>
      <c r="K205" t="str">
        <f t="shared" si="14"/>
        <v>janvier</v>
      </c>
      <c r="L205" t="str">
        <f t="shared" si="15"/>
        <v>Dépenses</v>
      </c>
    </row>
    <row r="206" spans="1:12" x14ac:dyDescent="0.2">
      <c r="A206" t="s">
        <v>2</v>
      </c>
      <c r="B206" t="s">
        <v>8</v>
      </c>
      <c r="D206" s="2">
        <v>43493</v>
      </c>
      <c r="E206" s="2">
        <f t="shared" si="16"/>
        <v>43535</v>
      </c>
      <c r="F206" t="s">
        <v>310</v>
      </c>
      <c r="G206" t="s">
        <v>115</v>
      </c>
      <c r="H206" t="s">
        <v>114</v>
      </c>
      <c r="I206" t="s">
        <v>7</v>
      </c>
      <c r="J206" s="22">
        <v>-24</v>
      </c>
      <c r="K206" t="str">
        <f t="shared" si="14"/>
        <v>janvier</v>
      </c>
      <c r="L206" t="str">
        <f t="shared" si="15"/>
        <v>Dépenses</v>
      </c>
    </row>
    <row r="207" spans="1:12" x14ac:dyDescent="0.2">
      <c r="A207" t="s">
        <v>108</v>
      </c>
      <c r="B207" t="s">
        <v>109</v>
      </c>
      <c r="C207" t="s">
        <v>308</v>
      </c>
      <c r="D207" s="2">
        <v>43493</v>
      </c>
      <c r="E207" s="2">
        <f t="shared" si="16"/>
        <v>43493</v>
      </c>
      <c r="F207" t="s">
        <v>309</v>
      </c>
      <c r="G207" t="s">
        <v>49</v>
      </c>
      <c r="H207" t="s">
        <v>23</v>
      </c>
      <c r="I207" t="s">
        <v>7</v>
      </c>
      <c r="J207" s="22">
        <f>-1.5-1.64-1.64</f>
        <v>-4.7799999999999994</v>
      </c>
      <c r="K207" t="str">
        <f t="shared" si="14"/>
        <v>janvier</v>
      </c>
      <c r="L207" t="str">
        <f t="shared" si="15"/>
        <v>Dépenses</v>
      </c>
    </row>
    <row r="208" spans="1:12" x14ac:dyDescent="0.2">
      <c r="A208" t="s">
        <v>108</v>
      </c>
      <c r="B208" t="s">
        <v>109</v>
      </c>
      <c r="C208" t="s">
        <v>308</v>
      </c>
      <c r="D208" s="2">
        <v>43493</v>
      </c>
      <c r="E208" s="2">
        <f t="shared" si="16"/>
        <v>43493</v>
      </c>
      <c r="F208" t="s">
        <v>5</v>
      </c>
      <c r="G208" t="s">
        <v>5</v>
      </c>
      <c r="H208" t="s">
        <v>23</v>
      </c>
      <c r="I208" t="s">
        <v>7</v>
      </c>
      <c r="J208" s="22">
        <f>-42.8--4.78</f>
        <v>-38.019999999999996</v>
      </c>
      <c r="K208" t="str">
        <f t="shared" si="14"/>
        <v>janvier</v>
      </c>
      <c r="L208" t="str">
        <f t="shared" si="15"/>
        <v>Dépenses</v>
      </c>
    </row>
    <row r="209" spans="1:12" x14ac:dyDescent="0.2">
      <c r="A209" t="s">
        <v>108</v>
      </c>
      <c r="B209" t="s">
        <v>109</v>
      </c>
      <c r="D209" s="2">
        <v>43493</v>
      </c>
      <c r="E209" s="2">
        <f t="shared" si="16"/>
        <v>43493</v>
      </c>
      <c r="F209" t="s">
        <v>5</v>
      </c>
      <c r="G209" t="s">
        <v>5</v>
      </c>
      <c r="H209" t="s">
        <v>223</v>
      </c>
      <c r="I209" t="s">
        <v>7</v>
      </c>
      <c r="J209" s="22">
        <v>-2.1</v>
      </c>
      <c r="K209" t="str">
        <f t="shared" si="14"/>
        <v>janvier</v>
      </c>
      <c r="L209" t="str">
        <f t="shared" si="15"/>
        <v>Dépenses</v>
      </c>
    </row>
    <row r="210" spans="1:12" x14ac:dyDescent="0.2">
      <c r="A210" t="s">
        <v>69</v>
      </c>
      <c r="B210" s="4" t="s">
        <v>84</v>
      </c>
      <c r="D210" s="2">
        <v>43493</v>
      </c>
      <c r="E210" s="2">
        <f t="shared" si="16"/>
        <v>43493</v>
      </c>
      <c r="F210" t="s">
        <v>311</v>
      </c>
      <c r="G210" t="s">
        <v>144</v>
      </c>
      <c r="H210" t="s">
        <v>11</v>
      </c>
      <c r="I210" t="s">
        <v>7</v>
      </c>
      <c r="J210" s="22">
        <v>3545.96</v>
      </c>
      <c r="K210" t="str">
        <f t="shared" si="14"/>
        <v>janvier</v>
      </c>
      <c r="L210" t="str">
        <f t="shared" si="15"/>
        <v>Recettes</v>
      </c>
    </row>
    <row r="211" spans="1:12" x14ac:dyDescent="0.2">
      <c r="A211" t="s">
        <v>2</v>
      </c>
      <c r="B211" t="s">
        <v>8</v>
      </c>
      <c r="D211" s="2">
        <v>43494</v>
      </c>
      <c r="E211" s="2">
        <f t="shared" si="16"/>
        <v>43535</v>
      </c>
      <c r="F211" t="s">
        <v>312</v>
      </c>
      <c r="G211" t="s">
        <v>111</v>
      </c>
      <c r="I211" t="s">
        <v>7</v>
      </c>
      <c r="J211" s="22">
        <v>-70</v>
      </c>
      <c r="K211" t="str">
        <f t="shared" si="14"/>
        <v>janvier</v>
      </c>
      <c r="L211" t="str">
        <f t="shared" si="15"/>
        <v>Dépenses</v>
      </c>
    </row>
    <row r="212" spans="1:12" x14ac:dyDescent="0.2">
      <c r="A212" t="s">
        <v>2</v>
      </c>
      <c r="B212" t="s">
        <v>8</v>
      </c>
      <c r="D212" s="2">
        <v>43494</v>
      </c>
      <c r="E212" s="2">
        <f t="shared" si="16"/>
        <v>43535</v>
      </c>
      <c r="F212" t="s">
        <v>313</v>
      </c>
      <c r="G212" t="s">
        <v>16</v>
      </c>
      <c r="I212" t="s">
        <v>7</v>
      </c>
      <c r="J212" s="22">
        <v>-9.6</v>
      </c>
      <c r="K212" t="str">
        <f t="shared" si="14"/>
        <v>janvier</v>
      </c>
      <c r="L212" t="str">
        <f t="shared" si="15"/>
        <v>Dépenses</v>
      </c>
    </row>
    <row r="213" spans="1:12" x14ac:dyDescent="0.2">
      <c r="A213" t="s">
        <v>2</v>
      </c>
      <c r="B213" t="s">
        <v>8</v>
      </c>
      <c r="D213" s="2">
        <v>43494</v>
      </c>
      <c r="E213" s="2">
        <f t="shared" si="16"/>
        <v>43535</v>
      </c>
      <c r="F213" t="s">
        <v>9</v>
      </c>
      <c r="G213" t="s">
        <v>10</v>
      </c>
      <c r="H213" t="s">
        <v>315</v>
      </c>
      <c r="I213" t="s">
        <v>7</v>
      </c>
      <c r="J213" s="22">
        <v>-1.6</v>
      </c>
      <c r="K213" t="str">
        <f t="shared" si="14"/>
        <v>janvier</v>
      </c>
      <c r="L213" t="str">
        <f t="shared" si="15"/>
        <v>Dépenses</v>
      </c>
    </row>
    <row r="214" spans="1:12" ht="11.25" customHeight="1" x14ac:dyDescent="0.2">
      <c r="A214" t="s">
        <v>69</v>
      </c>
      <c r="B214" s="4" t="s">
        <v>70</v>
      </c>
      <c r="C214" s="7" t="s">
        <v>146</v>
      </c>
      <c r="D214" s="2">
        <v>43494</v>
      </c>
      <c r="E214" s="2">
        <f t="shared" si="16"/>
        <v>43494</v>
      </c>
      <c r="F214" t="s">
        <v>147</v>
      </c>
      <c r="G214" t="s">
        <v>115</v>
      </c>
      <c r="H214" t="s">
        <v>148</v>
      </c>
      <c r="I214" t="s">
        <v>7</v>
      </c>
      <c r="J214" s="23">
        <v>-22.72</v>
      </c>
      <c r="K214" t="str">
        <f t="shared" si="14"/>
        <v>janvier</v>
      </c>
      <c r="L214" t="str">
        <f t="shared" si="15"/>
        <v>Dépenses</v>
      </c>
    </row>
    <row r="215" spans="1:12" ht="11.25" customHeight="1" x14ac:dyDescent="0.2">
      <c r="A215" t="s">
        <v>108</v>
      </c>
      <c r="B215" s="4" t="s">
        <v>70</v>
      </c>
      <c r="C215" s="7" t="s">
        <v>314</v>
      </c>
      <c r="D215" s="2">
        <v>43494</v>
      </c>
      <c r="E215" s="2">
        <f t="shared" si="16"/>
        <v>43494</v>
      </c>
      <c r="F215" t="s">
        <v>184</v>
      </c>
      <c r="G215" t="s">
        <v>106</v>
      </c>
      <c r="H215" t="s">
        <v>185</v>
      </c>
      <c r="I215" t="s">
        <v>7</v>
      </c>
      <c r="J215" s="23">
        <v>-0.99</v>
      </c>
      <c r="K215" t="str">
        <f t="shared" si="14"/>
        <v>janvier</v>
      </c>
      <c r="L215" t="str">
        <f t="shared" si="15"/>
        <v>Dépenses</v>
      </c>
    </row>
    <row r="216" spans="1:12" x14ac:dyDescent="0.2">
      <c r="A216" t="s">
        <v>2</v>
      </c>
      <c r="B216" t="s">
        <v>8</v>
      </c>
      <c r="D216" s="2">
        <v>43495</v>
      </c>
      <c r="E216" s="2">
        <f t="shared" si="16"/>
        <v>43535</v>
      </c>
      <c r="F216" t="s">
        <v>21</v>
      </c>
      <c r="G216" t="s">
        <v>21</v>
      </c>
      <c r="H216" t="s">
        <v>322</v>
      </c>
      <c r="I216" t="s">
        <v>7</v>
      </c>
      <c r="J216" s="22">
        <v>-7.09</v>
      </c>
      <c r="K216" t="str">
        <f t="shared" si="14"/>
        <v>janvier</v>
      </c>
      <c r="L216" t="str">
        <f t="shared" si="15"/>
        <v>Dépenses</v>
      </c>
    </row>
    <row r="217" spans="1:12" x14ac:dyDescent="0.2">
      <c r="A217" t="s">
        <v>2</v>
      </c>
      <c r="B217" t="s">
        <v>8</v>
      </c>
      <c r="D217" s="2">
        <v>43495</v>
      </c>
      <c r="E217" s="2">
        <f t="shared" si="16"/>
        <v>43535</v>
      </c>
      <c r="F217" t="s">
        <v>295</v>
      </c>
      <c r="G217" t="s">
        <v>5</v>
      </c>
      <c r="H217" t="s">
        <v>22</v>
      </c>
      <c r="I217" t="s">
        <v>7</v>
      </c>
      <c r="J217" s="22">
        <v>-11.35</v>
      </c>
      <c r="K217" t="str">
        <f t="shared" si="14"/>
        <v>janvier</v>
      </c>
      <c r="L217" t="str">
        <f t="shared" si="15"/>
        <v>Dépenses</v>
      </c>
    </row>
    <row r="218" spans="1:12" x14ac:dyDescent="0.2">
      <c r="A218" t="s">
        <v>2</v>
      </c>
      <c r="B218" t="s">
        <v>8</v>
      </c>
      <c r="D218" s="2">
        <v>43495</v>
      </c>
      <c r="E218" s="2">
        <f t="shared" si="16"/>
        <v>43535</v>
      </c>
      <c r="F218" t="s">
        <v>323</v>
      </c>
      <c r="G218" t="s">
        <v>111</v>
      </c>
      <c r="H218" t="s">
        <v>324</v>
      </c>
      <c r="I218" t="s">
        <v>7</v>
      </c>
      <c r="J218" s="22">
        <v>-750</v>
      </c>
      <c r="K218" t="str">
        <f t="shared" si="14"/>
        <v>janvier</v>
      </c>
      <c r="L218" t="str">
        <f t="shared" si="15"/>
        <v>Dépenses</v>
      </c>
    </row>
    <row r="219" spans="1:12" x14ac:dyDescent="0.2">
      <c r="A219" t="s">
        <v>2</v>
      </c>
      <c r="B219" t="s">
        <v>3</v>
      </c>
      <c r="D219" s="2">
        <v>43495</v>
      </c>
      <c r="E219" s="2">
        <f t="shared" si="16"/>
        <v>43535</v>
      </c>
      <c r="F219" t="s">
        <v>325</v>
      </c>
      <c r="G219" t="s">
        <v>52</v>
      </c>
      <c r="H219" t="s">
        <v>326</v>
      </c>
      <c r="I219" t="s">
        <v>7</v>
      </c>
      <c r="J219" s="22">
        <v>-88</v>
      </c>
      <c r="K219" t="str">
        <f t="shared" si="14"/>
        <v>janvier</v>
      </c>
      <c r="L219" t="str">
        <f t="shared" si="15"/>
        <v>Dépenses</v>
      </c>
    </row>
    <row r="220" spans="1:12" x14ac:dyDescent="0.2">
      <c r="A220" t="s">
        <v>2</v>
      </c>
      <c r="B220" t="s">
        <v>3</v>
      </c>
      <c r="D220" s="2">
        <v>43495</v>
      </c>
      <c r="E220" s="2">
        <f t="shared" si="16"/>
        <v>43535</v>
      </c>
      <c r="F220" t="s">
        <v>5</v>
      </c>
      <c r="G220" t="s">
        <v>5</v>
      </c>
      <c r="H220" t="s">
        <v>23</v>
      </c>
      <c r="I220" t="s">
        <v>7</v>
      </c>
      <c r="J220" s="22">
        <v>-53.2</v>
      </c>
      <c r="K220" t="str">
        <f t="shared" si="14"/>
        <v>janvier</v>
      </c>
      <c r="L220" t="str">
        <f t="shared" si="15"/>
        <v>Dépenses</v>
      </c>
    </row>
    <row r="221" spans="1:12" x14ac:dyDescent="0.2">
      <c r="A221" t="s">
        <v>94</v>
      </c>
      <c r="B221" s="4" t="s">
        <v>70</v>
      </c>
      <c r="C221" s="7" t="s">
        <v>316</v>
      </c>
      <c r="D221" s="2">
        <v>43495</v>
      </c>
      <c r="E221" s="2">
        <f t="shared" si="16"/>
        <v>43495</v>
      </c>
      <c r="F221" t="s">
        <v>317</v>
      </c>
      <c r="G221" t="s">
        <v>318</v>
      </c>
      <c r="H221" t="s">
        <v>319</v>
      </c>
      <c r="I221" t="s">
        <v>7</v>
      </c>
      <c r="J221" s="22">
        <v>-80.33</v>
      </c>
      <c r="K221" t="str">
        <f t="shared" si="14"/>
        <v>janvier</v>
      </c>
      <c r="L221" t="str">
        <f t="shared" si="15"/>
        <v>Dépenses</v>
      </c>
    </row>
    <row r="222" spans="1:12" ht="15" customHeight="1" x14ac:dyDescent="0.2">
      <c r="A222" t="s">
        <v>69</v>
      </c>
      <c r="B222" s="4" t="s">
        <v>137</v>
      </c>
      <c r="D222" s="2">
        <v>43495</v>
      </c>
      <c r="E222" s="2">
        <f t="shared" si="16"/>
        <v>43495</v>
      </c>
      <c r="F222" t="s">
        <v>320</v>
      </c>
      <c r="G222" t="s">
        <v>111</v>
      </c>
      <c r="H222" t="s">
        <v>321</v>
      </c>
      <c r="I222" t="s">
        <v>7</v>
      </c>
      <c r="J222" s="22">
        <v>-56.6</v>
      </c>
      <c r="K222" t="str">
        <f t="shared" si="14"/>
        <v>janvier</v>
      </c>
      <c r="L222" t="str">
        <f t="shared" si="15"/>
        <v>Dépenses</v>
      </c>
    </row>
    <row r="223" spans="1:12" ht="11.25" customHeight="1" x14ac:dyDescent="0.2">
      <c r="A223" t="s">
        <v>69</v>
      </c>
      <c r="B223" s="4" t="s">
        <v>70</v>
      </c>
      <c r="C223" s="7"/>
      <c r="D223" s="2">
        <v>43496</v>
      </c>
      <c r="E223" s="2">
        <f t="shared" si="16"/>
        <v>43496</v>
      </c>
      <c r="F223" t="s">
        <v>327</v>
      </c>
      <c r="G223" t="s">
        <v>328</v>
      </c>
      <c r="H223" t="s">
        <v>329</v>
      </c>
      <c r="I223" t="s">
        <v>7</v>
      </c>
      <c r="J223" s="22">
        <v>-12</v>
      </c>
      <c r="K223" t="str">
        <f t="shared" si="14"/>
        <v>janvier</v>
      </c>
      <c r="L223" t="str">
        <f t="shared" si="15"/>
        <v>Dépenses</v>
      </c>
    </row>
    <row r="224" spans="1:12" ht="15" customHeight="1" x14ac:dyDescent="0.2">
      <c r="A224" t="s">
        <v>69</v>
      </c>
      <c r="B224" s="4" t="s">
        <v>84</v>
      </c>
      <c r="D224" s="2">
        <v>43496</v>
      </c>
      <c r="E224" s="2">
        <f t="shared" si="16"/>
        <v>43496</v>
      </c>
      <c r="F224" t="s">
        <v>330</v>
      </c>
      <c r="G224" t="s">
        <v>307</v>
      </c>
      <c r="H224" t="s">
        <v>94</v>
      </c>
      <c r="I224" t="s">
        <v>7</v>
      </c>
      <c r="J224" s="22">
        <v>-3000</v>
      </c>
      <c r="K224" t="str">
        <f t="shared" si="14"/>
        <v>janvier</v>
      </c>
      <c r="L224" t="str">
        <f t="shared" si="15"/>
        <v>Dépenses</v>
      </c>
    </row>
    <row r="225" spans="1:12" ht="15" customHeight="1" x14ac:dyDescent="0.2">
      <c r="A225" t="s">
        <v>94</v>
      </c>
      <c r="B225" s="4" t="s">
        <v>84</v>
      </c>
      <c r="D225" s="2">
        <v>43496</v>
      </c>
      <c r="E225" s="2">
        <f t="shared" si="16"/>
        <v>43496</v>
      </c>
      <c r="F225" t="s">
        <v>330</v>
      </c>
      <c r="G225" t="s">
        <v>307</v>
      </c>
      <c r="H225" t="s">
        <v>69</v>
      </c>
      <c r="I225" t="s">
        <v>7</v>
      </c>
      <c r="J225" s="22">
        <v>3000</v>
      </c>
      <c r="K225" t="str">
        <f t="shared" si="14"/>
        <v>janvier</v>
      </c>
      <c r="L225" t="str">
        <f t="shared" si="15"/>
        <v>Recettes</v>
      </c>
    </row>
    <row r="226" spans="1:12" ht="15" customHeight="1" x14ac:dyDescent="0.2">
      <c r="A226" t="s">
        <v>108</v>
      </c>
      <c r="D226" s="2">
        <v>43496</v>
      </c>
      <c r="E226" s="2">
        <f t="shared" si="16"/>
        <v>43496</v>
      </c>
      <c r="F226" t="s">
        <v>32</v>
      </c>
      <c r="G226" t="s">
        <v>5</v>
      </c>
      <c r="H226" t="s">
        <v>33</v>
      </c>
      <c r="I226" t="s">
        <v>7</v>
      </c>
      <c r="J226" s="22">
        <v>-5.45</v>
      </c>
      <c r="K226" t="str">
        <f t="shared" si="14"/>
        <v>janvier</v>
      </c>
      <c r="L226" t="str">
        <f t="shared" si="15"/>
        <v>Dépenses</v>
      </c>
    </row>
    <row r="227" spans="1:12" x14ac:dyDescent="0.2">
      <c r="A227" t="s">
        <v>2</v>
      </c>
      <c r="B227" t="s">
        <v>8</v>
      </c>
      <c r="D227" s="2">
        <v>43497</v>
      </c>
      <c r="E227" s="2">
        <f t="shared" si="16"/>
        <v>43535</v>
      </c>
      <c r="F227" t="s">
        <v>21</v>
      </c>
      <c r="G227" t="s">
        <v>21</v>
      </c>
      <c r="H227" t="s">
        <v>322</v>
      </c>
      <c r="I227" t="s">
        <v>7</v>
      </c>
      <c r="J227" s="22">
        <v>-54.3</v>
      </c>
      <c r="K227" t="str">
        <f t="shared" si="14"/>
        <v>février</v>
      </c>
      <c r="L227" t="str">
        <f t="shared" si="15"/>
        <v>Dépenses</v>
      </c>
    </row>
    <row r="228" spans="1:12" x14ac:dyDescent="0.2">
      <c r="A228" t="s">
        <v>2</v>
      </c>
      <c r="B228" t="s">
        <v>8</v>
      </c>
      <c r="D228" s="2">
        <v>43497</v>
      </c>
      <c r="E228" s="2">
        <f t="shared" ref="E228:E259" si="17">IF(A228="","",IF(A228&lt;&gt;"Carte Lux",D228,VLOOKUP(D228,Periode_datedebit_2019,3)))</f>
        <v>43535</v>
      </c>
      <c r="F228" t="s">
        <v>334</v>
      </c>
      <c r="G228" t="s">
        <v>5</v>
      </c>
      <c r="H228" t="s">
        <v>22</v>
      </c>
      <c r="I228" t="s">
        <v>7</v>
      </c>
      <c r="J228" s="22">
        <v>-4.45</v>
      </c>
      <c r="K228" t="str">
        <f t="shared" si="14"/>
        <v>février</v>
      </c>
      <c r="L228" t="str">
        <f t="shared" si="15"/>
        <v>Dépenses</v>
      </c>
    </row>
    <row r="229" spans="1:12" x14ac:dyDescent="0.2">
      <c r="A229" t="s">
        <v>108</v>
      </c>
      <c r="B229" t="s">
        <v>109</v>
      </c>
      <c r="D229" s="2">
        <v>43497</v>
      </c>
      <c r="E229" s="2">
        <f t="shared" si="17"/>
        <v>43497</v>
      </c>
      <c r="F229" t="s">
        <v>32</v>
      </c>
      <c r="G229" t="s">
        <v>5</v>
      </c>
      <c r="I229" t="s">
        <v>7</v>
      </c>
      <c r="J229" s="22">
        <v>-10.35</v>
      </c>
      <c r="K229" t="str">
        <f t="shared" si="14"/>
        <v>février</v>
      </c>
      <c r="L229" t="str">
        <f t="shared" si="15"/>
        <v>Dépenses</v>
      </c>
    </row>
    <row r="230" spans="1:12" x14ac:dyDescent="0.2">
      <c r="A230" t="s">
        <v>108</v>
      </c>
      <c r="B230" t="s">
        <v>109</v>
      </c>
      <c r="C230" t="s">
        <v>337</v>
      </c>
      <c r="D230" s="2">
        <v>43497</v>
      </c>
      <c r="E230" s="2">
        <f t="shared" si="17"/>
        <v>43497</v>
      </c>
      <c r="F230" t="s">
        <v>21</v>
      </c>
      <c r="G230" t="s">
        <v>21</v>
      </c>
      <c r="H230" t="s">
        <v>64</v>
      </c>
      <c r="I230" t="s">
        <v>7</v>
      </c>
      <c r="J230" s="22">
        <v>-14.7</v>
      </c>
      <c r="K230" t="str">
        <f t="shared" si="14"/>
        <v>février</v>
      </c>
      <c r="L230" t="str">
        <f t="shared" si="15"/>
        <v>Dépenses</v>
      </c>
    </row>
    <row r="231" spans="1:12" x14ac:dyDescent="0.2">
      <c r="A231" t="s">
        <v>108</v>
      </c>
      <c r="B231" t="s">
        <v>109</v>
      </c>
      <c r="C231" t="s">
        <v>337</v>
      </c>
      <c r="D231" s="2">
        <v>43497</v>
      </c>
      <c r="E231" s="2">
        <f t="shared" si="17"/>
        <v>43497</v>
      </c>
      <c r="F231" t="s">
        <v>338</v>
      </c>
      <c r="G231" t="s">
        <v>63</v>
      </c>
      <c r="H231" t="s">
        <v>64</v>
      </c>
      <c r="I231" t="s">
        <v>7</v>
      </c>
      <c r="J231" s="22">
        <v>-35.08</v>
      </c>
      <c r="K231" t="str">
        <f t="shared" si="14"/>
        <v>février</v>
      </c>
      <c r="L231" t="str">
        <f t="shared" si="15"/>
        <v>Dépenses</v>
      </c>
    </row>
    <row r="232" spans="1:12" ht="11.25" customHeight="1" x14ac:dyDescent="0.2">
      <c r="A232" t="s">
        <v>69</v>
      </c>
      <c r="B232" s="4" t="s">
        <v>70</v>
      </c>
      <c r="C232" s="5" t="s">
        <v>331</v>
      </c>
      <c r="D232" s="2">
        <v>43497</v>
      </c>
      <c r="E232" s="2">
        <f t="shared" si="17"/>
        <v>43497</v>
      </c>
      <c r="F232" t="s">
        <v>72</v>
      </c>
      <c r="G232" t="s">
        <v>73</v>
      </c>
      <c r="H232" t="s">
        <v>74</v>
      </c>
      <c r="I232" t="s">
        <v>7</v>
      </c>
      <c r="J232" s="23">
        <v>-500</v>
      </c>
      <c r="K232" t="str">
        <f t="shared" si="14"/>
        <v>février</v>
      </c>
      <c r="L232" t="str">
        <f t="shared" si="15"/>
        <v>Dépenses</v>
      </c>
    </row>
    <row r="233" spans="1:12" ht="11.25" customHeight="1" x14ac:dyDescent="0.2">
      <c r="A233" t="s">
        <v>75</v>
      </c>
      <c r="B233" s="4" t="s">
        <v>70</v>
      </c>
      <c r="C233" s="5" t="s">
        <v>331</v>
      </c>
      <c r="D233" s="2">
        <v>43497</v>
      </c>
      <c r="E233" s="2">
        <f t="shared" si="17"/>
        <v>43497</v>
      </c>
      <c r="F233" t="s">
        <v>72</v>
      </c>
      <c r="G233" t="s">
        <v>76</v>
      </c>
      <c r="H233" t="s">
        <v>74</v>
      </c>
      <c r="I233" t="s">
        <v>7</v>
      </c>
      <c r="J233" s="23">
        <v>500</v>
      </c>
      <c r="K233" t="str">
        <f t="shared" si="14"/>
        <v>février</v>
      </c>
      <c r="L233" t="str">
        <f t="shared" si="15"/>
        <v>Recettes</v>
      </c>
    </row>
    <row r="234" spans="1:12" ht="11.25" customHeight="1" x14ac:dyDescent="0.2">
      <c r="A234" t="s">
        <v>69</v>
      </c>
      <c r="B234" s="4" t="s">
        <v>70</v>
      </c>
      <c r="C234" s="7" t="s">
        <v>332</v>
      </c>
      <c r="D234" s="2">
        <v>43497</v>
      </c>
      <c r="E234" s="2">
        <f t="shared" si="17"/>
        <v>43497</v>
      </c>
      <c r="F234" t="s">
        <v>98</v>
      </c>
      <c r="G234" t="s">
        <v>73</v>
      </c>
      <c r="H234" t="s">
        <v>74</v>
      </c>
      <c r="I234" t="s">
        <v>7</v>
      </c>
      <c r="J234" s="23">
        <v>-597</v>
      </c>
      <c r="K234" t="str">
        <f t="shared" si="14"/>
        <v>février</v>
      </c>
      <c r="L234" t="str">
        <f t="shared" si="15"/>
        <v>Dépenses</v>
      </c>
    </row>
    <row r="235" spans="1:12" ht="11.25" customHeight="1" x14ac:dyDescent="0.2">
      <c r="A235" t="s">
        <v>69</v>
      </c>
      <c r="B235" s="4" t="s">
        <v>70</v>
      </c>
      <c r="C235" s="7" t="s">
        <v>333</v>
      </c>
      <c r="D235" s="2">
        <v>43497</v>
      </c>
      <c r="E235" s="2">
        <f t="shared" si="17"/>
        <v>43497</v>
      </c>
      <c r="F235" t="s">
        <v>100</v>
      </c>
      <c r="G235" t="s">
        <v>73</v>
      </c>
      <c r="H235" t="s">
        <v>74</v>
      </c>
      <c r="I235" t="s">
        <v>7</v>
      </c>
      <c r="J235" s="23">
        <v>-120</v>
      </c>
      <c r="K235" t="str">
        <f t="shared" si="14"/>
        <v>février</v>
      </c>
      <c r="L235" t="str">
        <f t="shared" si="15"/>
        <v>Dépenses</v>
      </c>
    </row>
    <row r="236" spans="1:12" x14ac:dyDescent="0.2">
      <c r="A236" t="s">
        <v>69</v>
      </c>
      <c r="B236" s="4" t="s">
        <v>84</v>
      </c>
      <c r="D236" s="2">
        <v>43497</v>
      </c>
      <c r="E236" s="2">
        <f t="shared" si="17"/>
        <v>43497</v>
      </c>
      <c r="F236" t="s">
        <v>335</v>
      </c>
      <c r="G236" t="s">
        <v>336</v>
      </c>
      <c r="I236" t="s">
        <v>7</v>
      </c>
      <c r="J236" s="22">
        <v>-300</v>
      </c>
      <c r="K236" t="str">
        <f t="shared" si="14"/>
        <v>février</v>
      </c>
      <c r="L236" t="str">
        <f t="shared" si="15"/>
        <v>Dépenses</v>
      </c>
    </row>
    <row r="237" spans="1:12" x14ac:dyDescent="0.2">
      <c r="A237" t="s">
        <v>2</v>
      </c>
      <c r="B237" t="s">
        <v>8</v>
      </c>
      <c r="D237" s="2">
        <v>43498</v>
      </c>
      <c r="E237" s="2">
        <f t="shared" si="17"/>
        <v>43535</v>
      </c>
      <c r="F237" t="s">
        <v>341</v>
      </c>
      <c r="G237" t="s">
        <v>5</v>
      </c>
      <c r="H237" t="s">
        <v>6</v>
      </c>
      <c r="I237" t="s">
        <v>7</v>
      </c>
      <c r="J237" s="22">
        <v>-14.25</v>
      </c>
      <c r="K237" t="str">
        <f t="shared" si="14"/>
        <v>février</v>
      </c>
      <c r="L237" t="str">
        <f t="shared" si="15"/>
        <v>Dépenses</v>
      </c>
    </row>
    <row r="238" spans="1:12" ht="15" customHeight="1" x14ac:dyDescent="0.2">
      <c r="A238" t="s">
        <v>2</v>
      </c>
      <c r="B238" t="s">
        <v>3</v>
      </c>
      <c r="C238" t="s">
        <v>342</v>
      </c>
      <c r="D238" s="2">
        <v>43498</v>
      </c>
      <c r="E238" s="2">
        <f t="shared" si="17"/>
        <v>43535</v>
      </c>
      <c r="F238" t="s">
        <v>5</v>
      </c>
      <c r="G238" t="s">
        <v>5</v>
      </c>
      <c r="H238" t="s">
        <v>23</v>
      </c>
      <c r="I238" t="s">
        <v>7</v>
      </c>
      <c r="J238" s="22">
        <f>-85.29--22.99</f>
        <v>-62.300000000000011</v>
      </c>
      <c r="K238" t="str">
        <f t="shared" si="14"/>
        <v>février</v>
      </c>
      <c r="L238" t="str">
        <f t="shared" si="15"/>
        <v>Dépenses</v>
      </c>
    </row>
    <row r="239" spans="1:12" ht="15" customHeight="1" x14ac:dyDescent="0.2">
      <c r="A239" t="s">
        <v>94</v>
      </c>
      <c r="B239" s="4" t="s">
        <v>70</v>
      </c>
      <c r="C239" s="5" t="s">
        <v>339</v>
      </c>
      <c r="D239" s="2">
        <v>43498</v>
      </c>
      <c r="E239" s="2">
        <f t="shared" si="17"/>
        <v>43498</v>
      </c>
      <c r="F239" t="s">
        <v>96</v>
      </c>
      <c r="G239" t="s">
        <v>86</v>
      </c>
      <c r="H239" t="s">
        <v>87</v>
      </c>
      <c r="I239" t="s">
        <v>7</v>
      </c>
      <c r="J239" s="22">
        <v>-6.72</v>
      </c>
      <c r="K239" t="str">
        <f t="shared" si="14"/>
        <v>février</v>
      </c>
      <c r="L239" t="str">
        <f t="shared" si="15"/>
        <v>Dépenses</v>
      </c>
    </row>
    <row r="240" spans="1:12" x14ac:dyDescent="0.2">
      <c r="A240" t="s">
        <v>69</v>
      </c>
      <c r="B240" s="4" t="s">
        <v>70</v>
      </c>
      <c r="C240" s="7" t="s">
        <v>340</v>
      </c>
      <c r="D240" s="2">
        <v>43498</v>
      </c>
      <c r="E240" s="2">
        <f t="shared" si="17"/>
        <v>43498</v>
      </c>
      <c r="F240" t="s">
        <v>102</v>
      </c>
      <c r="G240" t="s">
        <v>103</v>
      </c>
      <c r="H240" t="s">
        <v>94</v>
      </c>
      <c r="I240" t="s">
        <v>7</v>
      </c>
      <c r="J240" s="23">
        <v>-400</v>
      </c>
      <c r="K240" t="str">
        <f t="shared" si="14"/>
        <v>février</v>
      </c>
      <c r="L240" t="str">
        <f t="shared" si="15"/>
        <v>Dépenses</v>
      </c>
    </row>
    <row r="241" spans="1:12" ht="15" customHeight="1" x14ac:dyDescent="0.2">
      <c r="A241" t="s">
        <v>2</v>
      </c>
      <c r="B241" t="s">
        <v>3</v>
      </c>
      <c r="C241" t="s">
        <v>342</v>
      </c>
      <c r="D241" s="2">
        <v>43499</v>
      </c>
      <c r="E241" s="2">
        <f t="shared" si="17"/>
        <v>43535</v>
      </c>
      <c r="F241" t="s">
        <v>344</v>
      </c>
      <c r="G241" t="s">
        <v>49</v>
      </c>
      <c r="H241" t="s">
        <v>23</v>
      </c>
      <c r="I241" t="s">
        <v>7</v>
      </c>
      <c r="J241" s="22">
        <f>-12.14-4.3-6.55</f>
        <v>-22.990000000000002</v>
      </c>
      <c r="K241" t="str">
        <f t="shared" si="14"/>
        <v>février</v>
      </c>
      <c r="L241" t="str">
        <f t="shared" si="15"/>
        <v>Dépenses</v>
      </c>
    </row>
    <row r="242" spans="1:12" ht="11.25" customHeight="1" x14ac:dyDescent="0.2">
      <c r="A242" t="s">
        <v>108</v>
      </c>
      <c r="B242" t="s">
        <v>109</v>
      </c>
      <c r="D242" s="2">
        <v>43499</v>
      </c>
      <c r="E242" s="2">
        <f t="shared" si="17"/>
        <v>43499</v>
      </c>
      <c r="F242" t="s">
        <v>5</v>
      </c>
      <c r="G242" t="s">
        <v>5</v>
      </c>
      <c r="H242" t="s">
        <v>223</v>
      </c>
      <c r="I242" t="s">
        <v>7</v>
      </c>
      <c r="J242" s="22">
        <v>-10.29</v>
      </c>
      <c r="K242" t="str">
        <f t="shared" si="14"/>
        <v>février</v>
      </c>
      <c r="L242" t="str">
        <f t="shared" si="15"/>
        <v>Dépenses</v>
      </c>
    </row>
    <row r="243" spans="1:12" ht="11.25" customHeight="1" x14ac:dyDescent="0.2">
      <c r="A243" t="s">
        <v>94</v>
      </c>
      <c r="B243" t="s">
        <v>84</v>
      </c>
      <c r="D243" s="2">
        <v>43499</v>
      </c>
      <c r="E243" s="2">
        <f t="shared" si="17"/>
        <v>43499</v>
      </c>
      <c r="F243" t="s">
        <v>343</v>
      </c>
      <c r="G243" t="s">
        <v>76</v>
      </c>
      <c r="H243" t="s">
        <v>88</v>
      </c>
      <c r="I243" t="s">
        <v>7</v>
      </c>
      <c r="J243" s="22">
        <v>-3000</v>
      </c>
      <c r="K243" t="str">
        <f t="shared" si="14"/>
        <v>février</v>
      </c>
      <c r="L243" t="str">
        <f t="shared" si="15"/>
        <v>Dépenses</v>
      </c>
    </row>
    <row r="244" spans="1:12" x14ac:dyDescent="0.2">
      <c r="A244" t="s">
        <v>88</v>
      </c>
      <c r="B244" t="s">
        <v>84</v>
      </c>
      <c r="D244" s="2">
        <v>43499</v>
      </c>
      <c r="E244" s="2">
        <f t="shared" si="17"/>
        <v>43499</v>
      </c>
      <c r="F244" t="s">
        <v>343</v>
      </c>
      <c r="G244" t="s">
        <v>76</v>
      </c>
      <c r="H244" t="s">
        <v>88</v>
      </c>
      <c r="I244" t="s">
        <v>7</v>
      </c>
      <c r="J244" s="22">
        <v>3000</v>
      </c>
      <c r="K244" t="str">
        <f t="shared" si="14"/>
        <v>février</v>
      </c>
      <c r="L244" t="str">
        <f t="shared" si="15"/>
        <v>Recettes</v>
      </c>
    </row>
    <row r="245" spans="1:12" x14ac:dyDescent="0.2">
      <c r="A245" t="s">
        <v>2</v>
      </c>
      <c r="B245" t="s">
        <v>8</v>
      </c>
      <c r="D245" s="2">
        <v>43500</v>
      </c>
      <c r="E245" s="2">
        <f t="shared" si="17"/>
        <v>43535</v>
      </c>
      <c r="F245" t="s">
        <v>5</v>
      </c>
      <c r="G245" t="s">
        <v>5</v>
      </c>
      <c r="H245" t="s">
        <v>348</v>
      </c>
      <c r="I245" t="s">
        <v>7</v>
      </c>
      <c r="J245" s="22">
        <v>-11.91</v>
      </c>
      <c r="K245" t="str">
        <f t="shared" si="14"/>
        <v>février</v>
      </c>
      <c r="L245" t="str">
        <f t="shared" si="15"/>
        <v>Dépenses</v>
      </c>
    </row>
    <row r="246" spans="1:12" ht="15" customHeight="1" x14ac:dyDescent="0.2">
      <c r="A246" t="s">
        <v>108</v>
      </c>
      <c r="B246" t="s">
        <v>109</v>
      </c>
      <c r="D246" s="2">
        <v>43500</v>
      </c>
      <c r="E246" s="2">
        <f t="shared" si="17"/>
        <v>43500</v>
      </c>
      <c r="F246" t="s">
        <v>5</v>
      </c>
      <c r="G246" t="s">
        <v>5</v>
      </c>
      <c r="H246" t="s">
        <v>23</v>
      </c>
      <c r="I246" t="s">
        <v>7</v>
      </c>
      <c r="J246" s="22">
        <v>-1.6</v>
      </c>
      <c r="K246" t="str">
        <f t="shared" si="14"/>
        <v>février</v>
      </c>
      <c r="L246" t="str">
        <f t="shared" si="15"/>
        <v>Dépenses</v>
      </c>
    </row>
    <row r="247" spans="1:12" x14ac:dyDescent="0.2">
      <c r="A247" t="s">
        <v>108</v>
      </c>
      <c r="B247" t="s">
        <v>109</v>
      </c>
      <c r="D247" s="2">
        <v>43500</v>
      </c>
      <c r="E247" s="2">
        <f t="shared" si="17"/>
        <v>43500</v>
      </c>
      <c r="F247" t="s">
        <v>177</v>
      </c>
      <c r="G247" t="s">
        <v>111</v>
      </c>
      <c r="H247" t="s">
        <v>178</v>
      </c>
      <c r="I247" t="s">
        <v>7</v>
      </c>
      <c r="J247" s="22">
        <v>-3.53</v>
      </c>
      <c r="K247" t="str">
        <f t="shared" si="14"/>
        <v>février</v>
      </c>
      <c r="L247" t="str">
        <f t="shared" si="15"/>
        <v>Dépenses</v>
      </c>
    </row>
    <row r="248" spans="1:12" ht="11.25" customHeight="1" x14ac:dyDescent="0.2">
      <c r="A248" t="s">
        <v>108</v>
      </c>
      <c r="B248" t="s">
        <v>109</v>
      </c>
      <c r="D248" s="2">
        <v>43500</v>
      </c>
      <c r="E248" s="2">
        <f t="shared" si="17"/>
        <v>43500</v>
      </c>
      <c r="F248" t="s">
        <v>177</v>
      </c>
      <c r="G248" t="s">
        <v>111</v>
      </c>
      <c r="H248" t="s">
        <v>178</v>
      </c>
      <c r="I248" t="s">
        <v>7</v>
      </c>
      <c r="J248" s="22">
        <v>-13.72</v>
      </c>
      <c r="K248" t="str">
        <f t="shared" si="14"/>
        <v>février</v>
      </c>
      <c r="L248" t="str">
        <f t="shared" si="15"/>
        <v>Dépenses</v>
      </c>
    </row>
    <row r="249" spans="1:12" ht="11.25" customHeight="1" x14ac:dyDescent="0.2">
      <c r="A249" t="s">
        <v>108</v>
      </c>
      <c r="B249" s="4" t="s">
        <v>70</v>
      </c>
      <c r="C249" s="7" t="s">
        <v>345</v>
      </c>
      <c r="D249" s="2">
        <v>43500</v>
      </c>
      <c r="E249" s="2">
        <f t="shared" si="17"/>
        <v>43500</v>
      </c>
      <c r="F249" t="s">
        <v>171</v>
      </c>
      <c r="G249" t="s">
        <v>172</v>
      </c>
      <c r="H249" t="s">
        <v>173</v>
      </c>
      <c r="I249" t="s">
        <v>7</v>
      </c>
      <c r="J249" s="23">
        <v>-19.989999999999998</v>
      </c>
      <c r="K249" t="str">
        <f t="shared" si="14"/>
        <v>février</v>
      </c>
      <c r="L249" t="str">
        <f t="shared" si="15"/>
        <v>Dépenses</v>
      </c>
    </row>
    <row r="250" spans="1:12" ht="11.25" customHeight="1" x14ac:dyDescent="0.2">
      <c r="A250" t="s">
        <v>94</v>
      </c>
      <c r="B250" s="4" t="s">
        <v>70</v>
      </c>
      <c r="C250" s="7" t="s">
        <v>340</v>
      </c>
      <c r="D250" s="2">
        <v>43500</v>
      </c>
      <c r="E250" s="2">
        <f t="shared" si="17"/>
        <v>43500</v>
      </c>
      <c r="F250" t="s">
        <v>135</v>
      </c>
      <c r="G250" t="s">
        <v>103</v>
      </c>
      <c r="H250" t="s">
        <v>69</v>
      </c>
      <c r="I250" t="s">
        <v>7</v>
      </c>
      <c r="J250" s="23">
        <v>400</v>
      </c>
      <c r="K250" t="str">
        <f t="shared" si="14"/>
        <v>février</v>
      </c>
      <c r="L250" t="str">
        <f t="shared" si="15"/>
        <v>Recettes</v>
      </c>
    </row>
    <row r="251" spans="1:12" ht="15" customHeight="1" x14ac:dyDescent="0.2">
      <c r="A251" t="s">
        <v>69</v>
      </c>
      <c r="B251" s="4" t="s">
        <v>70</v>
      </c>
      <c r="C251" s="7" t="s">
        <v>346</v>
      </c>
      <c r="D251" s="2">
        <v>43500</v>
      </c>
      <c r="E251" s="2">
        <f t="shared" si="17"/>
        <v>43500</v>
      </c>
      <c r="F251" t="s">
        <v>105</v>
      </c>
      <c r="G251" t="s">
        <v>106</v>
      </c>
      <c r="H251" t="s">
        <v>107</v>
      </c>
      <c r="I251" t="s">
        <v>7</v>
      </c>
      <c r="J251" s="23">
        <v>-10.99</v>
      </c>
      <c r="K251" t="str">
        <f t="shared" si="14"/>
        <v>février</v>
      </c>
      <c r="L251" t="str">
        <f t="shared" si="15"/>
        <v>Dépenses</v>
      </c>
    </row>
    <row r="252" spans="1:12" x14ac:dyDescent="0.2">
      <c r="A252" t="s">
        <v>108</v>
      </c>
      <c r="D252" s="2">
        <v>43500</v>
      </c>
      <c r="E252" s="2">
        <f t="shared" si="17"/>
        <v>43500</v>
      </c>
      <c r="F252" t="s">
        <v>347</v>
      </c>
      <c r="G252" t="s">
        <v>111</v>
      </c>
      <c r="H252" t="s">
        <v>145</v>
      </c>
      <c r="I252" t="s">
        <v>7</v>
      </c>
      <c r="J252" s="22">
        <v>188.5</v>
      </c>
      <c r="K252" t="str">
        <f t="shared" si="14"/>
        <v>février</v>
      </c>
      <c r="L252" t="str">
        <f t="shared" si="15"/>
        <v>Recettes</v>
      </c>
    </row>
    <row r="253" spans="1:12" ht="15" customHeight="1" x14ac:dyDescent="0.2">
      <c r="A253" t="s">
        <v>2</v>
      </c>
      <c r="B253" t="s">
        <v>8</v>
      </c>
      <c r="D253" s="2">
        <v>43501</v>
      </c>
      <c r="E253" s="2">
        <f t="shared" si="17"/>
        <v>43535</v>
      </c>
      <c r="F253" t="s">
        <v>131</v>
      </c>
      <c r="G253" t="s">
        <v>263</v>
      </c>
      <c r="H253" t="s">
        <v>64</v>
      </c>
      <c r="I253" t="s">
        <v>7</v>
      </c>
      <c r="J253" s="22">
        <v>-51.51</v>
      </c>
      <c r="K253" t="str">
        <f t="shared" si="14"/>
        <v>février</v>
      </c>
      <c r="L253" t="str">
        <f t="shared" si="15"/>
        <v>Dépenses</v>
      </c>
    </row>
    <row r="254" spans="1:12" x14ac:dyDescent="0.2">
      <c r="A254" t="s">
        <v>2</v>
      </c>
      <c r="B254" t="s">
        <v>3</v>
      </c>
      <c r="C254" t="s">
        <v>351</v>
      </c>
      <c r="D254" s="2">
        <v>43501</v>
      </c>
      <c r="E254" s="2">
        <f t="shared" si="17"/>
        <v>43535</v>
      </c>
      <c r="F254" t="s">
        <v>352</v>
      </c>
      <c r="G254" t="s">
        <v>118</v>
      </c>
      <c r="H254" t="s">
        <v>23</v>
      </c>
      <c r="I254" t="s">
        <v>7</v>
      </c>
      <c r="J254" s="22">
        <f>-1.76-2.42</f>
        <v>-4.18</v>
      </c>
      <c r="K254" t="str">
        <f t="shared" si="14"/>
        <v>février</v>
      </c>
      <c r="L254" t="str">
        <f t="shared" si="15"/>
        <v>Dépenses</v>
      </c>
    </row>
    <row r="255" spans="1:12" x14ac:dyDescent="0.2">
      <c r="A255" t="s">
        <v>2</v>
      </c>
      <c r="B255" t="s">
        <v>3</v>
      </c>
      <c r="C255" t="s">
        <v>351</v>
      </c>
      <c r="D255" s="2">
        <v>43501</v>
      </c>
      <c r="E255" s="2">
        <f t="shared" si="17"/>
        <v>43535</v>
      </c>
      <c r="F255" t="s">
        <v>353</v>
      </c>
      <c r="G255" t="s">
        <v>49</v>
      </c>
      <c r="H255" t="s">
        <v>23</v>
      </c>
      <c r="I255" t="s">
        <v>7</v>
      </c>
      <c r="J255" s="22">
        <f>-2.95*2</f>
        <v>-5.9</v>
      </c>
      <c r="K255" t="str">
        <f t="shared" si="14"/>
        <v>février</v>
      </c>
      <c r="L255" t="str">
        <f t="shared" si="15"/>
        <v>Dépenses</v>
      </c>
    </row>
    <row r="256" spans="1:12" x14ac:dyDescent="0.2">
      <c r="A256" t="s">
        <v>2</v>
      </c>
      <c r="B256" t="s">
        <v>3</v>
      </c>
      <c r="C256" t="s">
        <v>351</v>
      </c>
      <c r="D256" s="2">
        <v>43501</v>
      </c>
      <c r="E256" s="2">
        <f t="shared" si="17"/>
        <v>43535</v>
      </c>
      <c r="F256" t="s">
        <v>5</v>
      </c>
      <c r="G256" t="s">
        <v>5</v>
      </c>
      <c r="H256" t="s">
        <v>23</v>
      </c>
      <c r="I256" t="s">
        <v>7</v>
      </c>
      <c r="J256" s="22">
        <f>-93.6--4.18--5.9</f>
        <v>-83.519999999999982</v>
      </c>
      <c r="K256" t="str">
        <f t="shared" si="14"/>
        <v>février</v>
      </c>
      <c r="L256" t="str">
        <f t="shared" si="15"/>
        <v>Dépenses</v>
      </c>
    </row>
    <row r="257" spans="1:12" x14ac:dyDescent="0.2">
      <c r="A257" t="s">
        <v>94</v>
      </c>
      <c r="B257" t="s">
        <v>122</v>
      </c>
      <c r="C257">
        <v>8748500</v>
      </c>
      <c r="D257" s="2">
        <v>43501</v>
      </c>
      <c r="E257" s="2">
        <f t="shared" si="17"/>
        <v>43501</v>
      </c>
      <c r="F257" t="s">
        <v>190</v>
      </c>
      <c r="G257" t="s">
        <v>16</v>
      </c>
      <c r="H257" t="s">
        <v>191</v>
      </c>
      <c r="I257" t="s">
        <v>7</v>
      </c>
      <c r="J257" s="22">
        <v>-100</v>
      </c>
      <c r="K257" t="str">
        <f t="shared" si="14"/>
        <v>février</v>
      </c>
      <c r="L257" t="str">
        <f t="shared" si="15"/>
        <v>Dépenses</v>
      </c>
    </row>
    <row r="258" spans="1:12" ht="11.25" customHeight="1" x14ac:dyDescent="0.2">
      <c r="A258" t="s">
        <v>94</v>
      </c>
      <c r="B258" t="s">
        <v>122</v>
      </c>
      <c r="C258">
        <v>8748452</v>
      </c>
      <c r="D258" s="2">
        <v>43501</v>
      </c>
      <c r="E258" s="2">
        <f t="shared" si="17"/>
        <v>43501</v>
      </c>
      <c r="F258" t="s">
        <v>354</v>
      </c>
      <c r="G258" t="s">
        <v>118</v>
      </c>
      <c r="H258" t="s">
        <v>355</v>
      </c>
      <c r="I258" t="s">
        <v>7</v>
      </c>
      <c r="J258" s="22">
        <v>-15</v>
      </c>
      <c r="K258" t="str">
        <f t="shared" ref="K258:K321" si="18">IF(D258="","",TEXT(D258,"Mmmm"))</f>
        <v>février</v>
      </c>
      <c r="L258" t="str">
        <f t="shared" ref="L258:L321" si="19">IF(J258="","",IF(J258&lt;0,"Dépenses","Recettes"))</f>
        <v>Dépenses</v>
      </c>
    </row>
    <row r="259" spans="1:12" ht="11.25" customHeight="1" x14ac:dyDescent="0.2">
      <c r="A259" t="s">
        <v>94</v>
      </c>
      <c r="B259" s="4" t="s">
        <v>70</v>
      </c>
      <c r="C259" s="7" t="s">
        <v>349</v>
      </c>
      <c r="D259" s="2">
        <v>43501</v>
      </c>
      <c r="E259" s="2">
        <f t="shared" si="17"/>
        <v>43501</v>
      </c>
      <c r="F259" t="s">
        <v>161</v>
      </c>
      <c r="G259" t="s">
        <v>162</v>
      </c>
      <c r="H259" t="s">
        <v>163</v>
      </c>
      <c r="I259" t="s">
        <v>7</v>
      </c>
      <c r="J259" s="23">
        <v>-63.37</v>
      </c>
      <c r="K259" t="str">
        <f t="shared" si="18"/>
        <v>février</v>
      </c>
      <c r="L259" t="str">
        <f t="shared" si="19"/>
        <v>Dépenses</v>
      </c>
    </row>
    <row r="260" spans="1:12" ht="11.25" customHeight="1" x14ac:dyDescent="0.2">
      <c r="A260" t="s">
        <v>94</v>
      </c>
      <c r="B260" s="4" t="s">
        <v>70</v>
      </c>
      <c r="C260" s="7" t="s">
        <v>350</v>
      </c>
      <c r="D260" s="2">
        <v>43501</v>
      </c>
      <c r="E260" s="2">
        <f t="shared" ref="E260:E291" si="20">IF(A260="","",IF(A260&lt;&gt;"Carte Lux",D260,VLOOKUP(D260,Periode_datedebit_2019,3)))</f>
        <v>43501</v>
      </c>
      <c r="F260" t="s">
        <v>143</v>
      </c>
      <c r="G260" t="s">
        <v>144</v>
      </c>
      <c r="H260" t="s">
        <v>145</v>
      </c>
      <c r="I260" t="s">
        <v>7</v>
      </c>
      <c r="J260" s="23">
        <v>131.16</v>
      </c>
      <c r="K260" t="str">
        <f t="shared" si="18"/>
        <v>février</v>
      </c>
      <c r="L260" t="str">
        <f t="shared" si="19"/>
        <v>Recettes</v>
      </c>
    </row>
    <row r="261" spans="1:12" ht="15" customHeight="1" x14ac:dyDescent="0.2">
      <c r="A261" t="s">
        <v>2</v>
      </c>
      <c r="B261" t="s">
        <v>8</v>
      </c>
      <c r="D261" s="2">
        <v>43502</v>
      </c>
      <c r="E261" s="2">
        <f t="shared" si="20"/>
        <v>43535</v>
      </c>
      <c r="F261" t="s">
        <v>358</v>
      </c>
      <c r="G261" t="s">
        <v>10</v>
      </c>
      <c r="H261" t="s">
        <v>11</v>
      </c>
      <c r="I261" t="s">
        <v>7</v>
      </c>
      <c r="J261" s="22">
        <v>-25</v>
      </c>
      <c r="K261" t="str">
        <f t="shared" si="18"/>
        <v>février</v>
      </c>
      <c r="L261" t="str">
        <f t="shared" si="19"/>
        <v>Dépenses</v>
      </c>
    </row>
    <row r="262" spans="1:12" ht="15" customHeight="1" x14ac:dyDescent="0.2">
      <c r="A262" t="s">
        <v>2</v>
      </c>
      <c r="B262" t="s">
        <v>8</v>
      </c>
      <c r="D262" s="2">
        <v>43502</v>
      </c>
      <c r="E262" s="2">
        <f t="shared" si="20"/>
        <v>43535</v>
      </c>
      <c r="F262" t="s">
        <v>32</v>
      </c>
      <c r="G262" t="s">
        <v>5</v>
      </c>
      <c r="H262" t="s">
        <v>22</v>
      </c>
      <c r="I262" t="s">
        <v>7</v>
      </c>
      <c r="J262" s="22">
        <v>-5.85</v>
      </c>
      <c r="K262" t="str">
        <f t="shared" si="18"/>
        <v>février</v>
      </c>
      <c r="L262" t="str">
        <f t="shared" si="19"/>
        <v>Dépenses</v>
      </c>
    </row>
    <row r="263" spans="1:12" ht="15" customHeight="1" x14ac:dyDescent="0.2">
      <c r="A263" t="s">
        <v>108</v>
      </c>
      <c r="B263" t="s">
        <v>109</v>
      </c>
      <c r="C263" t="s">
        <v>356</v>
      </c>
      <c r="D263" s="2">
        <v>43502</v>
      </c>
      <c r="E263" s="2">
        <f t="shared" si="20"/>
        <v>43502</v>
      </c>
      <c r="F263" t="s">
        <v>48</v>
      </c>
      <c r="G263" t="s">
        <v>49</v>
      </c>
      <c r="H263" t="s">
        <v>23</v>
      </c>
      <c r="I263" t="s">
        <v>7</v>
      </c>
      <c r="J263" s="22">
        <v>-6.04</v>
      </c>
      <c r="K263" t="str">
        <f t="shared" si="18"/>
        <v>février</v>
      </c>
      <c r="L263" t="str">
        <f t="shared" si="19"/>
        <v>Dépenses</v>
      </c>
    </row>
    <row r="264" spans="1:12" x14ac:dyDescent="0.2">
      <c r="A264" t="s">
        <v>108</v>
      </c>
      <c r="B264" t="s">
        <v>109</v>
      </c>
      <c r="C264" t="s">
        <v>356</v>
      </c>
      <c r="D264" s="2">
        <v>43502</v>
      </c>
      <c r="E264" s="2">
        <f t="shared" si="20"/>
        <v>43502</v>
      </c>
      <c r="F264" t="s">
        <v>357</v>
      </c>
      <c r="G264" t="s">
        <v>19</v>
      </c>
      <c r="H264" t="s">
        <v>23</v>
      </c>
      <c r="I264" t="s">
        <v>7</v>
      </c>
      <c r="J264" s="22">
        <v>-3.08</v>
      </c>
      <c r="K264" t="str">
        <f t="shared" si="18"/>
        <v>février</v>
      </c>
      <c r="L264" t="str">
        <f t="shared" si="19"/>
        <v>Dépenses</v>
      </c>
    </row>
    <row r="265" spans="1:12" x14ac:dyDescent="0.2">
      <c r="A265" t="s">
        <v>108</v>
      </c>
      <c r="B265" t="s">
        <v>109</v>
      </c>
      <c r="C265" t="s">
        <v>356</v>
      </c>
      <c r="D265" s="2">
        <v>43502</v>
      </c>
      <c r="E265" s="2">
        <f t="shared" si="20"/>
        <v>43502</v>
      </c>
      <c r="F265" t="s">
        <v>5</v>
      </c>
      <c r="G265" t="s">
        <v>5</v>
      </c>
      <c r="H265" t="s">
        <v>23</v>
      </c>
      <c r="I265" t="s">
        <v>7</v>
      </c>
      <c r="J265" s="22">
        <f>-28.11--6.04--3.08</f>
        <v>-18.990000000000002</v>
      </c>
      <c r="K265" t="str">
        <f t="shared" si="18"/>
        <v>février</v>
      </c>
      <c r="L265" t="str">
        <f t="shared" si="19"/>
        <v>Dépenses</v>
      </c>
    </row>
    <row r="266" spans="1:12" ht="11.25" customHeight="1" x14ac:dyDescent="0.2">
      <c r="A266" t="s">
        <v>108</v>
      </c>
      <c r="B266" s="4" t="s">
        <v>70</v>
      </c>
      <c r="C266" s="7" t="s">
        <v>314</v>
      </c>
      <c r="D266" s="2">
        <v>43502</v>
      </c>
      <c r="E266" s="2">
        <f t="shared" si="20"/>
        <v>43502</v>
      </c>
      <c r="F266" t="s">
        <v>184</v>
      </c>
      <c r="G266" t="s">
        <v>106</v>
      </c>
      <c r="H266" t="s">
        <v>185</v>
      </c>
      <c r="I266" t="s">
        <v>7</v>
      </c>
      <c r="J266" s="23">
        <v>-0.99</v>
      </c>
      <c r="K266" t="str">
        <f t="shared" si="18"/>
        <v>février</v>
      </c>
      <c r="L266" t="str">
        <f t="shared" si="19"/>
        <v>Dépenses</v>
      </c>
    </row>
    <row r="267" spans="1:12" ht="11.25" customHeight="1" x14ac:dyDescent="0.2">
      <c r="A267" t="s">
        <v>2</v>
      </c>
      <c r="B267" t="s">
        <v>3</v>
      </c>
      <c r="D267" s="2">
        <v>43503</v>
      </c>
      <c r="E267" s="2">
        <f t="shared" si="20"/>
        <v>43535</v>
      </c>
      <c r="F267" t="s">
        <v>366</v>
      </c>
      <c r="G267" t="s">
        <v>19</v>
      </c>
      <c r="H267" t="s">
        <v>17</v>
      </c>
      <c r="I267" t="s">
        <v>7</v>
      </c>
      <c r="J267" s="22">
        <v>-30</v>
      </c>
      <c r="K267" t="str">
        <f t="shared" si="18"/>
        <v>février</v>
      </c>
      <c r="L267" t="str">
        <f t="shared" si="19"/>
        <v>Dépenses</v>
      </c>
    </row>
    <row r="268" spans="1:12" ht="11.25" customHeight="1" x14ac:dyDescent="0.2">
      <c r="A268" t="s">
        <v>2</v>
      </c>
      <c r="B268" t="s">
        <v>3</v>
      </c>
      <c r="D268" s="2">
        <v>43503</v>
      </c>
      <c r="E268" s="2">
        <f t="shared" si="20"/>
        <v>43535</v>
      </c>
      <c r="F268" t="s">
        <v>5</v>
      </c>
      <c r="G268" t="s">
        <v>5</v>
      </c>
      <c r="H268" t="s">
        <v>23</v>
      </c>
      <c r="I268" t="s">
        <v>7</v>
      </c>
      <c r="J268" s="22">
        <v>-70.739999999999995</v>
      </c>
      <c r="K268" t="str">
        <f t="shared" si="18"/>
        <v>février</v>
      </c>
      <c r="L268" t="str">
        <f t="shared" si="19"/>
        <v>Dépenses</v>
      </c>
    </row>
    <row r="269" spans="1:12" ht="11.25" customHeight="1" x14ac:dyDescent="0.2">
      <c r="A269" t="s">
        <v>94</v>
      </c>
      <c r="B269" s="4" t="s">
        <v>70</v>
      </c>
      <c r="C269" s="7" t="s">
        <v>360</v>
      </c>
      <c r="D269" s="2">
        <v>43503</v>
      </c>
      <c r="E269" s="2">
        <f t="shared" si="20"/>
        <v>43503</v>
      </c>
      <c r="F269" t="s">
        <v>157</v>
      </c>
      <c r="G269" t="s">
        <v>158</v>
      </c>
      <c r="H269" t="s">
        <v>87</v>
      </c>
      <c r="I269" t="s">
        <v>7</v>
      </c>
      <c r="J269" s="23">
        <v>-7.43</v>
      </c>
      <c r="K269" t="str">
        <f t="shared" si="18"/>
        <v>février</v>
      </c>
      <c r="L269" t="str">
        <f t="shared" si="19"/>
        <v>Dépenses</v>
      </c>
    </row>
    <row r="270" spans="1:12" ht="11.25" customHeight="1" x14ac:dyDescent="0.2">
      <c r="A270" t="s">
        <v>94</v>
      </c>
      <c r="B270" s="4" t="s">
        <v>70</v>
      </c>
      <c r="C270" s="7" t="s">
        <v>363</v>
      </c>
      <c r="D270" s="2">
        <v>43503</v>
      </c>
      <c r="E270" s="2">
        <f t="shared" si="20"/>
        <v>43503</v>
      </c>
      <c r="F270" t="s">
        <v>165</v>
      </c>
      <c r="G270" t="s">
        <v>158</v>
      </c>
      <c r="H270" t="s">
        <v>166</v>
      </c>
      <c r="I270" t="s">
        <v>7</v>
      </c>
      <c r="J270" s="23">
        <v>-27.35</v>
      </c>
      <c r="K270" t="str">
        <f t="shared" si="18"/>
        <v>février</v>
      </c>
      <c r="L270" t="str">
        <f t="shared" si="19"/>
        <v>Dépenses</v>
      </c>
    </row>
    <row r="271" spans="1:12" ht="15" customHeight="1" x14ac:dyDescent="0.2">
      <c r="A271" t="s">
        <v>94</v>
      </c>
      <c r="B271" s="4" t="s">
        <v>70</v>
      </c>
      <c r="C271" s="7" t="s">
        <v>364</v>
      </c>
      <c r="D271" s="2">
        <v>43503</v>
      </c>
      <c r="E271" s="2">
        <f t="shared" si="20"/>
        <v>43503</v>
      </c>
      <c r="F271" t="s">
        <v>165</v>
      </c>
      <c r="G271" t="s">
        <v>158</v>
      </c>
      <c r="H271" t="s">
        <v>166</v>
      </c>
      <c r="I271" t="s">
        <v>7</v>
      </c>
      <c r="J271" s="23">
        <v>-25.2</v>
      </c>
      <c r="K271" t="str">
        <f t="shared" si="18"/>
        <v>février</v>
      </c>
      <c r="L271" t="str">
        <f t="shared" si="19"/>
        <v>Dépenses</v>
      </c>
    </row>
    <row r="272" spans="1:12" ht="11.25" customHeight="1" x14ac:dyDescent="0.2">
      <c r="A272" t="s">
        <v>94</v>
      </c>
      <c r="B272" s="4" t="s">
        <v>70</v>
      </c>
      <c r="C272" s="7" t="s">
        <v>365</v>
      </c>
      <c r="D272" s="2">
        <v>43503</v>
      </c>
      <c r="E272" s="2">
        <f t="shared" si="20"/>
        <v>43503</v>
      </c>
      <c r="F272" t="s">
        <v>169</v>
      </c>
      <c r="G272" t="s">
        <v>158</v>
      </c>
      <c r="H272" t="s">
        <v>166</v>
      </c>
      <c r="I272" t="s">
        <v>7</v>
      </c>
      <c r="J272" s="23">
        <v>-34.33</v>
      </c>
      <c r="K272" t="str">
        <f t="shared" si="18"/>
        <v>février</v>
      </c>
      <c r="L272" t="str">
        <f t="shared" si="19"/>
        <v>Dépenses</v>
      </c>
    </row>
    <row r="273" spans="1:12" x14ac:dyDescent="0.2">
      <c r="A273" t="s">
        <v>69</v>
      </c>
      <c r="B273" s="4" t="s">
        <v>84</v>
      </c>
      <c r="D273" s="2">
        <v>43503</v>
      </c>
      <c r="E273" s="2">
        <f t="shared" si="20"/>
        <v>43503</v>
      </c>
      <c r="F273" t="s">
        <v>361</v>
      </c>
      <c r="G273" t="s">
        <v>111</v>
      </c>
      <c r="H273" t="s">
        <v>362</v>
      </c>
      <c r="I273" t="s">
        <v>7</v>
      </c>
      <c r="J273" s="22">
        <v>7.65</v>
      </c>
      <c r="K273" t="str">
        <f t="shared" si="18"/>
        <v>février</v>
      </c>
      <c r="L273" t="str">
        <f t="shared" si="19"/>
        <v>Recettes</v>
      </c>
    </row>
    <row r="274" spans="1:12" ht="15" customHeight="1" x14ac:dyDescent="0.2">
      <c r="A274" t="s">
        <v>108</v>
      </c>
      <c r="D274" s="2">
        <v>43503</v>
      </c>
      <c r="E274" s="2">
        <f t="shared" si="20"/>
        <v>43503</v>
      </c>
      <c r="F274" t="s">
        <v>359</v>
      </c>
      <c r="I274" t="s">
        <v>7</v>
      </c>
      <c r="J274" s="22">
        <v>-5.9</v>
      </c>
      <c r="K274" t="str">
        <f t="shared" si="18"/>
        <v>février</v>
      </c>
      <c r="L274" t="str">
        <f t="shared" si="19"/>
        <v>Dépenses</v>
      </c>
    </row>
    <row r="275" spans="1:12" x14ac:dyDescent="0.2">
      <c r="A275" t="s">
        <v>2</v>
      </c>
      <c r="B275" t="s">
        <v>8</v>
      </c>
      <c r="D275" s="2">
        <v>43504</v>
      </c>
      <c r="E275" s="2">
        <f t="shared" si="20"/>
        <v>43535</v>
      </c>
      <c r="F275" t="s">
        <v>32</v>
      </c>
      <c r="G275" t="s">
        <v>5</v>
      </c>
      <c r="H275" t="s">
        <v>22</v>
      </c>
      <c r="I275" t="s">
        <v>7</v>
      </c>
      <c r="J275" s="22">
        <v>-8.1199999999999992</v>
      </c>
      <c r="K275" t="str">
        <f t="shared" si="18"/>
        <v>février</v>
      </c>
      <c r="L275" t="str">
        <f t="shared" si="19"/>
        <v>Dépenses</v>
      </c>
    </row>
    <row r="276" spans="1:12" ht="11.25" customHeight="1" x14ac:dyDescent="0.2">
      <c r="A276" t="s">
        <v>2</v>
      </c>
      <c r="B276" t="s">
        <v>3</v>
      </c>
      <c r="C276" t="s">
        <v>372</v>
      </c>
      <c r="D276" s="2">
        <v>43504</v>
      </c>
      <c r="E276" s="2">
        <f t="shared" si="20"/>
        <v>43535</v>
      </c>
      <c r="F276" t="s">
        <v>303</v>
      </c>
      <c r="G276" t="s">
        <v>49</v>
      </c>
      <c r="H276" t="s">
        <v>23</v>
      </c>
      <c r="I276" t="s">
        <v>7</v>
      </c>
      <c r="J276" s="22">
        <f>-3.07-1.5-1.64-3.33-2.95-4.97-3.8</f>
        <v>-21.259999999999998</v>
      </c>
      <c r="K276" t="str">
        <f t="shared" si="18"/>
        <v>février</v>
      </c>
      <c r="L276" t="str">
        <f t="shared" si="19"/>
        <v>Dépenses</v>
      </c>
    </row>
    <row r="277" spans="1:12" x14ac:dyDescent="0.2">
      <c r="A277" t="s">
        <v>2</v>
      </c>
      <c r="B277" t="s">
        <v>3</v>
      </c>
      <c r="C277" t="s">
        <v>372</v>
      </c>
      <c r="D277" s="2">
        <v>43504</v>
      </c>
      <c r="E277" s="2">
        <f t="shared" si="20"/>
        <v>43535</v>
      </c>
      <c r="F277" t="s">
        <v>5</v>
      </c>
      <c r="G277" t="s">
        <v>5</v>
      </c>
      <c r="H277" t="s">
        <v>23</v>
      </c>
      <c r="I277" t="s">
        <v>7</v>
      </c>
      <c r="J277" s="22">
        <f>-101.68--21.26</f>
        <v>-80.42</v>
      </c>
      <c r="K277" t="str">
        <f t="shared" si="18"/>
        <v>février</v>
      </c>
      <c r="L277" t="str">
        <f t="shared" si="19"/>
        <v>Dépenses</v>
      </c>
    </row>
    <row r="278" spans="1:12" ht="15" customHeight="1" x14ac:dyDescent="0.2">
      <c r="A278" t="s">
        <v>94</v>
      </c>
      <c r="B278" s="4" t="s">
        <v>70</v>
      </c>
      <c r="C278" s="7" t="s">
        <v>369</v>
      </c>
      <c r="D278" s="2">
        <v>43504</v>
      </c>
      <c r="E278" s="2">
        <f t="shared" si="20"/>
        <v>43504</v>
      </c>
      <c r="F278" t="s">
        <v>187</v>
      </c>
      <c r="G278" t="s">
        <v>158</v>
      </c>
      <c r="H278" t="s">
        <v>188</v>
      </c>
      <c r="I278" t="s">
        <v>7</v>
      </c>
      <c r="J278" s="23">
        <v>-8.99</v>
      </c>
      <c r="K278" t="str">
        <f t="shared" si="18"/>
        <v>février</v>
      </c>
      <c r="L278" t="str">
        <f t="shared" si="19"/>
        <v>Dépenses</v>
      </c>
    </row>
    <row r="279" spans="1:12" ht="15" customHeight="1" x14ac:dyDescent="0.2">
      <c r="A279" t="s">
        <v>94</v>
      </c>
      <c r="B279" s="4" t="s">
        <v>70</v>
      </c>
      <c r="C279" s="7" t="s">
        <v>369</v>
      </c>
      <c r="D279" s="2">
        <v>43504</v>
      </c>
      <c r="E279" s="2">
        <f t="shared" si="20"/>
        <v>43504</v>
      </c>
      <c r="F279" t="s">
        <v>189</v>
      </c>
      <c r="G279" t="s">
        <v>158</v>
      </c>
      <c r="H279" t="s">
        <v>188</v>
      </c>
      <c r="I279" t="s">
        <v>7</v>
      </c>
      <c r="J279" s="23">
        <v>-6.99</v>
      </c>
      <c r="K279" t="str">
        <f t="shared" si="18"/>
        <v>février</v>
      </c>
      <c r="L279" t="str">
        <f t="shared" si="19"/>
        <v>Dépenses</v>
      </c>
    </row>
    <row r="280" spans="1:12" ht="15" customHeight="1" x14ac:dyDescent="0.2">
      <c r="A280" t="s">
        <v>94</v>
      </c>
      <c r="B280" s="4" t="s">
        <v>84</v>
      </c>
      <c r="D280" s="2">
        <v>43504</v>
      </c>
      <c r="E280" s="2">
        <f t="shared" si="20"/>
        <v>43504</v>
      </c>
      <c r="F280" t="s">
        <v>370</v>
      </c>
      <c r="G280" t="s">
        <v>336</v>
      </c>
      <c r="I280" t="s">
        <v>7</v>
      </c>
      <c r="J280" s="22">
        <v>300</v>
      </c>
      <c r="K280" t="str">
        <f t="shared" si="18"/>
        <v>février</v>
      </c>
      <c r="L280" t="str">
        <f t="shared" si="19"/>
        <v>Recettes</v>
      </c>
    </row>
    <row r="281" spans="1:12" ht="15" customHeight="1" x14ac:dyDescent="0.2">
      <c r="A281" t="s">
        <v>108</v>
      </c>
      <c r="D281" s="2">
        <v>43504</v>
      </c>
      <c r="E281" s="2">
        <f t="shared" si="20"/>
        <v>43504</v>
      </c>
      <c r="F281" t="s">
        <v>367</v>
      </c>
      <c r="G281" t="s">
        <v>19</v>
      </c>
      <c r="H281" t="s">
        <v>20</v>
      </c>
      <c r="I281" t="s">
        <v>7</v>
      </c>
      <c r="J281" s="22">
        <v>-45</v>
      </c>
      <c r="K281" t="str">
        <f t="shared" si="18"/>
        <v>février</v>
      </c>
      <c r="L281" t="str">
        <f t="shared" si="19"/>
        <v>Dépenses</v>
      </c>
    </row>
    <row r="282" spans="1:12" ht="11.25" customHeight="1" x14ac:dyDescent="0.2">
      <c r="A282" t="s">
        <v>108</v>
      </c>
      <c r="D282" s="2">
        <v>43504</v>
      </c>
      <c r="E282" s="2">
        <f t="shared" si="20"/>
        <v>43504</v>
      </c>
      <c r="F282" t="s">
        <v>368</v>
      </c>
      <c r="I282" t="s">
        <v>7</v>
      </c>
      <c r="J282" s="22">
        <v>-17</v>
      </c>
      <c r="K282" t="str">
        <f t="shared" si="18"/>
        <v>février</v>
      </c>
      <c r="L282" t="str">
        <f t="shared" si="19"/>
        <v>Dépenses</v>
      </c>
    </row>
    <row r="283" spans="1:12" ht="11.25" customHeight="1" x14ac:dyDescent="0.2">
      <c r="A283" t="s">
        <v>94</v>
      </c>
      <c r="D283" s="2">
        <v>43504</v>
      </c>
      <c r="E283" s="2">
        <f t="shared" si="20"/>
        <v>43504</v>
      </c>
      <c r="F283" t="s">
        <v>371</v>
      </c>
      <c r="G283" t="s">
        <v>86</v>
      </c>
      <c r="I283" t="s">
        <v>7</v>
      </c>
      <c r="J283" s="22">
        <v>-9</v>
      </c>
      <c r="K283" t="str">
        <f t="shared" si="18"/>
        <v>février</v>
      </c>
      <c r="L283" t="str">
        <f t="shared" si="19"/>
        <v>Dépenses</v>
      </c>
    </row>
    <row r="284" spans="1:12" x14ac:dyDescent="0.2">
      <c r="A284" t="s">
        <v>2</v>
      </c>
      <c r="B284" t="s">
        <v>3</v>
      </c>
      <c r="D284" s="2">
        <v>43505</v>
      </c>
      <c r="E284" s="2">
        <f t="shared" si="20"/>
        <v>43535</v>
      </c>
      <c r="F284" t="s">
        <v>5</v>
      </c>
      <c r="G284" t="s">
        <v>5</v>
      </c>
      <c r="H284" t="s">
        <v>23</v>
      </c>
      <c r="I284" t="s">
        <v>7</v>
      </c>
      <c r="J284" s="22">
        <v>-36.51</v>
      </c>
      <c r="K284" t="str">
        <f t="shared" si="18"/>
        <v>février</v>
      </c>
      <c r="L284" t="str">
        <f t="shared" si="19"/>
        <v>Dépenses</v>
      </c>
    </row>
    <row r="285" spans="1:12" x14ac:dyDescent="0.2">
      <c r="A285" t="s">
        <v>108</v>
      </c>
      <c r="B285" t="s">
        <v>109</v>
      </c>
      <c r="D285" s="2">
        <v>43505</v>
      </c>
      <c r="E285" s="2">
        <f t="shared" si="20"/>
        <v>43505</v>
      </c>
      <c r="F285" t="s">
        <v>373</v>
      </c>
      <c r="G285" t="s">
        <v>127</v>
      </c>
      <c r="I285" t="s">
        <v>7</v>
      </c>
      <c r="J285" s="22">
        <v>-47.99</v>
      </c>
      <c r="K285" t="str">
        <f t="shared" si="18"/>
        <v>février</v>
      </c>
      <c r="L285" t="str">
        <f t="shared" si="19"/>
        <v>Dépenses</v>
      </c>
    </row>
    <row r="286" spans="1:12" ht="15" customHeight="1" x14ac:dyDescent="0.2">
      <c r="A286" t="s">
        <v>69</v>
      </c>
      <c r="B286" s="4" t="s">
        <v>84</v>
      </c>
      <c r="D286" s="2">
        <v>43505</v>
      </c>
      <c r="E286" s="2">
        <f t="shared" si="20"/>
        <v>43505</v>
      </c>
      <c r="F286" t="s">
        <v>374</v>
      </c>
      <c r="G286" t="s">
        <v>111</v>
      </c>
      <c r="H286" t="s">
        <v>362</v>
      </c>
      <c r="I286" t="s">
        <v>7</v>
      </c>
      <c r="J286" s="22">
        <v>345.53</v>
      </c>
      <c r="K286" t="str">
        <f t="shared" si="18"/>
        <v>février</v>
      </c>
      <c r="L286" t="str">
        <f t="shared" si="19"/>
        <v>Recettes</v>
      </c>
    </row>
    <row r="287" spans="1:12" x14ac:dyDescent="0.2">
      <c r="A287" t="s">
        <v>2</v>
      </c>
      <c r="B287" t="s">
        <v>8</v>
      </c>
      <c r="D287" s="2">
        <v>43506</v>
      </c>
      <c r="E287" s="2">
        <f t="shared" si="20"/>
        <v>43535</v>
      </c>
      <c r="F287" t="s">
        <v>341</v>
      </c>
      <c r="G287" t="s">
        <v>5</v>
      </c>
      <c r="H287" t="s">
        <v>33</v>
      </c>
      <c r="I287" t="s">
        <v>7</v>
      </c>
      <c r="J287" s="22">
        <v>-10.3</v>
      </c>
      <c r="K287" t="str">
        <f t="shared" si="18"/>
        <v>février</v>
      </c>
      <c r="L287" t="str">
        <f t="shared" si="19"/>
        <v>Dépenses</v>
      </c>
    </row>
    <row r="288" spans="1:12" ht="11.25" customHeight="1" x14ac:dyDescent="0.2">
      <c r="A288" t="s">
        <v>108</v>
      </c>
      <c r="B288" s="4" t="s">
        <v>70</v>
      </c>
      <c r="C288" s="7" t="s">
        <v>375</v>
      </c>
      <c r="D288" s="2">
        <v>43506</v>
      </c>
      <c r="E288" s="2">
        <f t="shared" si="20"/>
        <v>43506</v>
      </c>
      <c r="F288" t="s">
        <v>198</v>
      </c>
      <c r="G288" t="s">
        <v>199</v>
      </c>
      <c r="H288" t="s">
        <v>200</v>
      </c>
      <c r="I288" t="s">
        <v>7</v>
      </c>
      <c r="J288" s="23">
        <v>1091.68</v>
      </c>
      <c r="K288" t="str">
        <f t="shared" si="18"/>
        <v>février</v>
      </c>
      <c r="L288" t="str">
        <f t="shared" si="19"/>
        <v>Recettes</v>
      </c>
    </row>
    <row r="289" spans="1:12" x14ac:dyDescent="0.2">
      <c r="A289" t="s">
        <v>2</v>
      </c>
      <c r="B289" t="s">
        <v>3</v>
      </c>
      <c r="C289" t="s">
        <v>385</v>
      </c>
      <c r="D289" s="2">
        <v>43507</v>
      </c>
      <c r="E289" s="2">
        <f t="shared" si="20"/>
        <v>43535</v>
      </c>
      <c r="F289" t="s">
        <v>386</v>
      </c>
      <c r="G289" t="s">
        <v>270</v>
      </c>
      <c r="H289" t="s">
        <v>23</v>
      </c>
      <c r="I289" t="s">
        <v>7</v>
      </c>
      <c r="J289" s="22">
        <f>-7.05*2</f>
        <v>-14.1</v>
      </c>
      <c r="K289" t="str">
        <f t="shared" si="18"/>
        <v>février</v>
      </c>
      <c r="L289" t="str">
        <f t="shared" si="19"/>
        <v>Dépenses</v>
      </c>
    </row>
    <row r="290" spans="1:12" x14ac:dyDescent="0.2">
      <c r="A290" t="s">
        <v>2</v>
      </c>
      <c r="B290" t="s">
        <v>3</v>
      </c>
      <c r="C290" t="s">
        <v>385</v>
      </c>
      <c r="D290" s="2">
        <v>43507</v>
      </c>
      <c r="E290" s="2">
        <f t="shared" si="20"/>
        <v>43535</v>
      </c>
      <c r="F290" t="s">
        <v>5</v>
      </c>
      <c r="G290" t="s">
        <v>5</v>
      </c>
      <c r="H290" t="s">
        <v>23</v>
      </c>
      <c r="I290" t="s">
        <v>7</v>
      </c>
      <c r="J290" s="22">
        <f>-31.62--14.1</f>
        <v>-17.520000000000003</v>
      </c>
      <c r="K290" t="str">
        <f t="shared" si="18"/>
        <v>février</v>
      </c>
      <c r="L290" t="str">
        <f t="shared" si="19"/>
        <v>Dépenses</v>
      </c>
    </row>
    <row r="291" spans="1:12" x14ac:dyDescent="0.2">
      <c r="A291" t="s">
        <v>108</v>
      </c>
      <c r="B291" t="s">
        <v>109</v>
      </c>
      <c r="D291" s="2">
        <v>43507</v>
      </c>
      <c r="E291" s="2">
        <f t="shared" si="20"/>
        <v>43507</v>
      </c>
      <c r="F291" t="s">
        <v>377</v>
      </c>
      <c r="G291" t="s">
        <v>5</v>
      </c>
      <c r="I291" t="s">
        <v>7</v>
      </c>
      <c r="J291" s="22">
        <v>-9.0500000000000007</v>
      </c>
      <c r="K291" t="str">
        <f t="shared" si="18"/>
        <v>février</v>
      </c>
      <c r="L291" t="str">
        <f t="shared" si="19"/>
        <v>Dépenses</v>
      </c>
    </row>
    <row r="292" spans="1:12" x14ac:dyDescent="0.2">
      <c r="A292" t="s">
        <v>108</v>
      </c>
      <c r="B292" t="s">
        <v>109</v>
      </c>
      <c r="D292" s="2">
        <v>43507</v>
      </c>
      <c r="E292" s="2">
        <f t="shared" ref="E292:E323" si="21">IF(A292="","",IF(A292&lt;&gt;"Carte Lux",D292,VLOOKUP(D292,Periode_datedebit_2019,3)))</f>
        <v>43507</v>
      </c>
      <c r="F292" t="s">
        <v>32</v>
      </c>
      <c r="G292" t="s">
        <v>5</v>
      </c>
      <c r="I292" t="s">
        <v>7</v>
      </c>
      <c r="J292" s="22">
        <v>-1.25</v>
      </c>
      <c r="K292" t="str">
        <f t="shared" si="18"/>
        <v>février</v>
      </c>
      <c r="L292" t="str">
        <f t="shared" si="19"/>
        <v>Dépenses</v>
      </c>
    </row>
    <row r="293" spans="1:12" x14ac:dyDescent="0.2">
      <c r="A293" t="s">
        <v>108</v>
      </c>
      <c r="B293" t="s">
        <v>109</v>
      </c>
      <c r="D293" s="2">
        <v>43507</v>
      </c>
      <c r="E293" s="2">
        <f t="shared" si="21"/>
        <v>43507</v>
      </c>
      <c r="F293" t="s">
        <v>380</v>
      </c>
      <c r="G293" t="s">
        <v>16</v>
      </c>
      <c r="I293" t="s">
        <v>7</v>
      </c>
      <c r="J293" s="22">
        <v>-20</v>
      </c>
      <c r="K293" t="str">
        <f t="shared" si="18"/>
        <v>février</v>
      </c>
      <c r="L293" t="str">
        <f t="shared" si="19"/>
        <v>Dépenses</v>
      </c>
    </row>
    <row r="294" spans="1:12" ht="11.25" customHeight="1" x14ac:dyDescent="0.2">
      <c r="A294" t="s">
        <v>108</v>
      </c>
      <c r="B294" t="s">
        <v>109</v>
      </c>
      <c r="D294" s="2">
        <v>43507</v>
      </c>
      <c r="E294" s="2">
        <f t="shared" si="21"/>
        <v>43507</v>
      </c>
      <c r="F294" t="s">
        <v>384</v>
      </c>
      <c r="G294" t="s">
        <v>21</v>
      </c>
      <c r="H294" t="s">
        <v>64</v>
      </c>
      <c r="I294" t="s">
        <v>7</v>
      </c>
      <c r="J294" s="22">
        <v>-14.7</v>
      </c>
      <c r="K294" t="str">
        <f t="shared" si="18"/>
        <v>février</v>
      </c>
      <c r="L294" t="str">
        <f t="shared" si="19"/>
        <v>Dépenses</v>
      </c>
    </row>
    <row r="295" spans="1:12" x14ac:dyDescent="0.2">
      <c r="A295" t="s">
        <v>108</v>
      </c>
      <c r="B295" t="s">
        <v>109</v>
      </c>
      <c r="D295" s="2">
        <v>43507</v>
      </c>
      <c r="E295" s="2">
        <f t="shared" si="21"/>
        <v>43507</v>
      </c>
      <c r="F295" t="s">
        <v>384</v>
      </c>
      <c r="G295" t="s">
        <v>63</v>
      </c>
      <c r="H295" t="s">
        <v>64</v>
      </c>
      <c r="I295" t="s">
        <v>7</v>
      </c>
      <c r="J295" s="22">
        <f>-39.9--14.7</f>
        <v>-25.2</v>
      </c>
      <c r="K295" t="str">
        <f t="shared" si="18"/>
        <v>février</v>
      </c>
      <c r="L295" t="str">
        <f t="shared" si="19"/>
        <v>Dépenses</v>
      </c>
    </row>
    <row r="296" spans="1:12" ht="15" customHeight="1" x14ac:dyDescent="0.2">
      <c r="A296" t="s">
        <v>108</v>
      </c>
      <c r="B296" s="4" t="s">
        <v>70</v>
      </c>
      <c r="C296" s="7" t="s">
        <v>376</v>
      </c>
      <c r="D296" s="2">
        <v>43507</v>
      </c>
      <c r="E296" s="2">
        <f t="shared" si="21"/>
        <v>43507</v>
      </c>
      <c r="F296" t="s">
        <v>206</v>
      </c>
      <c r="G296" t="s">
        <v>111</v>
      </c>
      <c r="H296" t="s">
        <v>207</v>
      </c>
      <c r="I296" t="s">
        <v>7</v>
      </c>
      <c r="J296" s="22">
        <v>-33.44</v>
      </c>
      <c r="K296" t="str">
        <f t="shared" si="18"/>
        <v>février</v>
      </c>
      <c r="L296" t="str">
        <f t="shared" si="19"/>
        <v>Dépenses</v>
      </c>
    </row>
    <row r="297" spans="1:12" ht="15" customHeight="1" x14ac:dyDescent="0.2">
      <c r="A297" t="s">
        <v>94</v>
      </c>
      <c r="B297" s="4" t="s">
        <v>70</v>
      </c>
      <c r="C297" s="7" t="s">
        <v>378</v>
      </c>
      <c r="D297" s="2">
        <v>43507</v>
      </c>
      <c r="E297" s="2">
        <f t="shared" si="21"/>
        <v>43507</v>
      </c>
      <c r="F297" t="s">
        <v>202</v>
      </c>
      <c r="G297" t="s">
        <v>158</v>
      </c>
      <c r="H297" t="s">
        <v>87</v>
      </c>
      <c r="I297" t="s">
        <v>7</v>
      </c>
      <c r="J297" s="23">
        <v>-15</v>
      </c>
      <c r="K297" t="str">
        <f t="shared" si="18"/>
        <v>février</v>
      </c>
      <c r="L297" t="str">
        <f t="shared" si="19"/>
        <v>Dépenses</v>
      </c>
    </row>
    <row r="298" spans="1:12" ht="15" customHeight="1" x14ac:dyDescent="0.2">
      <c r="A298" t="s">
        <v>94</v>
      </c>
      <c r="B298" s="4" t="s">
        <v>70</v>
      </c>
      <c r="C298" s="7" t="s">
        <v>379</v>
      </c>
      <c r="D298" s="2">
        <v>43507</v>
      </c>
      <c r="E298" s="2">
        <f t="shared" si="21"/>
        <v>43507</v>
      </c>
      <c r="F298" t="s">
        <v>204</v>
      </c>
      <c r="G298" t="s">
        <v>158</v>
      </c>
      <c r="H298" t="s">
        <v>87</v>
      </c>
      <c r="I298" t="s">
        <v>7</v>
      </c>
      <c r="J298" s="23">
        <v>-15</v>
      </c>
      <c r="K298" t="str">
        <f t="shared" si="18"/>
        <v>février</v>
      </c>
      <c r="L298" t="str">
        <f t="shared" si="19"/>
        <v>Dépenses</v>
      </c>
    </row>
    <row r="299" spans="1:12" ht="11.25" customHeight="1" x14ac:dyDescent="0.2">
      <c r="A299" t="s">
        <v>94</v>
      </c>
      <c r="B299" s="4" t="s">
        <v>70</v>
      </c>
      <c r="C299" s="7" t="s">
        <v>381</v>
      </c>
      <c r="D299" s="2">
        <v>43507</v>
      </c>
      <c r="E299" s="2">
        <f t="shared" si="21"/>
        <v>43507</v>
      </c>
      <c r="F299" t="s">
        <v>175</v>
      </c>
      <c r="G299" t="s">
        <v>172</v>
      </c>
      <c r="H299" t="s">
        <v>176</v>
      </c>
      <c r="I299" t="s">
        <v>7</v>
      </c>
      <c r="J299" s="23">
        <v>-27.39</v>
      </c>
      <c r="K299" t="str">
        <f t="shared" si="18"/>
        <v>février</v>
      </c>
      <c r="L299" t="str">
        <f t="shared" si="19"/>
        <v>Dépenses</v>
      </c>
    </row>
    <row r="300" spans="1:12" x14ac:dyDescent="0.2">
      <c r="A300" t="s">
        <v>69</v>
      </c>
      <c r="B300" t="s">
        <v>84</v>
      </c>
      <c r="C300" s="1" t="s">
        <v>382</v>
      </c>
      <c r="D300" s="2">
        <v>43507</v>
      </c>
      <c r="E300" s="2">
        <f t="shared" si="21"/>
        <v>43507</v>
      </c>
      <c r="F300" t="s">
        <v>383</v>
      </c>
      <c r="G300" t="s">
        <v>111</v>
      </c>
      <c r="H300" t="s">
        <v>11</v>
      </c>
      <c r="I300" t="s">
        <v>7</v>
      </c>
      <c r="J300" s="22">
        <v>-16.7</v>
      </c>
      <c r="K300" t="str">
        <f t="shared" si="18"/>
        <v>février</v>
      </c>
      <c r="L300" t="str">
        <f t="shared" si="19"/>
        <v>Dépenses</v>
      </c>
    </row>
    <row r="301" spans="1:12" x14ac:dyDescent="0.2">
      <c r="A301" t="s">
        <v>2</v>
      </c>
      <c r="B301" t="s">
        <v>8</v>
      </c>
      <c r="D301" s="2">
        <v>43508</v>
      </c>
      <c r="E301" s="2">
        <f t="shared" si="21"/>
        <v>43535</v>
      </c>
      <c r="F301" t="s">
        <v>387</v>
      </c>
      <c r="G301" t="s">
        <v>10</v>
      </c>
      <c r="I301" t="s">
        <v>7</v>
      </c>
      <c r="J301" s="22">
        <v>-1.6</v>
      </c>
      <c r="K301" t="str">
        <f t="shared" si="18"/>
        <v>février</v>
      </c>
      <c r="L301" t="str">
        <f t="shared" si="19"/>
        <v>Dépenses</v>
      </c>
    </row>
    <row r="302" spans="1:12" x14ac:dyDescent="0.2">
      <c r="A302" t="s">
        <v>2</v>
      </c>
      <c r="B302" t="s">
        <v>8</v>
      </c>
      <c r="D302" s="2">
        <v>43508</v>
      </c>
      <c r="E302" s="2">
        <f t="shared" si="21"/>
        <v>43535</v>
      </c>
      <c r="F302" t="s">
        <v>390</v>
      </c>
      <c r="G302" t="s">
        <v>111</v>
      </c>
      <c r="I302" t="s">
        <v>7</v>
      </c>
      <c r="J302" s="22">
        <v>-0.5</v>
      </c>
      <c r="K302" t="str">
        <f t="shared" si="18"/>
        <v>février</v>
      </c>
      <c r="L302" t="str">
        <f t="shared" si="19"/>
        <v>Dépenses</v>
      </c>
    </row>
    <row r="303" spans="1:12" x14ac:dyDescent="0.2">
      <c r="A303" t="s">
        <v>2</v>
      </c>
      <c r="B303" t="s">
        <v>8</v>
      </c>
      <c r="D303" s="2">
        <v>43508</v>
      </c>
      <c r="E303" s="2">
        <f t="shared" si="21"/>
        <v>43535</v>
      </c>
      <c r="F303" t="s">
        <v>391</v>
      </c>
      <c r="G303" t="s">
        <v>25</v>
      </c>
      <c r="H303" t="s">
        <v>392</v>
      </c>
      <c r="I303" t="s">
        <v>7</v>
      </c>
      <c r="J303" s="22">
        <v>-93.6</v>
      </c>
      <c r="K303" t="str">
        <f t="shared" si="18"/>
        <v>février</v>
      </c>
      <c r="L303" t="str">
        <f t="shared" si="19"/>
        <v>Dépenses</v>
      </c>
    </row>
    <row r="304" spans="1:12" x14ac:dyDescent="0.2">
      <c r="A304" t="s">
        <v>108</v>
      </c>
      <c r="B304" t="s">
        <v>109</v>
      </c>
      <c r="D304" s="2">
        <v>43508</v>
      </c>
      <c r="E304" s="2">
        <f t="shared" si="21"/>
        <v>43508</v>
      </c>
      <c r="F304" t="s">
        <v>388</v>
      </c>
      <c r="G304" t="s">
        <v>16</v>
      </c>
      <c r="I304" t="s">
        <v>7</v>
      </c>
      <c r="J304" s="22">
        <v>-84.6</v>
      </c>
      <c r="K304" t="str">
        <f t="shared" si="18"/>
        <v>février</v>
      </c>
      <c r="L304" t="str">
        <f t="shared" si="19"/>
        <v>Dépenses</v>
      </c>
    </row>
    <row r="305" spans="1:12" ht="11.25" customHeight="1" x14ac:dyDescent="0.2">
      <c r="A305" t="s">
        <v>94</v>
      </c>
      <c r="B305" t="s">
        <v>122</v>
      </c>
      <c r="C305" s="1">
        <v>8748506</v>
      </c>
      <c r="D305" s="2">
        <v>43508</v>
      </c>
      <c r="E305" s="2">
        <v>43524</v>
      </c>
      <c r="F305" t="s">
        <v>393</v>
      </c>
      <c r="G305" t="s">
        <v>254</v>
      </c>
      <c r="H305" t="s">
        <v>255</v>
      </c>
      <c r="I305" t="s">
        <v>7</v>
      </c>
      <c r="J305" s="22">
        <v>-329.77</v>
      </c>
      <c r="K305" t="str">
        <f t="shared" si="18"/>
        <v>février</v>
      </c>
      <c r="L305" t="str">
        <f t="shared" si="19"/>
        <v>Dépenses</v>
      </c>
    </row>
    <row r="306" spans="1:12" ht="11.25" customHeight="1" x14ac:dyDescent="0.2">
      <c r="A306" t="s">
        <v>69</v>
      </c>
      <c r="B306" s="4" t="s">
        <v>70</v>
      </c>
      <c r="C306" s="7" t="s">
        <v>389</v>
      </c>
      <c r="D306" s="2">
        <v>43508</v>
      </c>
      <c r="E306" s="2">
        <f t="shared" ref="E306:E369" si="22">IF(A306="","",IF(A306&lt;&gt;"Carte Lux",D306,VLOOKUP(D306,Periode_datedebit_2019,3)))</f>
        <v>43508</v>
      </c>
      <c r="F306" t="s">
        <v>147</v>
      </c>
      <c r="G306" t="s">
        <v>115</v>
      </c>
      <c r="H306" t="s">
        <v>148</v>
      </c>
      <c r="I306" t="s">
        <v>7</v>
      </c>
      <c r="J306" s="23">
        <v>-14.52</v>
      </c>
      <c r="K306" t="str">
        <f t="shared" si="18"/>
        <v>février</v>
      </c>
      <c r="L306" t="str">
        <f t="shared" si="19"/>
        <v>Dépenses</v>
      </c>
    </row>
    <row r="307" spans="1:12" ht="11.25" customHeight="1" x14ac:dyDescent="0.2">
      <c r="A307" t="s">
        <v>2</v>
      </c>
      <c r="B307" t="s">
        <v>8</v>
      </c>
      <c r="D307" s="2">
        <v>43509</v>
      </c>
      <c r="E307" s="2">
        <f t="shared" si="22"/>
        <v>43535</v>
      </c>
      <c r="F307" t="s">
        <v>9</v>
      </c>
      <c r="G307" t="s">
        <v>10</v>
      </c>
      <c r="H307" t="s">
        <v>11</v>
      </c>
      <c r="I307" t="s">
        <v>7</v>
      </c>
      <c r="J307" s="22">
        <v>-3</v>
      </c>
      <c r="K307" t="str">
        <f t="shared" si="18"/>
        <v>février</v>
      </c>
      <c r="L307" t="str">
        <f t="shared" si="19"/>
        <v>Dépenses</v>
      </c>
    </row>
    <row r="308" spans="1:12" x14ac:dyDescent="0.2">
      <c r="A308" t="s">
        <v>2</v>
      </c>
      <c r="B308" t="s">
        <v>8</v>
      </c>
      <c r="D308" s="2">
        <v>43509</v>
      </c>
      <c r="E308" s="2">
        <f t="shared" si="22"/>
        <v>43535</v>
      </c>
      <c r="F308" t="s">
        <v>9</v>
      </c>
      <c r="G308" t="s">
        <v>10</v>
      </c>
      <c r="H308" t="s">
        <v>11</v>
      </c>
      <c r="I308" t="s">
        <v>7</v>
      </c>
      <c r="J308" s="22">
        <v>-4</v>
      </c>
      <c r="K308" t="str">
        <f t="shared" si="18"/>
        <v>février</v>
      </c>
      <c r="L308" t="str">
        <f t="shared" si="19"/>
        <v>Dépenses</v>
      </c>
    </row>
    <row r="309" spans="1:12" x14ac:dyDescent="0.2">
      <c r="A309" t="s">
        <v>2</v>
      </c>
      <c r="B309" t="s">
        <v>8</v>
      </c>
      <c r="D309" s="2">
        <v>43509</v>
      </c>
      <c r="E309" s="2">
        <f t="shared" si="22"/>
        <v>43535</v>
      </c>
      <c r="F309" t="s">
        <v>401</v>
      </c>
      <c r="G309" t="s">
        <v>115</v>
      </c>
      <c r="H309" t="s">
        <v>114</v>
      </c>
      <c r="I309" t="s">
        <v>7</v>
      </c>
      <c r="J309" s="22">
        <v>-12</v>
      </c>
      <c r="K309" t="str">
        <f t="shared" si="18"/>
        <v>février</v>
      </c>
      <c r="L309" t="str">
        <f t="shared" si="19"/>
        <v>Dépenses</v>
      </c>
    </row>
    <row r="310" spans="1:12" x14ac:dyDescent="0.2">
      <c r="A310" t="s">
        <v>2</v>
      </c>
      <c r="B310" t="s">
        <v>8</v>
      </c>
      <c r="D310" s="2">
        <v>43509</v>
      </c>
      <c r="E310" s="2">
        <f t="shared" si="22"/>
        <v>43535</v>
      </c>
      <c r="F310" t="s">
        <v>402</v>
      </c>
      <c r="G310" t="s">
        <v>25</v>
      </c>
      <c r="H310" t="s">
        <v>139</v>
      </c>
      <c r="I310" t="s">
        <v>7</v>
      </c>
      <c r="J310" s="22">
        <v>-33.75</v>
      </c>
      <c r="K310" t="str">
        <f t="shared" si="18"/>
        <v>février</v>
      </c>
      <c r="L310" t="str">
        <f t="shared" si="19"/>
        <v>Dépenses</v>
      </c>
    </row>
    <row r="311" spans="1:12" x14ac:dyDescent="0.2">
      <c r="A311" t="s">
        <v>108</v>
      </c>
      <c r="B311" t="s">
        <v>109</v>
      </c>
      <c r="C311" t="s">
        <v>394</v>
      </c>
      <c r="D311" s="2">
        <v>43509</v>
      </c>
      <c r="E311" s="2">
        <f t="shared" si="22"/>
        <v>43509</v>
      </c>
      <c r="F311" t="s">
        <v>395</v>
      </c>
      <c r="G311" t="s">
        <v>49</v>
      </c>
      <c r="H311" t="s">
        <v>23</v>
      </c>
      <c r="I311" t="s">
        <v>7</v>
      </c>
      <c r="J311" s="22">
        <f>-4.43-1.64</f>
        <v>-6.0699999999999994</v>
      </c>
      <c r="K311" t="str">
        <f t="shared" si="18"/>
        <v>février</v>
      </c>
      <c r="L311" t="str">
        <f t="shared" si="19"/>
        <v>Dépenses</v>
      </c>
    </row>
    <row r="312" spans="1:12" x14ac:dyDescent="0.2">
      <c r="A312" t="s">
        <v>108</v>
      </c>
      <c r="B312" t="s">
        <v>109</v>
      </c>
      <c r="C312" t="s">
        <v>394</v>
      </c>
      <c r="D312" s="2">
        <v>43509</v>
      </c>
      <c r="E312" s="2">
        <f t="shared" si="22"/>
        <v>43509</v>
      </c>
      <c r="F312" t="s">
        <v>396</v>
      </c>
      <c r="G312" t="s">
        <v>270</v>
      </c>
      <c r="H312" t="s">
        <v>23</v>
      </c>
      <c r="I312" t="s">
        <v>7</v>
      </c>
      <c r="J312" s="22">
        <v>-1.82</v>
      </c>
      <c r="K312" t="str">
        <f t="shared" si="18"/>
        <v>février</v>
      </c>
      <c r="L312" t="str">
        <f t="shared" si="19"/>
        <v>Dépenses</v>
      </c>
    </row>
    <row r="313" spans="1:12" x14ac:dyDescent="0.2">
      <c r="A313" t="s">
        <v>108</v>
      </c>
      <c r="B313" t="s">
        <v>109</v>
      </c>
      <c r="C313" t="s">
        <v>394</v>
      </c>
      <c r="D313" s="2">
        <v>43509</v>
      </c>
      <c r="E313" s="2">
        <f t="shared" si="22"/>
        <v>43509</v>
      </c>
      <c r="F313" t="s">
        <v>397</v>
      </c>
      <c r="G313" t="s">
        <v>127</v>
      </c>
      <c r="H313" t="s">
        <v>23</v>
      </c>
      <c r="I313" t="s">
        <v>7</v>
      </c>
      <c r="J313" s="22">
        <v>-7.24</v>
      </c>
      <c r="K313" t="str">
        <f t="shared" si="18"/>
        <v>février</v>
      </c>
      <c r="L313" t="str">
        <f t="shared" si="19"/>
        <v>Dépenses</v>
      </c>
    </row>
    <row r="314" spans="1:12" x14ac:dyDescent="0.2">
      <c r="A314" t="s">
        <v>108</v>
      </c>
      <c r="B314" t="s">
        <v>109</v>
      </c>
      <c r="C314" t="s">
        <v>394</v>
      </c>
      <c r="D314" s="2">
        <v>43509</v>
      </c>
      <c r="E314" s="2">
        <f t="shared" si="22"/>
        <v>43509</v>
      </c>
      <c r="F314" t="s">
        <v>398</v>
      </c>
      <c r="G314" t="s">
        <v>5</v>
      </c>
      <c r="H314" t="s">
        <v>23</v>
      </c>
      <c r="I314" t="s">
        <v>7</v>
      </c>
      <c r="J314" s="22">
        <f>-25.24--6.07--1.82--7.24</f>
        <v>-10.109999999999998</v>
      </c>
      <c r="K314" t="str">
        <f t="shared" si="18"/>
        <v>février</v>
      </c>
      <c r="L314" t="str">
        <f t="shared" si="19"/>
        <v>Dépenses</v>
      </c>
    </row>
    <row r="315" spans="1:12" x14ac:dyDescent="0.2">
      <c r="A315" t="s">
        <v>108</v>
      </c>
      <c r="B315" t="s">
        <v>109</v>
      </c>
      <c r="D315" s="2">
        <v>43509</v>
      </c>
      <c r="E315" s="2">
        <f t="shared" si="22"/>
        <v>43509</v>
      </c>
      <c r="F315" t="s">
        <v>399</v>
      </c>
      <c r="G315" t="s">
        <v>127</v>
      </c>
      <c r="H315" t="s">
        <v>399</v>
      </c>
      <c r="I315" t="s">
        <v>7</v>
      </c>
      <c r="J315" s="22">
        <v>-14.25</v>
      </c>
      <c r="K315" t="str">
        <f t="shared" si="18"/>
        <v>février</v>
      </c>
      <c r="L315" t="str">
        <f t="shared" si="19"/>
        <v>Dépenses</v>
      </c>
    </row>
    <row r="316" spans="1:12" x14ac:dyDescent="0.2">
      <c r="A316" t="s">
        <v>108</v>
      </c>
      <c r="B316" t="s">
        <v>109</v>
      </c>
      <c r="D316" s="2">
        <v>43509</v>
      </c>
      <c r="E316" s="2">
        <f t="shared" si="22"/>
        <v>43509</v>
      </c>
      <c r="F316" t="s">
        <v>400</v>
      </c>
      <c r="G316" t="s">
        <v>16</v>
      </c>
      <c r="H316" t="s">
        <v>141</v>
      </c>
      <c r="I316" t="s">
        <v>7</v>
      </c>
      <c r="J316" s="22">
        <v>-30.58</v>
      </c>
      <c r="K316" t="str">
        <f t="shared" si="18"/>
        <v>février</v>
      </c>
      <c r="L316" t="str">
        <f t="shared" si="19"/>
        <v>Dépenses</v>
      </c>
    </row>
    <row r="317" spans="1:12" x14ac:dyDescent="0.2">
      <c r="A317" t="s">
        <v>2</v>
      </c>
      <c r="B317" t="s">
        <v>8</v>
      </c>
      <c r="D317" s="2">
        <v>43510</v>
      </c>
      <c r="E317" s="2">
        <f t="shared" si="22"/>
        <v>43535</v>
      </c>
      <c r="F317" t="s">
        <v>403</v>
      </c>
      <c r="G317" t="s">
        <v>5</v>
      </c>
      <c r="I317" t="s">
        <v>7</v>
      </c>
      <c r="J317" s="22">
        <v>-3.7</v>
      </c>
      <c r="K317" t="str">
        <f t="shared" si="18"/>
        <v>février</v>
      </c>
      <c r="L317" t="str">
        <f t="shared" si="19"/>
        <v>Dépenses</v>
      </c>
    </row>
    <row r="318" spans="1:12" x14ac:dyDescent="0.2">
      <c r="A318" t="s">
        <v>2</v>
      </c>
      <c r="B318" t="s">
        <v>8</v>
      </c>
      <c r="C318" t="s">
        <v>405</v>
      </c>
      <c r="D318" s="2">
        <v>43510</v>
      </c>
      <c r="E318" s="2">
        <f t="shared" si="22"/>
        <v>43535</v>
      </c>
      <c r="F318" t="s">
        <v>406</v>
      </c>
      <c r="G318" t="s">
        <v>5</v>
      </c>
      <c r="H318" t="s">
        <v>64</v>
      </c>
      <c r="I318" t="s">
        <v>7</v>
      </c>
      <c r="J318" s="22">
        <f>-1.45*3-3.5</f>
        <v>-7.85</v>
      </c>
      <c r="K318" t="str">
        <f t="shared" si="18"/>
        <v>février</v>
      </c>
      <c r="L318" t="str">
        <f t="shared" si="19"/>
        <v>Dépenses</v>
      </c>
    </row>
    <row r="319" spans="1:12" x14ac:dyDescent="0.2">
      <c r="A319" t="s">
        <v>2</v>
      </c>
      <c r="B319" t="s">
        <v>8</v>
      </c>
      <c r="D319" s="2">
        <v>43510</v>
      </c>
      <c r="E319" s="2">
        <f t="shared" si="22"/>
        <v>43535</v>
      </c>
      <c r="F319" t="s">
        <v>407</v>
      </c>
      <c r="G319" t="s">
        <v>19</v>
      </c>
      <c r="H319" t="s">
        <v>20</v>
      </c>
      <c r="I319" t="s">
        <v>7</v>
      </c>
      <c r="J319" s="22">
        <v>-55</v>
      </c>
      <c r="K319" t="str">
        <f t="shared" si="18"/>
        <v>février</v>
      </c>
      <c r="L319" t="str">
        <f t="shared" si="19"/>
        <v>Dépenses</v>
      </c>
    </row>
    <row r="320" spans="1:12" x14ac:dyDescent="0.2">
      <c r="A320" t="s">
        <v>2</v>
      </c>
      <c r="B320" t="s">
        <v>8</v>
      </c>
      <c r="D320" s="2">
        <v>43510</v>
      </c>
      <c r="E320" s="2">
        <f t="shared" si="22"/>
        <v>43535</v>
      </c>
      <c r="F320" t="s">
        <v>341</v>
      </c>
      <c r="G320" t="s">
        <v>5</v>
      </c>
      <c r="H320" t="s">
        <v>22</v>
      </c>
      <c r="I320" t="s">
        <v>7</v>
      </c>
      <c r="J320" s="22">
        <v>-13.4</v>
      </c>
      <c r="K320" t="str">
        <f t="shared" si="18"/>
        <v>février</v>
      </c>
      <c r="L320" t="str">
        <f t="shared" si="19"/>
        <v>Dépenses</v>
      </c>
    </row>
    <row r="321" spans="1:12" x14ac:dyDescent="0.2">
      <c r="A321" t="s">
        <v>2</v>
      </c>
      <c r="B321" t="s">
        <v>8</v>
      </c>
      <c r="D321" s="2">
        <v>43510</v>
      </c>
      <c r="E321" s="2">
        <f t="shared" si="22"/>
        <v>43535</v>
      </c>
      <c r="F321" t="s">
        <v>408</v>
      </c>
      <c r="G321" t="s">
        <v>25</v>
      </c>
      <c r="H321" t="s">
        <v>276</v>
      </c>
      <c r="I321" t="s">
        <v>7</v>
      </c>
      <c r="J321" s="22">
        <v>-26.26</v>
      </c>
      <c r="K321" t="str">
        <f t="shared" si="18"/>
        <v>février</v>
      </c>
      <c r="L321" t="str">
        <f t="shared" si="19"/>
        <v>Dépenses</v>
      </c>
    </row>
    <row r="322" spans="1:12" x14ac:dyDescent="0.2">
      <c r="A322" t="s">
        <v>2</v>
      </c>
      <c r="B322" t="s">
        <v>8</v>
      </c>
      <c r="D322" s="2">
        <v>43510</v>
      </c>
      <c r="E322" s="2">
        <f t="shared" si="22"/>
        <v>43535</v>
      </c>
      <c r="F322" t="s">
        <v>123</v>
      </c>
      <c r="G322" t="s">
        <v>25</v>
      </c>
      <c r="H322" t="s">
        <v>409</v>
      </c>
      <c r="I322" t="s">
        <v>7</v>
      </c>
      <c r="J322" s="22">
        <v>-16</v>
      </c>
      <c r="K322" t="str">
        <f t="shared" ref="K322:K385" si="23">IF(D322="","",TEXT(D322,"Mmmm"))</f>
        <v>février</v>
      </c>
      <c r="L322" t="str">
        <f t="shared" ref="L322:L385" si="24">IF(J322="","",IF(J322&lt;0,"Dépenses","Recettes"))</f>
        <v>Dépenses</v>
      </c>
    </row>
    <row r="323" spans="1:12" x14ac:dyDescent="0.2">
      <c r="A323" t="s">
        <v>2</v>
      </c>
      <c r="B323" t="s">
        <v>8</v>
      </c>
      <c r="C323" t="s">
        <v>405</v>
      </c>
      <c r="D323" s="2">
        <v>43510</v>
      </c>
      <c r="E323" s="2">
        <f t="shared" si="22"/>
        <v>43535</v>
      </c>
      <c r="F323" t="s">
        <v>410</v>
      </c>
      <c r="G323" t="s">
        <v>132</v>
      </c>
      <c r="H323" t="s">
        <v>64</v>
      </c>
      <c r="I323" t="s">
        <v>7</v>
      </c>
      <c r="J323" s="22">
        <f>-61.18--7.85--3.49</f>
        <v>-49.839999999999996</v>
      </c>
      <c r="K323" t="str">
        <f t="shared" si="23"/>
        <v>février</v>
      </c>
      <c r="L323" t="str">
        <f t="shared" si="24"/>
        <v>Dépenses</v>
      </c>
    </row>
    <row r="324" spans="1:12" x14ac:dyDescent="0.2">
      <c r="A324" t="s">
        <v>2</v>
      </c>
      <c r="B324" t="s">
        <v>8</v>
      </c>
      <c r="C324" t="s">
        <v>405</v>
      </c>
      <c r="D324" s="2">
        <v>43510</v>
      </c>
      <c r="E324" s="2">
        <f t="shared" si="22"/>
        <v>43535</v>
      </c>
      <c r="F324" t="s">
        <v>411</v>
      </c>
      <c r="G324" t="s">
        <v>5</v>
      </c>
      <c r="H324" t="s">
        <v>64</v>
      </c>
      <c r="I324" t="s">
        <v>7</v>
      </c>
      <c r="J324" s="22">
        <v>-3.49</v>
      </c>
      <c r="K324" t="str">
        <f t="shared" si="23"/>
        <v>février</v>
      </c>
      <c r="L324" t="str">
        <f t="shared" si="24"/>
        <v>Dépenses</v>
      </c>
    </row>
    <row r="325" spans="1:12" x14ac:dyDescent="0.2">
      <c r="A325" t="s">
        <v>108</v>
      </c>
      <c r="B325" t="s">
        <v>109</v>
      </c>
      <c r="D325" s="2">
        <v>43510</v>
      </c>
      <c r="E325" s="2">
        <f t="shared" si="22"/>
        <v>43510</v>
      </c>
      <c r="F325" t="s">
        <v>404</v>
      </c>
      <c r="G325" t="s">
        <v>16</v>
      </c>
      <c r="H325" t="s">
        <v>141</v>
      </c>
      <c r="I325" t="s">
        <v>7</v>
      </c>
      <c r="J325" s="22">
        <v>-16.45</v>
      </c>
      <c r="K325" t="str">
        <f t="shared" si="23"/>
        <v>février</v>
      </c>
      <c r="L325" t="str">
        <f t="shared" si="24"/>
        <v>Dépenses</v>
      </c>
    </row>
    <row r="326" spans="1:12" x14ac:dyDescent="0.2">
      <c r="A326" t="s">
        <v>94</v>
      </c>
      <c r="B326" t="s">
        <v>122</v>
      </c>
      <c r="C326">
        <v>8748453</v>
      </c>
      <c r="D326" s="2">
        <v>43510</v>
      </c>
      <c r="E326" s="2">
        <f t="shared" si="22"/>
        <v>43510</v>
      </c>
      <c r="F326" t="s">
        <v>413</v>
      </c>
      <c r="G326" t="s">
        <v>118</v>
      </c>
      <c r="H326" t="s">
        <v>414</v>
      </c>
      <c r="I326" t="s">
        <v>7</v>
      </c>
      <c r="J326" s="22">
        <v>-73</v>
      </c>
      <c r="K326" t="str">
        <f t="shared" si="23"/>
        <v>février</v>
      </c>
      <c r="L326" t="str">
        <f t="shared" si="24"/>
        <v>Dépenses</v>
      </c>
    </row>
    <row r="327" spans="1:12" x14ac:dyDescent="0.2">
      <c r="A327" t="s">
        <v>69</v>
      </c>
      <c r="B327" t="s">
        <v>84</v>
      </c>
      <c r="D327" s="2">
        <v>43510</v>
      </c>
      <c r="E327" s="2">
        <f t="shared" si="22"/>
        <v>43510</v>
      </c>
      <c r="F327" t="s">
        <v>412</v>
      </c>
      <c r="G327" t="s">
        <v>111</v>
      </c>
      <c r="H327" t="s">
        <v>11</v>
      </c>
      <c r="I327" t="s">
        <v>7</v>
      </c>
      <c r="J327" s="22">
        <v>44.35</v>
      </c>
      <c r="K327" t="str">
        <f t="shared" si="23"/>
        <v>février</v>
      </c>
      <c r="L327" t="str">
        <f t="shared" si="24"/>
        <v>Recettes</v>
      </c>
    </row>
    <row r="328" spans="1:12" x14ac:dyDescent="0.2">
      <c r="A328" t="s">
        <v>2</v>
      </c>
      <c r="B328" t="s">
        <v>8</v>
      </c>
      <c r="C328" t="s">
        <v>415</v>
      </c>
      <c r="D328" s="2">
        <v>43511</v>
      </c>
      <c r="E328" s="2">
        <f t="shared" si="22"/>
        <v>43535</v>
      </c>
      <c r="F328" t="s">
        <v>281</v>
      </c>
      <c r="G328" t="s">
        <v>49</v>
      </c>
      <c r="H328" t="s">
        <v>6</v>
      </c>
      <c r="I328" t="s">
        <v>7</v>
      </c>
      <c r="J328" s="22">
        <f>-16.4+4.92</f>
        <v>-11.479999999999999</v>
      </c>
      <c r="K328" t="str">
        <f t="shared" si="23"/>
        <v>février</v>
      </c>
      <c r="L328" t="str">
        <f t="shared" si="24"/>
        <v>Dépenses</v>
      </c>
    </row>
    <row r="329" spans="1:12" x14ac:dyDescent="0.2">
      <c r="A329" t="s">
        <v>2</v>
      </c>
      <c r="B329" t="s">
        <v>8</v>
      </c>
      <c r="C329" t="s">
        <v>415</v>
      </c>
      <c r="D329" s="2">
        <v>43511</v>
      </c>
      <c r="E329" s="2">
        <f t="shared" si="22"/>
        <v>43535</v>
      </c>
      <c r="F329" t="s">
        <v>418</v>
      </c>
      <c r="G329" t="s">
        <v>270</v>
      </c>
      <c r="H329" t="s">
        <v>6</v>
      </c>
      <c r="I329" t="s">
        <v>7</v>
      </c>
      <c r="J329" s="22">
        <f>-29.9+(29.9*0.4)</f>
        <v>-17.939999999999998</v>
      </c>
      <c r="K329" t="str">
        <f t="shared" si="23"/>
        <v>février</v>
      </c>
      <c r="L329" t="str">
        <f t="shared" si="24"/>
        <v>Dépenses</v>
      </c>
    </row>
    <row r="330" spans="1:12" ht="15" customHeight="1" x14ac:dyDescent="0.2">
      <c r="A330" t="s">
        <v>2</v>
      </c>
      <c r="B330" t="s">
        <v>8</v>
      </c>
      <c r="C330" t="s">
        <v>415</v>
      </c>
      <c r="D330" s="2">
        <v>43511</v>
      </c>
      <c r="E330" s="2">
        <f t="shared" si="22"/>
        <v>43535</v>
      </c>
      <c r="F330" t="s">
        <v>5</v>
      </c>
      <c r="G330" t="s">
        <v>5</v>
      </c>
      <c r="H330" t="s">
        <v>6</v>
      </c>
      <c r="I330" t="s">
        <v>7</v>
      </c>
      <c r="J330" s="22">
        <f>-146.92--17.94--11.48</f>
        <v>-117.49999999999999</v>
      </c>
      <c r="K330" t="str">
        <f t="shared" si="23"/>
        <v>février</v>
      </c>
      <c r="L330" t="str">
        <f t="shared" si="24"/>
        <v>Dépenses</v>
      </c>
    </row>
    <row r="331" spans="1:12" x14ac:dyDescent="0.2">
      <c r="A331" t="s">
        <v>108</v>
      </c>
      <c r="B331" t="s">
        <v>109</v>
      </c>
      <c r="D331" s="2">
        <v>43511</v>
      </c>
      <c r="E331" s="2">
        <f t="shared" si="22"/>
        <v>43511</v>
      </c>
      <c r="F331" t="s">
        <v>32</v>
      </c>
      <c r="G331" t="s">
        <v>5</v>
      </c>
      <c r="I331" t="s">
        <v>7</v>
      </c>
      <c r="J331" s="22">
        <v>-5.4</v>
      </c>
      <c r="K331" t="str">
        <f t="shared" si="23"/>
        <v>février</v>
      </c>
      <c r="L331" t="str">
        <f t="shared" si="24"/>
        <v>Dépenses</v>
      </c>
    </row>
    <row r="332" spans="1:12" ht="11.25" customHeight="1" x14ac:dyDescent="0.2">
      <c r="A332" t="s">
        <v>108</v>
      </c>
      <c r="B332" t="s">
        <v>109</v>
      </c>
      <c r="D332" s="2">
        <v>43511</v>
      </c>
      <c r="E332" s="2">
        <f t="shared" si="22"/>
        <v>43511</v>
      </c>
      <c r="F332" t="s">
        <v>235</v>
      </c>
      <c r="G332" t="s">
        <v>39</v>
      </c>
      <c r="H332" t="s">
        <v>120</v>
      </c>
      <c r="I332" t="s">
        <v>7</v>
      </c>
      <c r="J332" s="22">
        <v>-10</v>
      </c>
      <c r="K332" t="str">
        <f t="shared" si="23"/>
        <v>février</v>
      </c>
      <c r="L332" t="str">
        <f t="shared" si="24"/>
        <v>Dépenses</v>
      </c>
    </row>
    <row r="333" spans="1:12" x14ac:dyDescent="0.2">
      <c r="A333" t="s">
        <v>77</v>
      </c>
      <c r="B333" t="s">
        <v>77</v>
      </c>
      <c r="D333" s="2">
        <v>43511</v>
      </c>
      <c r="E333" s="2">
        <f t="shared" si="22"/>
        <v>43511</v>
      </c>
      <c r="F333" t="s">
        <v>417</v>
      </c>
      <c r="G333" t="s">
        <v>79</v>
      </c>
      <c r="I333" t="s">
        <v>7</v>
      </c>
      <c r="J333" s="22">
        <v>30</v>
      </c>
      <c r="K333" t="str">
        <f t="shared" si="23"/>
        <v>février</v>
      </c>
      <c r="L333" t="str">
        <f t="shared" si="24"/>
        <v>Recettes</v>
      </c>
    </row>
    <row r="334" spans="1:12" x14ac:dyDescent="0.2">
      <c r="A334" t="s">
        <v>77</v>
      </c>
      <c r="B334" t="s">
        <v>77</v>
      </c>
      <c r="D334" s="2">
        <v>43511</v>
      </c>
      <c r="E334" s="2">
        <f t="shared" si="22"/>
        <v>43511</v>
      </c>
      <c r="F334" t="s">
        <v>417</v>
      </c>
      <c r="G334" t="s">
        <v>79</v>
      </c>
      <c r="I334" t="s">
        <v>7</v>
      </c>
      <c r="J334" s="22">
        <v>35</v>
      </c>
      <c r="K334" t="str">
        <f t="shared" si="23"/>
        <v>février</v>
      </c>
      <c r="L334" t="str">
        <f t="shared" si="24"/>
        <v>Recettes</v>
      </c>
    </row>
    <row r="335" spans="1:12" ht="15" customHeight="1" x14ac:dyDescent="0.2">
      <c r="A335" t="s">
        <v>94</v>
      </c>
      <c r="B335" s="4" t="s">
        <v>70</v>
      </c>
      <c r="C335" s="7" t="s">
        <v>416</v>
      </c>
      <c r="D335" s="2">
        <v>43511</v>
      </c>
      <c r="E335" s="2">
        <f t="shared" si="22"/>
        <v>43511</v>
      </c>
      <c r="F335" s="4" t="s">
        <v>232</v>
      </c>
      <c r="G335" s="4" t="s">
        <v>79</v>
      </c>
      <c r="H335" s="4" t="s">
        <v>233</v>
      </c>
      <c r="I335" t="s">
        <v>7</v>
      </c>
      <c r="J335" s="23">
        <v>-22.1</v>
      </c>
      <c r="K335" t="str">
        <f t="shared" si="23"/>
        <v>février</v>
      </c>
      <c r="L335" t="str">
        <f t="shared" si="24"/>
        <v>Dépenses</v>
      </c>
    </row>
    <row r="336" spans="1:12" ht="15" customHeight="1" x14ac:dyDescent="0.2">
      <c r="A336" t="s">
        <v>77</v>
      </c>
      <c r="B336" t="s">
        <v>113</v>
      </c>
      <c r="D336" s="2">
        <v>43511</v>
      </c>
      <c r="E336" s="2">
        <f t="shared" si="22"/>
        <v>43511</v>
      </c>
      <c r="F336" t="s">
        <v>419</v>
      </c>
      <c r="G336" t="s">
        <v>115</v>
      </c>
      <c r="H336" t="s">
        <v>22</v>
      </c>
      <c r="I336" t="s">
        <v>7</v>
      </c>
      <c r="J336" s="22">
        <v>-7.25</v>
      </c>
      <c r="K336" t="str">
        <f t="shared" si="23"/>
        <v>février</v>
      </c>
      <c r="L336" t="str">
        <f t="shared" si="24"/>
        <v>Dépenses</v>
      </c>
    </row>
    <row r="337" spans="1:12" ht="15" customHeight="1" x14ac:dyDescent="0.2">
      <c r="A337" t="s">
        <v>2</v>
      </c>
      <c r="B337" t="s">
        <v>8</v>
      </c>
      <c r="D337" s="2">
        <v>43512</v>
      </c>
      <c r="E337" s="2">
        <f t="shared" si="22"/>
        <v>43535</v>
      </c>
      <c r="F337" t="s">
        <v>5</v>
      </c>
      <c r="G337" t="s">
        <v>5</v>
      </c>
      <c r="H337" t="s">
        <v>6</v>
      </c>
      <c r="I337" t="s">
        <v>7</v>
      </c>
      <c r="J337" s="22">
        <v>-50.81</v>
      </c>
      <c r="K337" t="str">
        <f t="shared" si="23"/>
        <v>février</v>
      </c>
      <c r="L337" t="str">
        <f t="shared" si="24"/>
        <v>Dépenses</v>
      </c>
    </row>
    <row r="338" spans="1:12" ht="15" customHeight="1" x14ac:dyDescent="0.2">
      <c r="A338" t="s">
        <v>2</v>
      </c>
      <c r="B338" t="s">
        <v>8</v>
      </c>
      <c r="D338" s="2">
        <v>43512</v>
      </c>
      <c r="E338" s="2">
        <f t="shared" si="22"/>
        <v>43535</v>
      </c>
      <c r="F338" t="s">
        <v>32</v>
      </c>
      <c r="G338" t="s">
        <v>5</v>
      </c>
      <c r="H338" t="s">
        <v>33</v>
      </c>
      <c r="I338" t="s">
        <v>7</v>
      </c>
      <c r="J338" s="22">
        <v>-3.3</v>
      </c>
      <c r="K338" t="str">
        <f t="shared" si="23"/>
        <v>février</v>
      </c>
      <c r="L338" t="str">
        <f t="shared" si="24"/>
        <v>Dépenses</v>
      </c>
    </row>
    <row r="339" spans="1:12" ht="11.25" customHeight="1" x14ac:dyDescent="0.2">
      <c r="A339" t="s">
        <v>94</v>
      </c>
      <c r="B339" s="4" t="s">
        <v>70</v>
      </c>
      <c r="C339" s="7" t="s">
        <v>420</v>
      </c>
      <c r="D339" s="2">
        <v>43512</v>
      </c>
      <c r="E339" s="2">
        <f t="shared" si="22"/>
        <v>43512</v>
      </c>
      <c r="F339" s="4" t="s">
        <v>240</v>
      </c>
      <c r="G339" s="4" t="s">
        <v>73</v>
      </c>
      <c r="H339" s="4" t="s">
        <v>241</v>
      </c>
      <c r="I339" t="s">
        <v>7</v>
      </c>
      <c r="J339" s="23">
        <v>-164.14</v>
      </c>
      <c r="K339" t="str">
        <f t="shared" si="23"/>
        <v>février</v>
      </c>
      <c r="L339" t="str">
        <f t="shared" si="24"/>
        <v>Dépenses</v>
      </c>
    </row>
    <row r="340" spans="1:12" ht="11.25" customHeight="1" x14ac:dyDescent="0.2">
      <c r="A340" t="s">
        <v>94</v>
      </c>
      <c r="B340" s="4" t="s">
        <v>70</v>
      </c>
      <c r="C340" s="7" t="s">
        <v>421</v>
      </c>
      <c r="D340" s="2">
        <v>43512</v>
      </c>
      <c r="E340" s="2">
        <f t="shared" si="22"/>
        <v>43512</v>
      </c>
      <c r="F340" t="s">
        <v>243</v>
      </c>
      <c r="G340" t="s">
        <v>244</v>
      </c>
      <c r="H340" t="s">
        <v>245</v>
      </c>
      <c r="I340" t="s">
        <v>7</v>
      </c>
      <c r="J340" s="23">
        <v>-36.479999999999997</v>
      </c>
      <c r="K340" t="str">
        <f t="shared" si="23"/>
        <v>février</v>
      </c>
      <c r="L340" t="str">
        <f t="shared" si="24"/>
        <v>Dépenses</v>
      </c>
    </row>
    <row r="341" spans="1:12" ht="11.25" customHeight="1" x14ac:dyDescent="0.2">
      <c r="A341" t="s">
        <v>94</v>
      </c>
      <c r="B341" s="4" t="s">
        <v>70</v>
      </c>
      <c r="C341" s="7" t="s">
        <v>422</v>
      </c>
      <c r="D341" s="2">
        <v>43512</v>
      </c>
      <c r="E341" s="2">
        <f t="shared" si="22"/>
        <v>43512</v>
      </c>
      <c r="F341" t="s">
        <v>247</v>
      </c>
      <c r="G341" t="s">
        <v>134</v>
      </c>
      <c r="H341" t="s">
        <v>319</v>
      </c>
      <c r="I341" t="s">
        <v>7</v>
      </c>
      <c r="J341" s="23">
        <v>-38</v>
      </c>
      <c r="K341" t="str">
        <f t="shared" si="23"/>
        <v>février</v>
      </c>
      <c r="L341" t="str">
        <f t="shared" si="24"/>
        <v>Dépenses</v>
      </c>
    </row>
    <row r="342" spans="1:12" ht="11.25" customHeight="1" x14ac:dyDescent="0.2">
      <c r="A342" t="s">
        <v>94</v>
      </c>
      <c r="B342" s="4" t="s">
        <v>70</v>
      </c>
      <c r="C342" s="7" t="s">
        <v>423</v>
      </c>
      <c r="D342" s="2">
        <v>43512</v>
      </c>
      <c r="E342" s="2">
        <f t="shared" si="22"/>
        <v>43512</v>
      </c>
      <c r="F342" t="s">
        <v>249</v>
      </c>
      <c r="G342" t="s">
        <v>134</v>
      </c>
      <c r="H342" t="s">
        <v>319</v>
      </c>
      <c r="I342" t="s">
        <v>7</v>
      </c>
      <c r="J342" s="23">
        <v>-32</v>
      </c>
      <c r="K342" t="str">
        <f t="shared" si="23"/>
        <v>février</v>
      </c>
      <c r="L342" t="str">
        <f t="shared" si="24"/>
        <v>Dépenses</v>
      </c>
    </row>
    <row r="343" spans="1:12" x14ac:dyDescent="0.2">
      <c r="A343" t="s">
        <v>77</v>
      </c>
      <c r="B343" t="s">
        <v>113</v>
      </c>
      <c r="D343" s="2">
        <v>43513</v>
      </c>
      <c r="E343" s="2">
        <f t="shared" si="22"/>
        <v>43513</v>
      </c>
      <c r="F343" t="s">
        <v>424</v>
      </c>
      <c r="G343" t="s">
        <v>5</v>
      </c>
      <c r="H343" t="s">
        <v>50</v>
      </c>
      <c r="I343" t="s">
        <v>7</v>
      </c>
      <c r="J343" s="22">
        <v>-15.68</v>
      </c>
      <c r="K343" t="str">
        <f t="shared" si="23"/>
        <v>février</v>
      </c>
      <c r="L343" t="str">
        <f t="shared" si="24"/>
        <v>Dépenses</v>
      </c>
    </row>
    <row r="344" spans="1:12" x14ac:dyDescent="0.2">
      <c r="A344" t="s">
        <v>2</v>
      </c>
      <c r="B344" t="s">
        <v>8</v>
      </c>
      <c r="D344" s="2">
        <v>43514</v>
      </c>
      <c r="E344" s="2">
        <f t="shared" si="22"/>
        <v>43535</v>
      </c>
      <c r="F344" t="s">
        <v>177</v>
      </c>
      <c r="G344" t="s">
        <v>111</v>
      </c>
      <c r="H344" t="s">
        <v>178</v>
      </c>
      <c r="I344" t="s">
        <v>7</v>
      </c>
      <c r="J344" s="22">
        <v>-17.3</v>
      </c>
      <c r="K344" t="str">
        <f t="shared" si="23"/>
        <v>février</v>
      </c>
      <c r="L344" t="str">
        <f t="shared" si="24"/>
        <v>Dépenses</v>
      </c>
    </row>
    <row r="345" spans="1:12" x14ac:dyDescent="0.2">
      <c r="A345" t="s">
        <v>2</v>
      </c>
      <c r="B345" t="s">
        <v>8</v>
      </c>
      <c r="D345" s="2">
        <v>43514</v>
      </c>
      <c r="E345" s="2">
        <f t="shared" si="22"/>
        <v>43535</v>
      </c>
      <c r="F345" t="s">
        <v>428</v>
      </c>
      <c r="G345" t="s">
        <v>127</v>
      </c>
      <c r="H345" t="s">
        <v>429</v>
      </c>
      <c r="I345" t="s">
        <v>7</v>
      </c>
      <c r="J345" s="22">
        <v>-46.97</v>
      </c>
      <c r="K345" t="str">
        <f t="shared" si="23"/>
        <v>février</v>
      </c>
      <c r="L345" t="str">
        <f t="shared" si="24"/>
        <v>Dépenses</v>
      </c>
    </row>
    <row r="346" spans="1:12" x14ac:dyDescent="0.2">
      <c r="A346" t="s">
        <v>108</v>
      </c>
      <c r="B346" t="s">
        <v>109</v>
      </c>
      <c r="D346" s="2">
        <v>43514</v>
      </c>
      <c r="E346" s="2">
        <f t="shared" si="22"/>
        <v>43514</v>
      </c>
      <c r="F346" t="s">
        <v>425</v>
      </c>
      <c r="G346" t="s">
        <v>5</v>
      </c>
      <c r="H346" t="s">
        <v>23</v>
      </c>
      <c r="I346" t="s">
        <v>7</v>
      </c>
      <c r="J346" s="22">
        <v>-1.25</v>
      </c>
      <c r="K346" t="str">
        <f t="shared" si="23"/>
        <v>février</v>
      </c>
      <c r="L346" t="str">
        <f t="shared" si="24"/>
        <v>Dépenses</v>
      </c>
    </row>
    <row r="347" spans="1:12" x14ac:dyDescent="0.2">
      <c r="A347" t="s">
        <v>108</v>
      </c>
      <c r="B347" t="s">
        <v>109</v>
      </c>
      <c r="D347" s="2">
        <v>43514</v>
      </c>
      <c r="E347" s="2">
        <f t="shared" si="22"/>
        <v>43514</v>
      </c>
      <c r="F347" t="s">
        <v>426</v>
      </c>
      <c r="G347" t="s">
        <v>63</v>
      </c>
      <c r="H347" t="s">
        <v>64</v>
      </c>
      <c r="I347" t="s">
        <v>7</v>
      </c>
      <c r="J347" s="22">
        <v>-37.21</v>
      </c>
      <c r="K347" t="str">
        <f t="shared" si="23"/>
        <v>février</v>
      </c>
      <c r="L347" t="str">
        <f t="shared" si="24"/>
        <v>Dépenses</v>
      </c>
    </row>
    <row r="348" spans="1:12" x14ac:dyDescent="0.2">
      <c r="A348" t="s">
        <v>108</v>
      </c>
      <c r="B348" t="s">
        <v>109</v>
      </c>
      <c r="D348" s="2">
        <v>43514</v>
      </c>
      <c r="E348" s="2">
        <f t="shared" si="22"/>
        <v>43514</v>
      </c>
      <c r="F348" t="s">
        <v>427</v>
      </c>
      <c r="G348" t="s">
        <v>16</v>
      </c>
      <c r="H348" t="s">
        <v>326</v>
      </c>
      <c r="I348" t="s">
        <v>7</v>
      </c>
      <c r="J348" s="22">
        <v>-39</v>
      </c>
      <c r="K348" t="str">
        <f t="shared" si="23"/>
        <v>février</v>
      </c>
      <c r="L348" t="str">
        <f t="shared" si="24"/>
        <v>Dépenses</v>
      </c>
    </row>
    <row r="349" spans="1:12" x14ac:dyDescent="0.2">
      <c r="A349" t="s">
        <v>77</v>
      </c>
      <c r="B349" t="s">
        <v>77</v>
      </c>
      <c r="D349" s="2">
        <v>43514</v>
      </c>
      <c r="E349" s="2">
        <f t="shared" si="22"/>
        <v>43514</v>
      </c>
      <c r="F349" t="s">
        <v>428</v>
      </c>
      <c r="G349" t="s">
        <v>127</v>
      </c>
      <c r="H349" t="s">
        <v>430</v>
      </c>
      <c r="I349" t="s">
        <v>7</v>
      </c>
      <c r="J349" s="22">
        <v>50</v>
      </c>
      <c r="K349" t="str">
        <f t="shared" si="23"/>
        <v>février</v>
      </c>
      <c r="L349" t="str">
        <f t="shared" si="24"/>
        <v>Recettes</v>
      </c>
    </row>
    <row r="350" spans="1:12" x14ac:dyDescent="0.2">
      <c r="A350" t="s">
        <v>2</v>
      </c>
      <c r="B350" t="s">
        <v>3</v>
      </c>
      <c r="C350" s="7" t="s">
        <v>435</v>
      </c>
      <c r="D350" s="2">
        <v>43516</v>
      </c>
      <c r="E350" s="2">
        <f t="shared" si="22"/>
        <v>43535</v>
      </c>
      <c r="F350" t="s">
        <v>305</v>
      </c>
      <c r="G350" t="s">
        <v>49</v>
      </c>
      <c r="H350" t="s">
        <v>6</v>
      </c>
      <c r="I350" t="s">
        <v>7</v>
      </c>
      <c r="J350" s="22">
        <v>-10.1</v>
      </c>
      <c r="K350" t="str">
        <f t="shared" si="23"/>
        <v>février</v>
      </c>
      <c r="L350" t="str">
        <f t="shared" si="24"/>
        <v>Dépenses</v>
      </c>
    </row>
    <row r="351" spans="1:12" x14ac:dyDescent="0.2">
      <c r="A351" t="s">
        <v>2</v>
      </c>
      <c r="B351" t="s">
        <v>3</v>
      </c>
      <c r="C351" s="7" t="s">
        <v>435</v>
      </c>
      <c r="D351" s="2">
        <v>43516</v>
      </c>
      <c r="E351" s="2">
        <f t="shared" si="22"/>
        <v>43535</v>
      </c>
      <c r="F351" t="s">
        <v>5</v>
      </c>
      <c r="G351" t="s">
        <v>5</v>
      </c>
      <c r="H351" t="s">
        <v>6</v>
      </c>
      <c r="I351" t="s">
        <v>7</v>
      </c>
      <c r="J351" s="22">
        <f>-33.95--10.1</f>
        <v>-23.85</v>
      </c>
      <c r="K351" t="str">
        <f t="shared" si="23"/>
        <v>février</v>
      </c>
      <c r="L351" t="str">
        <f t="shared" si="24"/>
        <v>Dépenses</v>
      </c>
    </row>
    <row r="352" spans="1:12" x14ac:dyDescent="0.2">
      <c r="A352" t="s">
        <v>108</v>
      </c>
      <c r="B352" t="s">
        <v>109</v>
      </c>
      <c r="D352" s="2">
        <v>43516</v>
      </c>
      <c r="E352" s="2">
        <f t="shared" si="22"/>
        <v>43516</v>
      </c>
      <c r="F352" t="s">
        <v>431</v>
      </c>
      <c r="G352" t="s">
        <v>16</v>
      </c>
      <c r="H352" t="s">
        <v>141</v>
      </c>
      <c r="I352" t="s">
        <v>7</v>
      </c>
      <c r="J352" s="22">
        <v>-11.69</v>
      </c>
      <c r="K352" t="str">
        <f t="shared" si="23"/>
        <v>février</v>
      </c>
      <c r="L352" t="str">
        <f t="shared" si="24"/>
        <v>Dépenses</v>
      </c>
    </row>
    <row r="353" spans="1:12" x14ac:dyDescent="0.2">
      <c r="A353" t="s">
        <v>108</v>
      </c>
      <c r="B353" t="s">
        <v>109</v>
      </c>
      <c r="D353" s="2">
        <v>43516</v>
      </c>
      <c r="E353" s="2">
        <f t="shared" si="22"/>
        <v>43516</v>
      </c>
      <c r="F353" t="s">
        <v>432</v>
      </c>
      <c r="G353" t="s">
        <v>5</v>
      </c>
      <c r="H353" t="s">
        <v>348</v>
      </c>
      <c r="I353" t="s">
        <v>7</v>
      </c>
      <c r="J353" s="22">
        <v>-2.34</v>
      </c>
      <c r="K353" t="str">
        <f t="shared" si="23"/>
        <v>février</v>
      </c>
      <c r="L353" t="str">
        <f t="shared" si="24"/>
        <v>Dépenses</v>
      </c>
    </row>
    <row r="354" spans="1:12" x14ac:dyDescent="0.2">
      <c r="A354" t="s">
        <v>108</v>
      </c>
      <c r="B354" t="s">
        <v>109</v>
      </c>
      <c r="D354" s="2">
        <v>43516</v>
      </c>
      <c r="E354" s="2">
        <f t="shared" si="22"/>
        <v>43516</v>
      </c>
      <c r="F354" t="s">
        <v>433</v>
      </c>
      <c r="G354" t="s">
        <v>5</v>
      </c>
      <c r="H354" t="s">
        <v>23</v>
      </c>
      <c r="I354" t="s">
        <v>7</v>
      </c>
      <c r="J354" s="22">
        <v>-2.25</v>
      </c>
      <c r="K354" t="str">
        <f t="shared" si="23"/>
        <v>février</v>
      </c>
      <c r="L354" t="str">
        <f t="shared" si="24"/>
        <v>Dépenses</v>
      </c>
    </row>
    <row r="355" spans="1:12" x14ac:dyDescent="0.2">
      <c r="A355" t="s">
        <v>69</v>
      </c>
      <c r="B355" s="4" t="s">
        <v>84</v>
      </c>
      <c r="D355" s="2">
        <v>43516</v>
      </c>
      <c r="E355" s="2">
        <f t="shared" si="22"/>
        <v>43516</v>
      </c>
      <c r="F355" t="s">
        <v>434</v>
      </c>
      <c r="G355" t="s">
        <v>111</v>
      </c>
      <c r="H355" t="s">
        <v>362</v>
      </c>
      <c r="I355" t="s">
        <v>7</v>
      </c>
      <c r="J355" s="22">
        <v>67.75</v>
      </c>
      <c r="K355" t="str">
        <f t="shared" si="23"/>
        <v>février</v>
      </c>
      <c r="L355" t="str">
        <f t="shared" si="24"/>
        <v>Recettes</v>
      </c>
    </row>
    <row r="356" spans="1:12" x14ac:dyDescent="0.2">
      <c r="A356" t="s">
        <v>108</v>
      </c>
      <c r="B356" t="s">
        <v>109</v>
      </c>
      <c r="D356" s="2">
        <v>43517</v>
      </c>
      <c r="E356" s="2">
        <f t="shared" si="22"/>
        <v>43517</v>
      </c>
      <c r="F356" t="s">
        <v>436</v>
      </c>
      <c r="G356" t="s">
        <v>5</v>
      </c>
      <c r="H356" t="s">
        <v>23</v>
      </c>
      <c r="I356" t="s">
        <v>7</v>
      </c>
      <c r="J356" s="22">
        <v>-2.2000000000000002</v>
      </c>
      <c r="K356" t="str">
        <f t="shared" si="23"/>
        <v>février</v>
      </c>
      <c r="L356" t="str">
        <f t="shared" si="24"/>
        <v>Dépenses</v>
      </c>
    </row>
    <row r="357" spans="1:12" x14ac:dyDescent="0.2">
      <c r="A357" t="s">
        <v>2</v>
      </c>
      <c r="B357" t="s">
        <v>3</v>
      </c>
      <c r="C357" t="s">
        <v>440</v>
      </c>
      <c r="D357" s="2">
        <v>43518</v>
      </c>
      <c r="E357" s="2">
        <f t="shared" si="22"/>
        <v>43535</v>
      </c>
      <c r="F357" t="s">
        <v>49</v>
      </c>
      <c r="G357" t="s">
        <v>49</v>
      </c>
      <c r="H357" t="s">
        <v>6</v>
      </c>
      <c r="I357" t="s">
        <v>7</v>
      </c>
      <c r="J357" s="22">
        <f>-4.43-2.9</f>
        <v>-7.33</v>
      </c>
      <c r="K357" t="str">
        <f t="shared" si="23"/>
        <v>février</v>
      </c>
      <c r="L357" t="str">
        <f t="shared" si="24"/>
        <v>Dépenses</v>
      </c>
    </row>
    <row r="358" spans="1:12" x14ac:dyDescent="0.2">
      <c r="A358" t="s">
        <v>2</v>
      </c>
      <c r="B358" t="s">
        <v>3</v>
      </c>
      <c r="C358" t="s">
        <v>440</v>
      </c>
      <c r="D358" s="2">
        <v>43518</v>
      </c>
      <c r="E358" s="2">
        <f t="shared" si="22"/>
        <v>43535</v>
      </c>
      <c r="F358" t="s">
        <v>5</v>
      </c>
      <c r="G358" t="s">
        <v>5</v>
      </c>
      <c r="H358" t="s">
        <v>6</v>
      </c>
      <c r="I358" t="s">
        <v>7</v>
      </c>
      <c r="J358" s="22">
        <f>-44.86--7.33</f>
        <v>-37.53</v>
      </c>
      <c r="K358" t="str">
        <f t="shared" si="23"/>
        <v>février</v>
      </c>
      <c r="L358" t="str">
        <f t="shared" si="24"/>
        <v>Dépenses</v>
      </c>
    </row>
    <row r="359" spans="1:12" x14ac:dyDescent="0.2">
      <c r="A359" t="s">
        <v>108</v>
      </c>
      <c r="B359" t="s">
        <v>109</v>
      </c>
      <c r="D359" s="2">
        <v>43518</v>
      </c>
      <c r="E359" s="2">
        <f t="shared" si="22"/>
        <v>43518</v>
      </c>
      <c r="F359" t="s">
        <v>437</v>
      </c>
      <c r="G359" t="s">
        <v>5</v>
      </c>
      <c r="H359" t="s">
        <v>23</v>
      </c>
      <c r="I359" t="s">
        <v>7</v>
      </c>
      <c r="J359" s="22">
        <v>-3.85</v>
      </c>
      <c r="K359" t="str">
        <f t="shared" si="23"/>
        <v>février</v>
      </c>
      <c r="L359" t="str">
        <f t="shared" si="24"/>
        <v>Dépenses</v>
      </c>
    </row>
    <row r="360" spans="1:12" x14ac:dyDescent="0.2">
      <c r="A360" t="s">
        <v>69</v>
      </c>
      <c r="B360" t="s">
        <v>137</v>
      </c>
      <c r="D360" s="2">
        <v>43518</v>
      </c>
      <c r="E360" s="2">
        <f t="shared" si="22"/>
        <v>43518</v>
      </c>
      <c r="F360" t="s">
        <v>438</v>
      </c>
      <c r="G360" t="s">
        <v>270</v>
      </c>
      <c r="H360" t="s">
        <v>439</v>
      </c>
      <c r="I360" t="s">
        <v>7</v>
      </c>
      <c r="J360" s="22">
        <v>-25.98</v>
      </c>
      <c r="K360" t="str">
        <f t="shared" si="23"/>
        <v>février</v>
      </c>
      <c r="L360" t="str">
        <f t="shared" si="24"/>
        <v>Dépenses</v>
      </c>
    </row>
    <row r="361" spans="1:12" x14ac:dyDescent="0.2">
      <c r="A361" t="s">
        <v>77</v>
      </c>
      <c r="B361" t="s">
        <v>77</v>
      </c>
      <c r="D361" s="2">
        <v>43519</v>
      </c>
      <c r="E361" s="2">
        <f t="shared" si="22"/>
        <v>43519</v>
      </c>
      <c r="F361" t="s">
        <v>441</v>
      </c>
      <c r="G361" t="s">
        <v>79</v>
      </c>
      <c r="H361" t="s">
        <v>442</v>
      </c>
      <c r="I361" t="s">
        <v>7</v>
      </c>
      <c r="J361" s="22">
        <v>60</v>
      </c>
      <c r="K361" t="str">
        <f t="shared" si="23"/>
        <v>février</v>
      </c>
      <c r="L361" t="str">
        <f t="shared" si="24"/>
        <v>Recettes</v>
      </c>
    </row>
    <row r="362" spans="1:12" ht="11.25" customHeight="1" x14ac:dyDescent="0.2">
      <c r="A362" t="s">
        <v>69</v>
      </c>
      <c r="B362" s="4" t="s">
        <v>70</v>
      </c>
      <c r="C362" s="7" t="s">
        <v>443</v>
      </c>
      <c r="D362" s="2">
        <v>43520</v>
      </c>
      <c r="E362" s="2">
        <f t="shared" si="22"/>
        <v>43520</v>
      </c>
      <c r="F362" t="s">
        <v>285</v>
      </c>
      <c r="G362" t="s">
        <v>199</v>
      </c>
      <c r="H362" t="s">
        <v>74</v>
      </c>
      <c r="I362" t="s">
        <v>7</v>
      </c>
      <c r="J362" s="23">
        <v>3331.24</v>
      </c>
      <c r="K362" t="str">
        <f t="shared" si="23"/>
        <v>février</v>
      </c>
      <c r="L362" t="str">
        <f t="shared" si="24"/>
        <v>Recettes</v>
      </c>
    </row>
    <row r="363" spans="1:12" x14ac:dyDescent="0.2">
      <c r="A363" t="s">
        <v>69</v>
      </c>
      <c r="B363" t="s">
        <v>137</v>
      </c>
      <c r="D363" s="2">
        <v>43520</v>
      </c>
      <c r="E363" s="2">
        <f t="shared" si="22"/>
        <v>43520</v>
      </c>
      <c r="F363" t="s">
        <v>444</v>
      </c>
      <c r="G363" t="s">
        <v>19</v>
      </c>
      <c r="I363" t="s">
        <v>7</v>
      </c>
      <c r="J363" s="22">
        <v>-15.95</v>
      </c>
      <c r="K363" t="str">
        <f t="shared" si="23"/>
        <v>février</v>
      </c>
      <c r="L363" t="str">
        <f t="shared" si="24"/>
        <v>Dépenses</v>
      </c>
    </row>
    <row r="364" spans="1:12" x14ac:dyDescent="0.2">
      <c r="A364" t="s">
        <v>77</v>
      </c>
      <c r="B364" t="s">
        <v>113</v>
      </c>
      <c r="D364" s="2">
        <v>43520</v>
      </c>
      <c r="E364" s="2">
        <f t="shared" si="22"/>
        <v>43520</v>
      </c>
      <c r="F364" t="s">
        <v>114</v>
      </c>
      <c r="G364" t="s">
        <v>115</v>
      </c>
      <c r="H364" t="s">
        <v>114</v>
      </c>
      <c r="I364" t="s">
        <v>7</v>
      </c>
      <c r="J364" s="22">
        <v>-14.5</v>
      </c>
      <c r="K364" t="str">
        <f t="shared" si="23"/>
        <v>février</v>
      </c>
      <c r="L364" t="str">
        <f t="shared" si="24"/>
        <v>Dépenses</v>
      </c>
    </row>
    <row r="365" spans="1:12" x14ac:dyDescent="0.2">
      <c r="A365" t="s">
        <v>2</v>
      </c>
      <c r="B365" t="s">
        <v>8</v>
      </c>
      <c r="D365" s="2">
        <v>43521</v>
      </c>
      <c r="E365" s="2">
        <f t="shared" si="22"/>
        <v>43566</v>
      </c>
      <c r="F365" t="s">
        <v>445</v>
      </c>
      <c r="G365" t="s">
        <v>111</v>
      </c>
      <c r="H365" t="s">
        <v>446</v>
      </c>
      <c r="I365" t="s">
        <v>7</v>
      </c>
      <c r="J365" s="22">
        <v>-96.49</v>
      </c>
      <c r="K365" t="str">
        <f t="shared" si="23"/>
        <v>février</v>
      </c>
      <c r="L365" t="str">
        <f t="shared" si="24"/>
        <v>Dépenses</v>
      </c>
    </row>
    <row r="366" spans="1:12" ht="15" customHeight="1" x14ac:dyDescent="0.2">
      <c r="A366" t="s">
        <v>2</v>
      </c>
      <c r="B366" t="s">
        <v>8</v>
      </c>
      <c r="D366" s="2">
        <v>43521</v>
      </c>
      <c r="E366" s="2">
        <f t="shared" si="22"/>
        <v>43566</v>
      </c>
      <c r="F366" t="s">
        <v>32</v>
      </c>
      <c r="G366" t="s">
        <v>5</v>
      </c>
      <c r="H366" t="s">
        <v>33</v>
      </c>
      <c r="I366" t="s">
        <v>7</v>
      </c>
      <c r="J366" s="22">
        <v>-3.3</v>
      </c>
      <c r="K366" t="str">
        <f t="shared" si="23"/>
        <v>février</v>
      </c>
      <c r="L366" t="str">
        <f t="shared" si="24"/>
        <v>Dépenses</v>
      </c>
    </row>
    <row r="367" spans="1:12" x14ac:dyDescent="0.2">
      <c r="A367" t="s">
        <v>2</v>
      </c>
      <c r="B367" t="s">
        <v>8</v>
      </c>
      <c r="D367" s="2">
        <v>43521</v>
      </c>
      <c r="E367" s="2">
        <f t="shared" si="22"/>
        <v>43566</v>
      </c>
      <c r="F367" t="s">
        <v>447</v>
      </c>
      <c r="G367" t="s">
        <v>111</v>
      </c>
      <c r="H367" t="s">
        <v>178</v>
      </c>
      <c r="I367" t="s">
        <v>7</v>
      </c>
      <c r="J367" s="22">
        <v>-49.95</v>
      </c>
      <c r="K367" t="str">
        <f t="shared" si="23"/>
        <v>février</v>
      </c>
      <c r="L367" t="str">
        <f t="shared" si="24"/>
        <v>Dépenses</v>
      </c>
    </row>
    <row r="368" spans="1:12" x14ac:dyDescent="0.2">
      <c r="A368" t="s">
        <v>2</v>
      </c>
      <c r="B368" t="s">
        <v>8</v>
      </c>
      <c r="D368" s="2">
        <v>43521</v>
      </c>
      <c r="E368" s="2">
        <f t="shared" si="22"/>
        <v>43566</v>
      </c>
      <c r="F368" t="s">
        <v>450</v>
      </c>
      <c r="G368" t="s">
        <v>111</v>
      </c>
      <c r="H368" t="s">
        <v>178</v>
      </c>
      <c r="I368" t="s">
        <v>7</v>
      </c>
      <c r="J368" s="22">
        <v>-17.850000000000001</v>
      </c>
      <c r="K368" t="str">
        <f t="shared" si="23"/>
        <v>février</v>
      </c>
      <c r="L368" t="str">
        <f t="shared" si="24"/>
        <v>Dépenses</v>
      </c>
    </row>
    <row r="369" spans="1:12" x14ac:dyDescent="0.2">
      <c r="A369" t="s">
        <v>2</v>
      </c>
      <c r="B369" t="s">
        <v>8</v>
      </c>
      <c r="D369" s="2">
        <v>43521</v>
      </c>
      <c r="E369" s="2">
        <f t="shared" si="22"/>
        <v>43566</v>
      </c>
      <c r="F369" t="s">
        <v>5</v>
      </c>
      <c r="G369" t="s">
        <v>5</v>
      </c>
      <c r="H369" t="s">
        <v>50</v>
      </c>
      <c r="I369" t="s">
        <v>7</v>
      </c>
      <c r="J369" s="22">
        <v>-15.63</v>
      </c>
      <c r="K369" t="str">
        <f t="shared" si="23"/>
        <v>février</v>
      </c>
      <c r="L369" t="str">
        <f t="shared" si="24"/>
        <v>Dépenses</v>
      </c>
    </row>
    <row r="370" spans="1:12" x14ac:dyDescent="0.2">
      <c r="A370" t="s">
        <v>2</v>
      </c>
      <c r="B370" t="s">
        <v>8</v>
      </c>
      <c r="D370" s="2">
        <v>43521</v>
      </c>
      <c r="E370" s="2">
        <f t="shared" ref="E370:E433" si="25">IF(A370="","",IF(A370&lt;&gt;"Carte Lux",D370,VLOOKUP(D370,Periode_datedebit_2019,3)))</f>
        <v>43566</v>
      </c>
      <c r="F370" t="s">
        <v>5</v>
      </c>
      <c r="G370" t="s">
        <v>5</v>
      </c>
      <c r="H370" t="s">
        <v>50</v>
      </c>
      <c r="I370" t="s">
        <v>7</v>
      </c>
      <c r="J370" s="22">
        <v>-19.93</v>
      </c>
      <c r="K370" t="str">
        <f t="shared" si="23"/>
        <v>février</v>
      </c>
      <c r="L370" t="str">
        <f t="shared" si="24"/>
        <v>Dépenses</v>
      </c>
    </row>
    <row r="371" spans="1:12" x14ac:dyDescent="0.2">
      <c r="A371" t="s">
        <v>2</v>
      </c>
      <c r="B371" t="s">
        <v>8</v>
      </c>
      <c r="D371" s="2">
        <v>43521</v>
      </c>
      <c r="E371" s="2">
        <f t="shared" si="25"/>
        <v>43566</v>
      </c>
      <c r="F371" t="s">
        <v>451</v>
      </c>
      <c r="G371" t="s">
        <v>16</v>
      </c>
      <c r="H371" t="s">
        <v>452</v>
      </c>
      <c r="I371" t="s">
        <v>7</v>
      </c>
      <c r="J371" s="22">
        <v>-9.1999999999999993</v>
      </c>
      <c r="K371" t="str">
        <f t="shared" si="23"/>
        <v>février</v>
      </c>
      <c r="L371" t="str">
        <f t="shared" si="24"/>
        <v>Dépenses</v>
      </c>
    </row>
    <row r="372" spans="1:12" x14ac:dyDescent="0.2">
      <c r="A372" t="s">
        <v>2</v>
      </c>
      <c r="B372" t="s">
        <v>8</v>
      </c>
      <c r="D372" s="2">
        <v>43521</v>
      </c>
      <c r="E372" s="2">
        <f t="shared" si="25"/>
        <v>43566</v>
      </c>
      <c r="F372" t="s">
        <v>453</v>
      </c>
      <c r="G372" t="s">
        <v>111</v>
      </c>
      <c r="H372" t="s">
        <v>454</v>
      </c>
      <c r="I372" t="s">
        <v>7</v>
      </c>
      <c r="J372" s="22">
        <v>-48.92</v>
      </c>
      <c r="K372" t="str">
        <f t="shared" si="23"/>
        <v>février</v>
      </c>
      <c r="L372" t="str">
        <f t="shared" si="24"/>
        <v>Dépenses</v>
      </c>
    </row>
    <row r="373" spans="1:12" x14ac:dyDescent="0.2">
      <c r="A373" t="s">
        <v>2</v>
      </c>
      <c r="B373" t="s">
        <v>3</v>
      </c>
      <c r="C373" t="s">
        <v>448</v>
      </c>
      <c r="D373" s="2">
        <v>43521</v>
      </c>
      <c r="E373" s="2">
        <f t="shared" si="25"/>
        <v>43566</v>
      </c>
      <c r="F373" t="s">
        <v>182</v>
      </c>
      <c r="G373" t="s">
        <v>49</v>
      </c>
      <c r="H373" t="s">
        <v>6</v>
      </c>
      <c r="I373" t="s">
        <v>7</v>
      </c>
      <c r="J373" s="22">
        <f>-4.95-3.25-6.7-4.45</f>
        <v>-19.349999999999998</v>
      </c>
      <c r="K373" t="str">
        <f t="shared" si="23"/>
        <v>février</v>
      </c>
      <c r="L373" t="str">
        <f t="shared" si="24"/>
        <v>Dépenses</v>
      </c>
    </row>
    <row r="374" spans="1:12" x14ac:dyDescent="0.2">
      <c r="A374" t="s">
        <v>2</v>
      </c>
      <c r="B374" t="s">
        <v>3</v>
      </c>
      <c r="C374" t="s">
        <v>448</v>
      </c>
      <c r="D374" s="2">
        <v>43521</v>
      </c>
      <c r="E374" s="2">
        <f t="shared" si="25"/>
        <v>43566</v>
      </c>
      <c r="F374" t="s">
        <v>111</v>
      </c>
      <c r="G374" t="s">
        <v>118</v>
      </c>
      <c r="H374" t="s">
        <v>6</v>
      </c>
      <c r="I374" t="s">
        <v>7</v>
      </c>
      <c r="J374" s="22">
        <v>-8.39</v>
      </c>
      <c r="K374" t="str">
        <f t="shared" si="23"/>
        <v>février</v>
      </c>
      <c r="L374" t="str">
        <f t="shared" si="24"/>
        <v>Dépenses</v>
      </c>
    </row>
    <row r="375" spans="1:12" x14ac:dyDescent="0.2">
      <c r="A375" t="s">
        <v>2</v>
      </c>
      <c r="B375" t="s">
        <v>3</v>
      </c>
      <c r="C375" t="s">
        <v>448</v>
      </c>
      <c r="D375" s="2">
        <v>43521</v>
      </c>
      <c r="E375" s="2">
        <f t="shared" si="25"/>
        <v>43566</v>
      </c>
      <c r="F375" t="s">
        <v>449</v>
      </c>
      <c r="G375" t="s">
        <v>270</v>
      </c>
      <c r="H375" t="s">
        <v>6</v>
      </c>
      <c r="I375" t="s">
        <v>7</v>
      </c>
      <c r="J375" s="22">
        <v>-1.95</v>
      </c>
      <c r="K375" t="str">
        <f t="shared" si="23"/>
        <v>février</v>
      </c>
      <c r="L375" t="str">
        <f t="shared" si="24"/>
        <v>Dépenses</v>
      </c>
    </row>
    <row r="376" spans="1:12" x14ac:dyDescent="0.2">
      <c r="A376" t="s">
        <v>2</v>
      </c>
      <c r="B376" t="s">
        <v>3</v>
      </c>
      <c r="C376" t="s">
        <v>448</v>
      </c>
      <c r="D376" s="2">
        <v>43521</v>
      </c>
      <c r="E376" s="2">
        <f t="shared" si="25"/>
        <v>43566</v>
      </c>
      <c r="F376" t="s">
        <v>5</v>
      </c>
      <c r="G376" t="s">
        <v>5</v>
      </c>
      <c r="H376" t="s">
        <v>6</v>
      </c>
      <c r="I376" t="s">
        <v>7</v>
      </c>
      <c r="J376" s="22">
        <f>-131.48--19.35--8.39--1.95</f>
        <v>-101.78999999999999</v>
      </c>
      <c r="K376" t="str">
        <f t="shared" si="23"/>
        <v>février</v>
      </c>
      <c r="L376" t="str">
        <f t="shared" si="24"/>
        <v>Dépenses</v>
      </c>
    </row>
    <row r="377" spans="1:12" ht="11.25" customHeight="1" x14ac:dyDescent="0.2">
      <c r="A377" t="s">
        <v>69</v>
      </c>
      <c r="B377" s="4" t="s">
        <v>70</v>
      </c>
      <c r="C377" s="7" t="s">
        <v>458</v>
      </c>
      <c r="D377" s="2">
        <v>43521</v>
      </c>
      <c r="E377" s="2">
        <f t="shared" si="25"/>
        <v>43521</v>
      </c>
      <c r="F377" t="s">
        <v>102</v>
      </c>
      <c r="G377" t="s">
        <v>459</v>
      </c>
      <c r="H377" t="s">
        <v>94</v>
      </c>
      <c r="I377" t="s">
        <v>7</v>
      </c>
      <c r="J377" s="23">
        <v>-860</v>
      </c>
      <c r="K377" t="str">
        <f t="shared" si="23"/>
        <v>février</v>
      </c>
      <c r="L377" t="str">
        <f t="shared" si="24"/>
        <v>Dépenses</v>
      </c>
    </row>
    <row r="378" spans="1:12" x14ac:dyDescent="0.2">
      <c r="A378" t="s">
        <v>94</v>
      </c>
      <c r="B378" t="s">
        <v>70</v>
      </c>
      <c r="D378" s="2">
        <v>43521</v>
      </c>
      <c r="E378" s="2">
        <f t="shared" si="25"/>
        <v>43521</v>
      </c>
      <c r="F378" t="s">
        <v>460</v>
      </c>
      <c r="G378" t="s">
        <v>127</v>
      </c>
      <c r="H378" t="s">
        <v>88</v>
      </c>
      <c r="I378" t="s">
        <v>7</v>
      </c>
      <c r="J378" s="22">
        <v>-70</v>
      </c>
      <c r="K378" t="str">
        <f t="shared" si="23"/>
        <v>février</v>
      </c>
      <c r="L378" t="str">
        <f t="shared" si="24"/>
        <v>Dépenses</v>
      </c>
    </row>
    <row r="379" spans="1:12" x14ac:dyDescent="0.2">
      <c r="A379" t="s">
        <v>94</v>
      </c>
      <c r="B379" t="s">
        <v>70</v>
      </c>
      <c r="D379" s="2">
        <v>43521</v>
      </c>
      <c r="E379" s="2">
        <f t="shared" si="25"/>
        <v>43521</v>
      </c>
      <c r="F379" t="s">
        <v>461</v>
      </c>
      <c r="G379" t="s">
        <v>28</v>
      </c>
      <c r="H379" t="s">
        <v>88</v>
      </c>
      <c r="I379" t="s">
        <v>7</v>
      </c>
      <c r="J379" s="22">
        <v>-30</v>
      </c>
      <c r="K379" t="str">
        <f t="shared" si="23"/>
        <v>février</v>
      </c>
      <c r="L379" t="str">
        <f t="shared" si="24"/>
        <v>Dépenses</v>
      </c>
    </row>
    <row r="380" spans="1:12" x14ac:dyDescent="0.2">
      <c r="A380" t="s">
        <v>94</v>
      </c>
      <c r="B380" t="s">
        <v>70</v>
      </c>
      <c r="D380" s="2">
        <v>43521</v>
      </c>
      <c r="E380" s="2">
        <f t="shared" si="25"/>
        <v>43521</v>
      </c>
      <c r="F380" t="s">
        <v>462</v>
      </c>
      <c r="G380" t="s">
        <v>254</v>
      </c>
      <c r="H380" t="s">
        <v>88</v>
      </c>
      <c r="I380" t="s">
        <v>7</v>
      </c>
      <c r="J380" s="22">
        <v>-100</v>
      </c>
      <c r="K380" t="str">
        <f t="shared" si="23"/>
        <v>février</v>
      </c>
      <c r="L380" t="str">
        <f t="shared" si="24"/>
        <v>Dépenses</v>
      </c>
    </row>
    <row r="381" spans="1:12" ht="11.25" customHeight="1" x14ac:dyDescent="0.2">
      <c r="A381" t="s">
        <v>94</v>
      </c>
      <c r="B381" t="s">
        <v>70</v>
      </c>
      <c r="D381" s="2">
        <v>43521</v>
      </c>
      <c r="E381" s="2">
        <f t="shared" si="25"/>
        <v>43521</v>
      </c>
      <c r="F381" t="s">
        <v>463</v>
      </c>
      <c r="G381" t="s">
        <v>270</v>
      </c>
      <c r="H381" t="s">
        <v>88</v>
      </c>
      <c r="I381" t="s">
        <v>7</v>
      </c>
      <c r="J381" s="22">
        <v>-70</v>
      </c>
      <c r="K381" t="str">
        <f t="shared" si="23"/>
        <v>février</v>
      </c>
      <c r="L381" t="str">
        <f t="shared" si="24"/>
        <v>Dépenses</v>
      </c>
    </row>
    <row r="382" spans="1:12" ht="15" customHeight="1" x14ac:dyDescent="0.2">
      <c r="A382" t="s">
        <v>94</v>
      </c>
      <c r="B382" t="s">
        <v>70</v>
      </c>
      <c r="D382" s="2">
        <v>43521</v>
      </c>
      <c r="E382" s="2">
        <f t="shared" si="25"/>
        <v>43521</v>
      </c>
      <c r="F382" t="s">
        <v>464</v>
      </c>
      <c r="G382" t="s">
        <v>118</v>
      </c>
      <c r="H382" t="s">
        <v>88</v>
      </c>
      <c r="I382" t="s">
        <v>7</v>
      </c>
      <c r="J382" s="22">
        <v>-150</v>
      </c>
      <c r="K382" t="str">
        <f t="shared" si="23"/>
        <v>février</v>
      </c>
      <c r="L382" t="str">
        <f t="shared" si="24"/>
        <v>Dépenses</v>
      </c>
    </row>
    <row r="383" spans="1:12" x14ac:dyDescent="0.2">
      <c r="A383" t="s">
        <v>94</v>
      </c>
      <c r="B383" t="s">
        <v>70</v>
      </c>
      <c r="D383" s="2">
        <v>43521</v>
      </c>
      <c r="E383" s="2">
        <f t="shared" si="25"/>
        <v>43521</v>
      </c>
      <c r="F383" t="s">
        <v>465</v>
      </c>
      <c r="G383" t="s">
        <v>16</v>
      </c>
      <c r="H383" t="s">
        <v>88</v>
      </c>
      <c r="I383" t="s">
        <v>7</v>
      </c>
      <c r="J383" s="22">
        <v>-60</v>
      </c>
      <c r="K383" t="str">
        <f t="shared" si="23"/>
        <v>février</v>
      </c>
      <c r="L383" t="str">
        <f t="shared" si="24"/>
        <v>Dépenses</v>
      </c>
    </row>
    <row r="384" spans="1:12" ht="15" customHeight="1" x14ac:dyDescent="0.2">
      <c r="A384" t="s">
        <v>94</v>
      </c>
      <c r="B384" t="s">
        <v>70</v>
      </c>
      <c r="D384" s="2">
        <v>43521</v>
      </c>
      <c r="E384" s="2">
        <f t="shared" si="25"/>
        <v>43521</v>
      </c>
      <c r="F384" t="s">
        <v>466</v>
      </c>
      <c r="G384" t="s">
        <v>111</v>
      </c>
      <c r="H384" t="s">
        <v>88</v>
      </c>
      <c r="I384" t="s">
        <v>7</v>
      </c>
      <c r="J384" s="22">
        <v>-120</v>
      </c>
      <c r="K384" t="str">
        <f t="shared" si="23"/>
        <v>février</v>
      </c>
      <c r="L384" t="str">
        <f t="shared" si="24"/>
        <v>Dépenses</v>
      </c>
    </row>
    <row r="385" spans="1:12" x14ac:dyDescent="0.2">
      <c r="A385" t="s">
        <v>94</v>
      </c>
      <c r="B385" t="s">
        <v>70</v>
      </c>
      <c r="D385" s="2">
        <v>43521</v>
      </c>
      <c r="E385" s="2">
        <f t="shared" si="25"/>
        <v>43521</v>
      </c>
      <c r="F385" t="s">
        <v>467</v>
      </c>
      <c r="G385" t="s">
        <v>229</v>
      </c>
      <c r="H385" t="s">
        <v>88</v>
      </c>
      <c r="I385" t="s">
        <v>7</v>
      </c>
      <c r="J385" s="22">
        <v>-60</v>
      </c>
      <c r="K385" t="str">
        <f t="shared" si="23"/>
        <v>février</v>
      </c>
      <c r="L385" t="str">
        <f t="shared" si="24"/>
        <v>Dépenses</v>
      </c>
    </row>
    <row r="386" spans="1:12" ht="11.25" customHeight="1" x14ac:dyDescent="0.2">
      <c r="A386" t="s">
        <v>94</v>
      </c>
      <c r="B386" t="s">
        <v>70</v>
      </c>
      <c r="D386" s="2">
        <v>43521</v>
      </c>
      <c r="E386" s="2">
        <f t="shared" si="25"/>
        <v>43521</v>
      </c>
      <c r="F386" t="s">
        <v>468</v>
      </c>
      <c r="G386" t="s">
        <v>86</v>
      </c>
      <c r="I386" t="s">
        <v>7</v>
      </c>
      <c r="J386" s="22">
        <v>7.45</v>
      </c>
      <c r="K386" t="str">
        <f t="shared" ref="K386:K449" si="26">IF(D386="","",TEXT(D386,"Mmmm"))</f>
        <v>février</v>
      </c>
      <c r="L386" t="str">
        <f t="shared" ref="L386:L449" si="27">IF(J386="","",IF(J386&lt;0,"Dépenses","Recettes"))</f>
        <v>Recettes</v>
      </c>
    </row>
    <row r="387" spans="1:12" x14ac:dyDescent="0.2">
      <c r="A387" t="s">
        <v>94</v>
      </c>
      <c r="B387" t="s">
        <v>70</v>
      </c>
      <c r="D387" s="2">
        <v>43521</v>
      </c>
      <c r="E387" s="2">
        <f t="shared" si="25"/>
        <v>43521</v>
      </c>
      <c r="F387" t="s">
        <v>469</v>
      </c>
      <c r="G387" t="s">
        <v>52</v>
      </c>
      <c r="H387" t="s">
        <v>88</v>
      </c>
      <c r="I387" t="s">
        <v>7</v>
      </c>
      <c r="J387" s="22">
        <v>-100</v>
      </c>
      <c r="K387" t="str">
        <f t="shared" si="26"/>
        <v>février</v>
      </c>
      <c r="L387" t="str">
        <f t="shared" si="27"/>
        <v>Dépenses</v>
      </c>
    </row>
    <row r="388" spans="1:12" x14ac:dyDescent="0.2">
      <c r="A388" t="s">
        <v>94</v>
      </c>
      <c r="B388" t="s">
        <v>70</v>
      </c>
      <c r="D388" s="2">
        <v>43521</v>
      </c>
      <c r="E388" s="2">
        <f t="shared" si="25"/>
        <v>43521</v>
      </c>
      <c r="F388" t="s">
        <v>470</v>
      </c>
      <c r="G388" t="s">
        <v>39</v>
      </c>
      <c r="H388" t="s">
        <v>88</v>
      </c>
      <c r="I388" t="s">
        <v>7</v>
      </c>
      <c r="J388" s="22">
        <v>-100</v>
      </c>
      <c r="K388" t="str">
        <f t="shared" si="26"/>
        <v>février</v>
      </c>
      <c r="L388" t="str">
        <f t="shared" si="27"/>
        <v>Dépenses</v>
      </c>
    </row>
    <row r="389" spans="1:12" x14ac:dyDescent="0.2">
      <c r="A389" t="s">
        <v>91</v>
      </c>
      <c r="B389" t="s">
        <v>70</v>
      </c>
      <c r="D389" s="2">
        <v>43521</v>
      </c>
      <c r="E389" s="2">
        <f t="shared" si="25"/>
        <v>43521</v>
      </c>
      <c r="F389" t="s">
        <v>471</v>
      </c>
      <c r="G389" t="s">
        <v>76</v>
      </c>
      <c r="H389" t="s">
        <v>94</v>
      </c>
      <c r="I389" t="s">
        <v>7</v>
      </c>
      <c r="J389" s="22">
        <v>860</v>
      </c>
      <c r="K389" t="str">
        <f t="shared" si="26"/>
        <v>février</v>
      </c>
      <c r="L389" t="str">
        <f t="shared" si="27"/>
        <v>Recettes</v>
      </c>
    </row>
    <row r="390" spans="1:12" x14ac:dyDescent="0.2">
      <c r="A390" t="s">
        <v>69</v>
      </c>
      <c r="B390" t="s">
        <v>137</v>
      </c>
      <c r="C390" s="7" t="s">
        <v>455</v>
      </c>
      <c r="D390" s="2">
        <v>43521</v>
      </c>
      <c r="E390" s="2">
        <f t="shared" si="25"/>
        <v>43521</v>
      </c>
      <c r="F390" t="s">
        <v>291</v>
      </c>
      <c r="G390" t="s">
        <v>79</v>
      </c>
      <c r="H390" t="s">
        <v>292</v>
      </c>
      <c r="I390" t="s">
        <v>7</v>
      </c>
      <c r="J390" s="22">
        <v>-2.38</v>
      </c>
      <c r="K390" t="str">
        <f t="shared" si="26"/>
        <v>février</v>
      </c>
      <c r="L390" t="str">
        <f t="shared" si="27"/>
        <v>Dépenses</v>
      </c>
    </row>
    <row r="391" spans="1:12" x14ac:dyDescent="0.2">
      <c r="A391" t="s">
        <v>69</v>
      </c>
      <c r="B391" s="4" t="s">
        <v>84</v>
      </c>
      <c r="D391" s="2">
        <v>43521</v>
      </c>
      <c r="E391" s="2">
        <f t="shared" si="25"/>
        <v>43521</v>
      </c>
      <c r="F391" t="s">
        <v>456</v>
      </c>
      <c r="G391" t="s">
        <v>457</v>
      </c>
      <c r="H391" t="s">
        <v>155</v>
      </c>
      <c r="I391" t="s">
        <v>7</v>
      </c>
      <c r="J391" s="22">
        <v>-129.6</v>
      </c>
      <c r="K391" t="str">
        <f t="shared" si="26"/>
        <v>février</v>
      </c>
      <c r="L391" t="str">
        <f t="shared" si="27"/>
        <v>Dépenses</v>
      </c>
    </row>
    <row r="392" spans="1:12" ht="15" customHeight="1" x14ac:dyDescent="0.2">
      <c r="A392" t="s">
        <v>2</v>
      </c>
      <c r="B392" t="s">
        <v>8</v>
      </c>
      <c r="D392" s="2">
        <v>43522</v>
      </c>
      <c r="E392" s="2">
        <f t="shared" si="25"/>
        <v>43566</v>
      </c>
      <c r="F392" t="s">
        <v>5</v>
      </c>
      <c r="G392" t="s">
        <v>5</v>
      </c>
      <c r="H392" t="s">
        <v>64</v>
      </c>
      <c r="I392" t="s">
        <v>7</v>
      </c>
      <c r="J392" s="22">
        <v>-5.24</v>
      </c>
      <c r="K392" t="str">
        <f t="shared" si="26"/>
        <v>février</v>
      </c>
      <c r="L392" t="str">
        <f t="shared" si="27"/>
        <v>Dépenses</v>
      </c>
    </row>
    <row r="393" spans="1:12" x14ac:dyDescent="0.2">
      <c r="A393" t="s">
        <v>2</v>
      </c>
      <c r="B393" t="s">
        <v>3</v>
      </c>
      <c r="D393" s="2">
        <v>43522</v>
      </c>
      <c r="E393" s="2">
        <f t="shared" si="25"/>
        <v>43566</v>
      </c>
      <c r="F393" t="s">
        <v>473</v>
      </c>
      <c r="G393" t="s">
        <v>118</v>
      </c>
      <c r="H393" t="s">
        <v>474</v>
      </c>
      <c r="I393" t="s">
        <v>7</v>
      </c>
      <c r="J393" s="22">
        <v>-82.4</v>
      </c>
      <c r="K393" t="str">
        <f t="shared" si="26"/>
        <v>février</v>
      </c>
      <c r="L393" t="str">
        <f t="shared" si="27"/>
        <v>Dépenses</v>
      </c>
    </row>
    <row r="394" spans="1:12" x14ac:dyDescent="0.2">
      <c r="A394" t="s">
        <v>108</v>
      </c>
      <c r="B394" t="s">
        <v>109</v>
      </c>
      <c r="D394" s="2">
        <v>43522</v>
      </c>
      <c r="E394" s="2">
        <f t="shared" si="25"/>
        <v>43522</v>
      </c>
      <c r="F394" t="s">
        <v>5</v>
      </c>
      <c r="G394" t="s">
        <v>5</v>
      </c>
      <c r="H394" t="s">
        <v>37</v>
      </c>
      <c r="I394" t="s">
        <v>7</v>
      </c>
      <c r="J394" s="22">
        <v>-72.2</v>
      </c>
      <c r="K394" t="str">
        <f t="shared" si="26"/>
        <v>février</v>
      </c>
      <c r="L394" t="str">
        <f t="shared" si="27"/>
        <v>Dépenses</v>
      </c>
    </row>
    <row r="395" spans="1:12" x14ac:dyDescent="0.2">
      <c r="A395" t="s">
        <v>108</v>
      </c>
      <c r="B395" t="s">
        <v>109</v>
      </c>
      <c r="D395" s="2">
        <v>43522</v>
      </c>
      <c r="E395" s="2">
        <f t="shared" si="25"/>
        <v>43522</v>
      </c>
      <c r="F395" t="s">
        <v>32</v>
      </c>
      <c r="G395" t="s">
        <v>5</v>
      </c>
      <c r="H395" t="s">
        <v>23</v>
      </c>
      <c r="I395" t="s">
        <v>7</v>
      </c>
      <c r="J395" s="22">
        <v>-1.25</v>
      </c>
      <c r="K395" t="str">
        <f t="shared" si="26"/>
        <v>février</v>
      </c>
      <c r="L395" t="str">
        <f t="shared" si="27"/>
        <v>Dépenses</v>
      </c>
    </row>
    <row r="396" spans="1:12" x14ac:dyDescent="0.2">
      <c r="A396" t="s">
        <v>94</v>
      </c>
      <c r="B396" t="s">
        <v>122</v>
      </c>
      <c r="C396">
        <v>8748451</v>
      </c>
      <c r="D396" s="2">
        <v>43522</v>
      </c>
      <c r="E396" s="2">
        <f t="shared" si="25"/>
        <v>43522</v>
      </c>
      <c r="F396" t="s">
        <v>123</v>
      </c>
      <c r="G396" t="s">
        <v>25</v>
      </c>
      <c r="H396" t="s">
        <v>124</v>
      </c>
      <c r="I396" t="s">
        <v>7</v>
      </c>
      <c r="J396" s="22">
        <v>-26</v>
      </c>
      <c r="K396" t="str">
        <f t="shared" si="26"/>
        <v>février</v>
      </c>
      <c r="L396" t="str">
        <f t="shared" si="27"/>
        <v>Dépenses</v>
      </c>
    </row>
    <row r="397" spans="1:12" ht="11.25" customHeight="1" x14ac:dyDescent="0.2">
      <c r="A397" t="s">
        <v>94</v>
      </c>
      <c r="B397" s="4" t="s">
        <v>70</v>
      </c>
      <c r="C397" s="7" t="s">
        <v>458</v>
      </c>
      <c r="D397" s="2">
        <v>43522</v>
      </c>
      <c r="E397" s="2">
        <f t="shared" si="25"/>
        <v>43522</v>
      </c>
      <c r="F397" t="s">
        <v>135</v>
      </c>
      <c r="G397" t="s">
        <v>459</v>
      </c>
      <c r="H397" t="s">
        <v>69</v>
      </c>
      <c r="I397" t="s">
        <v>7</v>
      </c>
      <c r="J397" s="23">
        <v>860</v>
      </c>
      <c r="K397" t="str">
        <f t="shared" si="26"/>
        <v>février</v>
      </c>
      <c r="L397" t="str">
        <f t="shared" si="27"/>
        <v>Recettes</v>
      </c>
    </row>
    <row r="398" spans="1:12" x14ac:dyDescent="0.2">
      <c r="A398" t="s">
        <v>108</v>
      </c>
      <c r="D398" s="2">
        <v>43522</v>
      </c>
      <c r="E398" s="2">
        <f t="shared" si="25"/>
        <v>43522</v>
      </c>
      <c r="F398" t="s">
        <v>472</v>
      </c>
      <c r="G398" t="s">
        <v>111</v>
      </c>
      <c r="H398" t="s">
        <v>145</v>
      </c>
      <c r="I398" t="s">
        <v>7</v>
      </c>
      <c r="J398" s="22">
        <v>86.84</v>
      </c>
      <c r="K398" t="str">
        <f t="shared" si="26"/>
        <v>février</v>
      </c>
      <c r="L398" t="str">
        <f t="shared" si="27"/>
        <v>Recettes</v>
      </c>
    </row>
    <row r="399" spans="1:12" x14ac:dyDescent="0.2">
      <c r="A399" t="s">
        <v>2</v>
      </c>
      <c r="B399" t="s">
        <v>8</v>
      </c>
      <c r="D399" s="2">
        <v>43523</v>
      </c>
      <c r="E399" s="2">
        <f t="shared" si="25"/>
        <v>43566</v>
      </c>
      <c r="F399" t="s">
        <v>21</v>
      </c>
      <c r="G399" t="s">
        <v>21</v>
      </c>
      <c r="I399" t="s">
        <v>7</v>
      </c>
      <c r="J399" s="22">
        <v>-7.39</v>
      </c>
      <c r="K399" t="str">
        <f t="shared" si="26"/>
        <v>février</v>
      </c>
      <c r="L399" t="str">
        <f t="shared" si="27"/>
        <v>Dépenses</v>
      </c>
    </row>
    <row r="400" spans="1:12" x14ac:dyDescent="0.2">
      <c r="A400" t="s">
        <v>2</v>
      </c>
      <c r="B400" t="s">
        <v>8</v>
      </c>
      <c r="D400" s="2">
        <v>43523</v>
      </c>
      <c r="E400" s="2">
        <f t="shared" si="25"/>
        <v>43566</v>
      </c>
      <c r="F400" t="s">
        <v>334</v>
      </c>
      <c r="G400" t="s">
        <v>115</v>
      </c>
      <c r="H400" t="s">
        <v>22</v>
      </c>
      <c r="I400" t="s">
        <v>7</v>
      </c>
      <c r="J400" s="22">
        <v>-4.5</v>
      </c>
      <c r="K400" t="str">
        <f t="shared" si="26"/>
        <v>février</v>
      </c>
      <c r="L400" t="str">
        <f t="shared" si="27"/>
        <v>Dépenses</v>
      </c>
    </row>
    <row r="401" spans="1:12" x14ac:dyDescent="0.2">
      <c r="A401" t="s">
        <v>2</v>
      </c>
      <c r="B401" t="s">
        <v>8</v>
      </c>
      <c r="C401" t="s">
        <v>476</v>
      </c>
      <c r="D401" s="2">
        <v>43523</v>
      </c>
      <c r="E401" s="2">
        <f t="shared" si="25"/>
        <v>43566</v>
      </c>
      <c r="F401" t="s">
        <v>477</v>
      </c>
      <c r="G401" t="s">
        <v>263</v>
      </c>
      <c r="H401" t="s">
        <v>64</v>
      </c>
      <c r="I401" t="s">
        <v>7</v>
      </c>
      <c r="J401" s="22">
        <v>-57.99</v>
      </c>
      <c r="K401" t="str">
        <f t="shared" si="26"/>
        <v>février</v>
      </c>
      <c r="L401" t="str">
        <f t="shared" si="27"/>
        <v>Dépenses</v>
      </c>
    </row>
    <row r="402" spans="1:12" x14ac:dyDescent="0.2">
      <c r="A402" t="s">
        <v>2</v>
      </c>
      <c r="B402" t="s">
        <v>8</v>
      </c>
      <c r="C402" t="s">
        <v>476</v>
      </c>
      <c r="D402" s="2">
        <v>43523</v>
      </c>
      <c r="E402" s="2">
        <f t="shared" si="25"/>
        <v>43566</v>
      </c>
      <c r="F402" t="s">
        <v>478</v>
      </c>
      <c r="G402" t="s">
        <v>5</v>
      </c>
      <c r="H402" t="s">
        <v>64</v>
      </c>
      <c r="I402" t="s">
        <v>7</v>
      </c>
      <c r="J402" s="22">
        <f>-1.75-1-1.45*3</f>
        <v>-7.1</v>
      </c>
      <c r="K402" t="str">
        <f t="shared" si="26"/>
        <v>février</v>
      </c>
      <c r="L402" t="str">
        <f t="shared" si="27"/>
        <v>Dépenses</v>
      </c>
    </row>
    <row r="403" spans="1:12" x14ac:dyDescent="0.2">
      <c r="A403" t="s">
        <v>2</v>
      </c>
      <c r="B403" t="s">
        <v>8</v>
      </c>
      <c r="C403" t="s">
        <v>476</v>
      </c>
      <c r="D403" s="2">
        <v>43523</v>
      </c>
      <c r="E403" s="2">
        <f t="shared" si="25"/>
        <v>43566</v>
      </c>
      <c r="F403" t="s">
        <v>479</v>
      </c>
      <c r="G403" t="s">
        <v>263</v>
      </c>
      <c r="H403" t="s">
        <v>64</v>
      </c>
      <c r="I403" t="s">
        <v>7</v>
      </c>
      <c r="J403" s="22">
        <v>5</v>
      </c>
      <c r="K403" t="str">
        <f t="shared" si="26"/>
        <v>février</v>
      </c>
      <c r="L403" t="str">
        <f t="shared" si="27"/>
        <v>Recettes</v>
      </c>
    </row>
    <row r="404" spans="1:12" x14ac:dyDescent="0.2">
      <c r="A404" t="s">
        <v>108</v>
      </c>
      <c r="B404" t="s">
        <v>109</v>
      </c>
      <c r="D404" s="2">
        <v>43523</v>
      </c>
      <c r="E404" s="2">
        <f t="shared" si="25"/>
        <v>43523</v>
      </c>
      <c r="F404" t="s">
        <v>235</v>
      </c>
      <c r="G404" t="s">
        <v>39</v>
      </c>
      <c r="H404" t="s">
        <v>120</v>
      </c>
      <c r="I404" t="s">
        <v>7</v>
      </c>
      <c r="J404" s="22">
        <v>-8</v>
      </c>
      <c r="K404" t="str">
        <f t="shared" si="26"/>
        <v>février</v>
      </c>
      <c r="L404" t="str">
        <f t="shared" si="27"/>
        <v>Dépenses</v>
      </c>
    </row>
    <row r="405" spans="1:12" x14ac:dyDescent="0.2">
      <c r="A405" t="s">
        <v>108</v>
      </c>
      <c r="B405" t="s">
        <v>109</v>
      </c>
      <c r="D405" s="2">
        <v>43523</v>
      </c>
      <c r="E405" s="2">
        <f t="shared" si="25"/>
        <v>43523</v>
      </c>
      <c r="F405" t="s">
        <v>32</v>
      </c>
      <c r="G405" t="s">
        <v>5</v>
      </c>
      <c r="H405" t="s">
        <v>23</v>
      </c>
      <c r="I405" t="s">
        <v>7</v>
      </c>
      <c r="J405" s="22">
        <v>-2.9</v>
      </c>
      <c r="K405" t="str">
        <f t="shared" si="26"/>
        <v>février</v>
      </c>
      <c r="L405" t="str">
        <f t="shared" si="27"/>
        <v>Dépenses</v>
      </c>
    </row>
    <row r="406" spans="1:12" x14ac:dyDescent="0.2">
      <c r="A406" t="s">
        <v>108</v>
      </c>
      <c r="B406" t="s">
        <v>109</v>
      </c>
      <c r="D406" s="2">
        <v>43523</v>
      </c>
      <c r="E406" s="2">
        <f t="shared" si="25"/>
        <v>43523</v>
      </c>
      <c r="F406" t="s">
        <v>5</v>
      </c>
      <c r="G406" t="s">
        <v>5</v>
      </c>
      <c r="H406" t="s">
        <v>23</v>
      </c>
      <c r="I406" t="s">
        <v>7</v>
      </c>
      <c r="J406" s="22">
        <v>-19.600000000000001</v>
      </c>
      <c r="K406" t="str">
        <f t="shared" si="26"/>
        <v>février</v>
      </c>
      <c r="L406" t="str">
        <f t="shared" si="27"/>
        <v>Dépenses</v>
      </c>
    </row>
    <row r="407" spans="1:12" x14ac:dyDescent="0.2">
      <c r="A407" t="s">
        <v>108</v>
      </c>
      <c r="B407" t="s">
        <v>287</v>
      </c>
      <c r="C407">
        <v>1155073</v>
      </c>
      <c r="D407" s="2">
        <v>43523</v>
      </c>
      <c r="E407" s="2">
        <f t="shared" si="25"/>
        <v>43523</v>
      </c>
      <c r="F407" t="s">
        <v>475</v>
      </c>
      <c r="G407" t="s">
        <v>118</v>
      </c>
      <c r="I407" t="s">
        <v>7</v>
      </c>
      <c r="J407" s="22">
        <v>-43</v>
      </c>
      <c r="K407" t="str">
        <f t="shared" si="26"/>
        <v>février</v>
      </c>
      <c r="L407" t="str">
        <f t="shared" si="27"/>
        <v>Dépenses</v>
      </c>
    </row>
    <row r="408" spans="1:12" x14ac:dyDescent="0.2">
      <c r="A408" t="s">
        <v>94</v>
      </c>
      <c r="B408" t="s">
        <v>481</v>
      </c>
      <c r="D408" s="2">
        <v>43524</v>
      </c>
      <c r="E408" s="2">
        <f t="shared" si="25"/>
        <v>43524</v>
      </c>
      <c r="F408" t="s">
        <v>5</v>
      </c>
      <c r="G408" t="s">
        <v>5</v>
      </c>
      <c r="H408" t="s">
        <v>348</v>
      </c>
      <c r="I408" t="s">
        <v>7</v>
      </c>
      <c r="J408" s="22">
        <v>-12.02</v>
      </c>
      <c r="K408" t="str">
        <f t="shared" si="26"/>
        <v>février</v>
      </c>
      <c r="L408" t="str">
        <f t="shared" si="27"/>
        <v>Dépenses</v>
      </c>
    </row>
    <row r="409" spans="1:12" x14ac:dyDescent="0.2">
      <c r="A409" t="s">
        <v>94</v>
      </c>
      <c r="B409" t="s">
        <v>481</v>
      </c>
      <c r="D409" s="2">
        <v>43524</v>
      </c>
      <c r="E409" s="2">
        <f t="shared" si="25"/>
        <v>43524</v>
      </c>
      <c r="F409" t="s">
        <v>482</v>
      </c>
      <c r="G409" t="s">
        <v>52</v>
      </c>
      <c r="H409" t="s">
        <v>483</v>
      </c>
      <c r="I409" t="s">
        <v>7</v>
      </c>
      <c r="J409" s="22">
        <v>-17.8</v>
      </c>
      <c r="K409" t="str">
        <f t="shared" si="26"/>
        <v>février</v>
      </c>
      <c r="L409" t="str">
        <f t="shared" si="27"/>
        <v>Dépenses</v>
      </c>
    </row>
    <row r="410" spans="1:12" x14ac:dyDescent="0.2">
      <c r="A410" t="s">
        <v>108</v>
      </c>
      <c r="B410" t="s">
        <v>109</v>
      </c>
      <c r="C410" t="s">
        <v>480</v>
      </c>
      <c r="D410" s="2">
        <v>43524</v>
      </c>
      <c r="E410" s="2">
        <f t="shared" si="25"/>
        <v>43524</v>
      </c>
      <c r="F410" t="s">
        <v>344</v>
      </c>
      <c r="G410" t="s">
        <v>49</v>
      </c>
      <c r="H410" t="s">
        <v>6</v>
      </c>
      <c r="I410" t="s">
        <v>7</v>
      </c>
      <c r="J410" s="22">
        <f>-3.26-3.95-4.45</f>
        <v>-11.66</v>
      </c>
      <c r="K410" t="str">
        <f t="shared" si="26"/>
        <v>février</v>
      </c>
      <c r="L410" t="str">
        <f t="shared" si="27"/>
        <v>Dépenses</v>
      </c>
    </row>
    <row r="411" spans="1:12" x14ac:dyDescent="0.2">
      <c r="A411" t="s">
        <v>108</v>
      </c>
      <c r="B411" t="s">
        <v>109</v>
      </c>
      <c r="C411" t="s">
        <v>480</v>
      </c>
      <c r="D411" s="2">
        <v>43524</v>
      </c>
      <c r="E411" s="2">
        <f t="shared" si="25"/>
        <v>43524</v>
      </c>
      <c r="F411" t="s">
        <v>5</v>
      </c>
      <c r="G411" t="s">
        <v>5</v>
      </c>
      <c r="H411" t="s">
        <v>6</v>
      </c>
      <c r="I411" t="s">
        <v>7</v>
      </c>
      <c r="J411" s="22">
        <f>-47.5--11.66</f>
        <v>-35.840000000000003</v>
      </c>
      <c r="K411" t="str">
        <f t="shared" si="26"/>
        <v>février</v>
      </c>
      <c r="L411" t="str">
        <f t="shared" si="27"/>
        <v>Dépenses</v>
      </c>
    </row>
    <row r="412" spans="1:12" x14ac:dyDescent="0.2">
      <c r="A412" t="s">
        <v>94</v>
      </c>
      <c r="B412" t="s">
        <v>122</v>
      </c>
      <c r="C412">
        <v>8748454</v>
      </c>
      <c r="D412" s="2">
        <v>43524</v>
      </c>
      <c r="E412" s="2">
        <f t="shared" si="25"/>
        <v>43524</v>
      </c>
      <c r="F412" t="s">
        <v>54</v>
      </c>
      <c r="G412" t="s">
        <v>25</v>
      </c>
      <c r="H412" t="s">
        <v>486</v>
      </c>
      <c r="I412" t="s">
        <v>487</v>
      </c>
      <c r="J412" s="22">
        <v>-24</v>
      </c>
      <c r="K412" t="str">
        <f t="shared" si="26"/>
        <v>février</v>
      </c>
      <c r="L412" t="str">
        <f t="shared" si="27"/>
        <v>Dépenses</v>
      </c>
    </row>
    <row r="413" spans="1:12" x14ac:dyDescent="0.2">
      <c r="A413" t="s">
        <v>69</v>
      </c>
      <c r="B413" s="4" t="s">
        <v>70</v>
      </c>
      <c r="C413" s="7" t="s">
        <v>485</v>
      </c>
      <c r="D413" s="2">
        <v>43524</v>
      </c>
      <c r="E413" s="2">
        <f t="shared" si="25"/>
        <v>43524</v>
      </c>
      <c r="F413" t="s">
        <v>327</v>
      </c>
      <c r="G413" t="s">
        <v>328</v>
      </c>
      <c r="H413" t="s">
        <v>329</v>
      </c>
      <c r="I413" t="s">
        <v>7</v>
      </c>
      <c r="J413" s="22">
        <v>-12</v>
      </c>
      <c r="K413" t="str">
        <f t="shared" si="26"/>
        <v>février</v>
      </c>
      <c r="L413" t="str">
        <f t="shared" si="27"/>
        <v>Dépenses</v>
      </c>
    </row>
    <row r="414" spans="1:12" ht="15" customHeight="1" x14ac:dyDescent="0.2">
      <c r="A414" t="s">
        <v>94</v>
      </c>
      <c r="B414" t="s">
        <v>84</v>
      </c>
      <c r="D414" s="2">
        <v>43524</v>
      </c>
      <c r="E414" s="2">
        <f t="shared" si="25"/>
        <v>43524</v>
      </c>
      <c r="F414" t="s">
        <v>484</v>
      </c>
      <c r="G414" t="s">
        <v>86</v>
      </c>
      <c r="H414" t="s">
        <v>87</v>
      </c>
      <c r="I414" t="s">
        <v>7</v>
      </c>
      <c r="J414" s="22">
        <v>-20.93</v>
      </c>
      <c r="K414" t="str">
        <f t="shared" si="26"/>
        <v>février</v>
      </c>
      <c r="L414" t="str">
        <f t="shared" si="27"/>
        <v>Dépenses</v>
      </c>
    </row>
    <row r="415" spans="1:12" x14ac:dyDescent="0.2">
      <c r="A415" t="s">
        <v>2</v>
      </c>
      <c r="B415" t="s">
        <v>8</v>
      </c>
      <c r="D415" s="2">
        <v>43525</v>
      </c>
      <c r="E415" s="2">
        <f t="shared" si="25"/>
        <v>43566</v>
      </c>
      <c r="F415" t="s">
        <v>488</v>
      </c>
      <c r="G415" t="s">
        <v>111</v>
      </c>
      <c r="H415" t="s">
        <v>178</v>
      </c>
      <c r="I415" t="s">
        <v>7</v>
      </c>
      <c r="J415" s="22">
        <v>-3.05</v>
      </c>
      <c r="K415" t="str">
        <f t="shared" si="26"/>
        <v>mars</v>
      </c>
      <c r="L415" t="str">
        <f t="shared" si="27"/>
        <v>Dépenses</v>
      </c>
    </row>
    <row r="416" spans="1:12" x14ac:dyDescent="0.2">
      <c r="A416" t="s">
        <v>108</v>
      </c>
      <c r="B416" t="s">
        <v>109</v>
      </c>
      <c r="D416" s="2">
        <v>43525</v>
      </c>
      <c r="E416" s="2">
        <f t="shared" si="25"/>
        <v>43525</v>
      </c>
      <c r="F416" t="s">
        <v>489</v>
      </c>
      <c r="G416" t="s">
        <v>19</v>
      </c>
      <c r="I416" t="s">
        <v>7</v>
      </c>
      <c r="J416" s="22">
        <v>-14</v>
      </c>
      <c r="K416" t="str">
        <f t="shared" si="26"/>
        <v>mars</v>
      </c>
      <c r="L416" t="str">
        <f t="shared" si="27"/>
        <v>Dépenses</v>
      </c>
    </row>
    <row r="417" spans="1:12" x14ac:dyDescent="0.2">
      <c r="A417" t="s">
        <v>108</v>
      </c>
      <c r="B417" t="s">
        <v>109</v>
      </c>
      <c r="D417" s="2">
        <v>43525</v>
      </c>
      <c r="E417" s="2">
        <f t="shared" si="25"/>
        <v>43525</v>
      </c>
      <c r="F417" t="s">
        <v>490</v>
      </c>
      <c r="G417" t="s">
        <v>63</v>
      </c>
      <c r="H417" t="s">
        <v>64</v>
      </c>
      <c r="I417" t="s">
        <v>7</v>
      </c>
      <c r="J417" s="22">
        <v>-28.15</v>
      </c>
      <c r="K417" t="str">
        <f t="shared" si="26"/>
        <v>mars</v>
      </c>
      <c r="L417" t="str">
        <f t="shared" si="27"/>
        <v>Dépenses</v>
      </c>
    </row>
    <row r="418" spans="1:12" ht="11.25" customHeight="1" x14ac:dyDescent="0.2">
      <c r="A418" t="s">
        <v>69</v>
      </c>
      <c r="B418" s="4" t="s">
        <v>70</v>
      </c>
      <c r="C418" s="5" t="s">
        <v>491</v>
      </c>
      <c r="D418" s="2">
        <v>43525</v>
      </c>
      <c r="E418" s="2">
        <f t="shared" si="25"/>
        <v>43525</v>
      </c>
      <c r="F418" t="s">
        <v>72</v>
      </c>
      <c r="G418" t="s">
        <v>73</v>
      </c>
      <c r="H418" t="s">
        <v>74</v>
      </c>
      <c r="I418" t="s">
        <v>7</v>
      </c>
      <c r="J418" s="23">
        <v>-500</v>
      </c>
      <c r="K418" t="str">
        <f t="shared" si="26"/>
        <v>mars</v>
      </c>
      <c r="L418" t="str">
        <f t="shared" si="27"/>
        <v>Dépenses</v>
      </c>
    </row>
    <row r="419" spans="1:12" ht="11.25" customHeight="1" x14ac:dyDescent="0.2">
      <c r="A419" t="s">
        <v>75</v>
      </c>
      <c r="B419" s="4" t="s">
        <v>70</v>
      </c>
      <c r="C419" s="5" t="s">
        <v>491</v>
      </c>
      <c r="D419" s="2">
        <v>43525</v>
      </c>
      <c r="E419" s="2">
        <f t="shared" si="25"/>
        <v>43525</v>
      </c>
      <c r="F419" t="s">
        <v>72</v>
      </c>
      <c r="G419" t="s">
        <v>76</v>
      </c>
      <c r="H419" t="s">
        <v>74</v>
      </c>
      <c r="I419" t="s">
        <v>7</v>
      </c>
      <c r="J419" s="23">
        <v>500</v>
      </c>
      <c r="K419" t="str">
        <f t="shared" si="26"/>
        <v>mars</v>
      </c>
      <c r="L419" t="str">
        <f t="shared" si="27"/>
        <v>Recettes</v>
      </c>
    </row>
    <row r="420" spans="1:12" ht="11.25" customHeight="1" x14ac:dyDescent="0.2">
      <c r="A420" t="s">
        <v>69</v>
      </c>
      <c r="B420" s="4" t="s">
        <v>70</v>
      </c>
      <c r="C420" s="7" t="s">
        <v>493</v>
      </c>
      <c r="D420" s="2">
        <v>43525</v>
      </c>
      <c r="E420" s="2">
        <f t="shared" si="25"/>
        <v>43525</v>
      </c>
      <c r="F420" t="s">
        <v>102</v>
      </c>
      <c r="G420" t="s">
        <v>103</v>
      </c>
      <c r="H420" t="s">
        <v>94</v>
      </c>
      <c r="I420" t="s">
        <v>7</v>
      </c>
      <c r="J420" s="23">
        <v>-600</v>
      </c>
      <c r="K420" t="str">
        <f t="shared" si="26"/>
        <v>mars</v>
      </c>
      <c r="L420" t="str">
        <f t="shared" si="27"/>
        <v>Dépenses</v>
      </c>
    </row>
    <row r="421" spans="1:12" x14ac:dyDescent="0.2">
      <c r="A421" t="s">
        <v>77</v>
      </c>
      <c r="B421" t="s">
        <v>113</v>
      </c>
      <c r="D421" s="2">
        <v>43525</v>
      </c>
      <c r="E421" s="2">
        <f t="shared" si="25"/>
        <v>43525</v>
      </c>
      <c r="F421" t="s">
        <v>492</v>
      </c>
      <c r="G421" t="s">
        <v>115</v>
      </c>
      <c r="H421" t="s">
        <v>74</v>
      </c>
      <c r="I421" t="s">
        <v>7</v>
      </c>
      <c r="J421" s="22">
        <f>8.4*18</f>
        <v>151.20000000000002</v>
      </c>
      <c r="K421" t="str">
        <f t="shared" si="26"/>
        <v>mars</v>
      </c>
      <c r="L421" t="str">
        <f t="shared" si="27"/>
        <v>Recettes</v>
      </c>
    </row>
    <row r="422" spans="1:12" x14ac:dyDescent="0.2">
      <c r="A422" t="s">
        <v>94</v>
      </c>
      <c r="B422" t="s">
        <v>84</v>
      </c>
      <c r="C422" s="1" t="s">
        <v>494</v>
      </c>
      <c r="D422" s="2">
        <v>43525</v>
      </c>
      <c r="E422" s="2">
        <f t="shared" si="25"/>
        <v>43525</v>
      </c>
      <c r="F422" t="s">
        <v>495</v>
      </c>
      <c r="G422" t="s">
        <v>270</v>
      </c>
      <c r="H422" t="s">
        <v>315</v>
      </c>
      <c r="I422" t="s">
        <v>7</v>
      </c>
      <c r="J422" s="22">
        <v>-208.99</v>
      </c>
      <c r="K422" t="str">
        <f t="shared" si="26"/>
        <v>mars</v>
      </c>
      <c r="L422" t="str">
        <f t="shared" si="27"/>
        <v>Dépenses</v>
      </c>
    </row>
    <row r="423" spans="1:12" x14ac:dyDescent="0.2">
      <c r="A423" t="s">
        <v>2</v>
      </c>
      <c r="B423" t="s">
        <v>8</v>
      </c>
      <c r="D423" s="2">
        <v>43526</v>
      </c>
      <c r="E423" s="2">
        <f t="shared" si="25"/>
        <v>43566</v>
      </c>
      <c r="F423" t="s">
        <v>496</v>
      </c>
      <c r="G423" t="s">
        <v>19</v>
      </c>
      <c r="I423" t="s">
        <v>7</v>
      </c>
      <c r="J423" s="22">
        <v>-23</v>
      </c>
      <c r="K423" t="str">
        <f t="shared" si="26"/>
        <v>mars</v>
      </c>
      <c r="L423" t="str">
        <f t="shared" si="27"/>
        <v>Dépenses</v>
      </c>
    </row>
    <row r="424" spans="1:12" x14ac:dyDescent="0.2">
      <c r="A424" t="s">
        <v>108</v>
      </c>
      <c r="B424" s="4" t="s">
        <v>70</v>
      </c>
      <c r="C424" s="5" t="s">
        <v>497</v>
      </c>
      <c r="D424" s="2">
        <v>43526</v>
      </c>
      <c r="E424" s="2">
        <f t="shared" si="25"/>
        <v>43526</v>
      </c>
      <c r="F424" t="s">
        <v>96</v>
      </c>
      <c r="G424" t="s">
        <v>86</v>
      </c>
      <c r="H424" t="s">
        <v>87</v>
      </c>
      <c r="I424" t="s">
        <v>7</v>
      </c>
      <c r="J424" s="22">
        <v>-6.72</v>
      </c>
      <c r="K424" t="str">
        <f t="shared" si="26"/>
        <v>mars</v>
      </c>
      <c r="L424" t="str">
        <f t="shared" si="27"/>
        <v>Dépenses</v>
      </c>
    </row>
    <row r="425" spans="1:12" ht="11.25" customHeight="1" x14ac:dyDescent="0.2">
      <c r="A425" t="s">
        <v>69</v>
      </c>
      <c r="B425" s="4" t="s">
        <v>70</v>
      </c>
      <c r="C425" s="7" t="s">
        <v>498</v>
      </c>
      <c r="D425" s="2">
        <v>43526</v>
      </c>
      <c r="E425" s="2">
        <f t="shared" si="25"/>
        <v>43526</v>
      </c>
      <c r="F425" t="s">
        <v>98</v>
      </c>
      <c r="G425" t="s">
        <v>73</v>
      </c>
      <c r="H425" t="s">
        <v>74</v>
      </c>
      <c r="I425" t="s">
        <v>7</v>
      </c>
      <c r="J425" s="23">
        <v>-597</v>
      </c>
      <c r="K425" t="str">
        <f t="shared" si="26"/>
        <v>mars</v>
      </c>
      <c r="L425" t="str">
        <f t="shared" si="27"/>
        <v>Dépenses</v>
      </c>
    </row>
    <row r="426" spans="1:12" ht="11.25" customHeight="1" x14ac:dyDescent="0.2">
      <c r="A426" t="s">
        <v>69</v>
      </c>
      <c r="B426" s="4" t="s">
        <v>70</v>
      </c>
      <c r="C426" s="7" t="s">
        <v>499</v>
      </c>
      <c r="D426" s="2">
        <v>43526</v>
      </c>
      <c r="E426" s="2">
        <f t="shared" si="25"/>
        <v>43526</v>
      </c>
      <c r="F426" t="s">
        <v>100</v>
      </c>
      <c r="G426" t="s">
        <v>73</v>
      </c>
      <c r="H426" t="s">
        <v>74</v>
      </c>
      <c r="I426" t="s">
        <v>7</v>
      </c>
      <c r="J426" s="23">
        <v>-120</v>
      </c>
      <c r="K426" t="str">
        <f t="shared" si="26"/>
        <v>mars</v>
      </c>
      <c r="L426" t="str">
        <f t="shared" si="27"/>
        <v>Dépenses</v>
      </c>
    </row>
    <row r="427" spans="1:12" ht="11.25" customHeight="1" x14ac:dyDescent="0.2">
      <c r="A427" t="s">
        <v>69</v>
      </c>
      <c r="B427" s="4" t="s">
        <v>70</v>
      </c>
      <c r="C427" s="7" t="s">
        <v>500</v>
      </c>
      <c r="D427" s="2">
        <v>43526</v>
      </c>
      <c r="E427" s="2">
        <f t="shared" si="25"/>
        <v>43526</v>
      </c>
      <c r="F427" t="s">
        <v>105</v>
      </c>
      <c r="G427" t="s">
        <v>16</v>
      </c>
      <c r="H427" t="s">
        <v>107</v>
      </c>
      <c r="I427" t="s">
        <v>7</v>
      </c>
      <c r="J427" s="23">
        <v>-10.99</v>
      </c>
      <c r="K427" t="str">
        <f t="shared" si="26"/>
        <v>mars</v>
      </c>
      <c r="L427" t="str">
        <f t="shared" si="27"/>
        <v>Dépenses</v>
      </c>
    </row>
    <row r="428" spans="1:12" x14ac:dyDescent="0.2">
      <c r="A428" t="s">
        <v>94</v>
      </c>
      <c r="B428" s="4" t="s">
        <v>70</v>
      </c>
      <c r="C428" s="5" t="s">
        <v>501</v>
      </c>
      <c r="D428" s="2">
        <v>43526</v>
      </c>
      <c r="E428" s="2">
        <f t="shared" si="25"/>
        <v>43526</v>
      </c>
      <c r="F428" t="s">
        <v>96</v>
      </c>
      <c r="G428" t="s">
        <v>86</v>
      </c>
      <c r="H428" t="s">
        <v>87</v>
      </c>
      <c r="I428" t="s">
        <v>7</v>
      </c>
      <c r="J428" s="22">
        <v>-6.72</v>
      </c>
      <c r="K428" t="str">
        <f t="shared" si="26"/>
        <v>mars</v>
      </c>
      <c r="L428" t="str">
        <f t="shared" si="27"/>
        <v>Dépenses</v>
      </c>
    </row>
    <row r="429" spans="1:12" ht="15" customHeight="1" x14ac:dyDescent="0.2">
      <c r="A429" t="s">
        <v>108</v>
      </c>
      <c r="B429" t="s">
        <v>109</v>
      </c>
      <c r="D429" s="2">
        <v>43527</v>
      </c>
      <c r="E429" s="2">
        <f t="shared" si="25"/>
        <v>43527</v>
      </c>
      <c r="F429" t="s">
        <v>502</v>
      </c>
      <c r="G429" t="s">
        <v>19</v>
      </c>
      <c r="H429" t="s">
        <v>141</v>
      </c>
      <c r="I429" t="s">
        <v>7</v>
      </c>
      <c r="J429" s="22">
        <v>-28.98</v>
      </c>
      <c r="K429" t="str">
        <f t="shared" si="26"/>
        <v>mars</v>
      </c>
      <c r="L429" t="str">
        <f t="shared" si="27"/>
        <v>Dépenses</v>
      </c>
    </row>
    <row r="430" spans="1:12" x14ac:dyDescent="0.2">
      <c r="A430" t="s">
        <v>69</v>
      </c>
      <c r="B430" t="s">
        <v>84</v>
      </c>
      <c r="D430" s="2">
        <v>43527</v>
      </c>
      <c r="E430" s="2">
        <f t="shared" si="25"/>
        <v>43527</v>
      </c>
      <c r="F430" t="s">
        <v>503</v>
      </c>
      <c r="G430" t="s">
        <v>111</v>
      </c>
      <c r="H430" t="s">
        <v>194</v>
      </c>
      <c r="I430" t="s">
        <v>7</v>
      </c>
      <c r="J430" s="22">
        <v>5.0999999999999996</v>
      </c>
      <c r="K430" t="str">
        <f t="shared" si="26"/>
        <v>mars</v>
      </c>
      <c r="L430" t="str">
        <f t="shared" si="27"/>
        <v>Recettes</v>
      </c>
    </row>
    <row r="431" spans="1:12" x14ac:dyDescent="0.2">
      <c r="A431" t="s">
        <v>69</v>
      </c>
      <c r="B431" t="s">
        <v>84</v>
      </c>
      <c r="D431" s="2">
        <v>43527</v>
      </c>
      <c r="E431" s="2">
        <f t="shared" si="25"/>
        <v>43527</v>
      </c>
      <c r="F431" t="s">
        <v>503</v>
      </c>
      <c r="G431" t="s">
        <v>111</v>
      </c>
      <c r="H431" t="s">
        <v>194</v>
      </c>
      <c r="I431" t="s">
        <v>7</v>
      </c>
      <c r="J431" s="22">
        <v>9.65</v>
      </c>
      <c r="K431" t="str">
        <f t="shared" si="26"/>
        <v>mars</v>
      </c>
      <c r="L431" t="str">
        <f t="shared" si="27"/>
        <v>Recettes</v>
      </c>
    </row>
    <row r="432" spans="1:12" ht="11.25" customHeight="1" x14ac:dyDescent="0.2">
      <c r="A432" t="s">
        <v>2</v>
      </c>
      <c r="B432" t="s">
        <v>8</v>
      </c>
      <c r="D432" s="2">
        <v>43528</v>
      </c>
      <c r="E432" s="2">
        <f t="shared" si="25"/>
        <v>43566</v>
      </c>
      <c r="F432" t="s">
        <v>504</v>
      </c>
      <c r="G432" t="s">
        <v>115</v>
      </c>
      <c r="H432" t="s">
        <v>14</v>
      </c>
      <c r="I432" t="s">
        <v>7</v>
      </c>
      <c r="J432" s="22">
        <v>-5.04</v>
      </c>
      <c r="K432" t="str">
        <f t="shared" si="26"/>
        <v>mars</v>
      </c>
      <c r="L432" t="str">
        <f t="shared" si="27"/>
        <v>Dépenses</v>
      </c>
    </row>
    <row r="433" spans="1:12" x14ac:dyDescent="0.2">
      <c r="A433" t="s">
        <v>2</v>
      </c>
      <c r="B433" t="s">
        <v>8</v>
      </c>
      <c r="D433" s="2">
        <v>43528</v>
      </c>
      <c r="E433" s="2">
        <f t="shared" si="25"/>
        <v>43566</v>
      </c>
      <c r="F433" t="s">
        <v>32</v>
      </c>
      <c r="G433" t="s">
        <v>115</v>
      </c>
      <c r="H433" t="s">
        <v>22</v>
      </c>
      <c r="I433" t="s">
        <v>7</v>
      </c>
      <c r="J433" s="22">
        <v>-1.5</v>
      </c>
      <c r="K433" t="str">
        <f t="shared" si="26"/>
        <v>mars</v>
      </c>
      <c r="L433" t="str">
        <f t="shared" si="27"/>
        <v>Dépenses</v>
      </c>
    </row>
    <row r="434" spans="1:12" x14ac:dyDescent="0.2">
      <c r="A434" t="s">
        <v>108</v>
      </c>
      <c r="B434" t="s">
        <v>109</v>
      </c>
      <c r="D434" s="2">
        <v>43528</v>
      </c>
      <c r="E434" s="2">
        <f t="shared" ref="E434:E497" si="28">IF(A434="","",IF(A434&lt;&gt;"Carte Lux",D434,VLOOKUP(D434,Periode_datedebit_2019,3)))</f>
        <v>43528</v>
      </c>
      <c r="F434" t="s">
        <v>5</v>
      </c>
      <c r="G434" t="s">
        <v>5</v>
      </c>
      <c r="H434" t="s">
        <v>23</v>
      </c>
      <c r="I434" t="s">
        <v>7</v>
      </c>
      <c r="J434" s="22">
        <v>-27.37</v>
      </c>
      <c r="K434" t="str">
        <f t="shared" si="26"/>
        <v>mars</v>
      </c>
      <c r="L434" t="str">
        <f t="shared" si="27"/>
        <v>Dépenses</v>
      </c>
    </row>
    <row r="435" spans="1:12" x14ac:dyDescent="0.2">
      <c r="A435" t="s">
        <v>108</v>
      </c>
      <c r="B435" t="s">
        <v>109</v>
      </c>
      <c r="D435" s="2">
        <v>43528</v>
      </c>
      <c r="E435" s="2">
        <f t="shared" si="28"/>
        <v>43528</v>
      </c>
      <c r="F435" t="s">
        <v>110</v>
      </c>
      <c r="G435" t="s">
        <v>111</v>
      </c>
      <c r="H435" t="s">
        <v>178</v>
      </c>
      <c r="I435" t="s">
        <v>7</v>
      </c>
      <c r="J435" s="22">
        <v>-10.43</v>
      </c>
      <c r="K435" t="str">
        <f t="shared" si="26"/>
        <v>mars</v>
      </c>
      <c r="L435" t="str">
        <f t="shared" si="27"/>
        <v>Dépenses</v>
      </c>
    </row>
    <row r="436" spans="1:12" ht="11.25" customHeight="1" x14ac:dyDescent="0.2">
      <c r="A436" t="s">
        <v>108</v>
      </c>
      <c r="B436" t="s">
        <v>109</v>
      </c>
      <c r="D436" s="2">
        <v>43528</v>
      </c>
      <c r="E436" s="2">
        <f t="shared" si="28"/>
        <v>43528</v>
      </c>
      <c r="F436" t="s">
        <v>110</v>
      </c>
      <c r="G436" t="s">
        <v>111</v>
      </c>
      <c r="H436" t="s">
        <v>178</v>
      </c>
      <c r="I436" t="s">
        <v>7</v>
      </c>
      <c r="J436" s="22">
        <v>-12.25</v>
      </c>
      <c r="K436" t="str">
        <f t="shared" si="26"/>
        <v>mars</v>
      </c>
      <c r="L436" t="str">
        <f t="shared" si="27"/>
        <v>Dépenses</v>
      </c>
    </row>
    <row r="437" spans="1:12" ht="15" customHeight="1" x14ac:dyDescent="0.2">
      <c r="A437" t="s">
        <v>108</v>
      </c>
      <c r="B437" t="s">
        <v>109</v>
      </c>
      <c r="D437" s="2">
        <v>43528</v>
      </c>
      <c r="E437" s="2">
        <f t="shared" si="28"/>
        <v>43528</v>
      </c>
      <c r="F437" t="s">
        <v>334</v>
      </c>
      <c r="G437" t="s">
        <v>5</v>
      </c>
      <c r="H437" t="s">
        <v>23</v>
      </c>
      <c r="I437" t="s">
        <v>7</v>
      </c>
      <c r="J437" s="22">
        <v>-12.75</v>
      </c>
      <c r="K437" t="str">
        <f t="shared" si="26"/>
        <v>mars</v>
      </c>
      <c r="L437" t="str">
        <f t="shared" si="27"/>
        <v>Dépenses</v>
      </c>
    </row>
    <row r="438" spans="1:12" ht="15" customHeight="1" x14ac:dyDescent="0.2">
      <c r="A438" t="s">
        <v>108</v>
      </c>
      <c r="B438" t="s">
        <v>109</v>
      </c>
      <c r="D438" s="2">
        <v>43528</v>
      </c>
      <c r="E438" s="2">
        <f t="shared" si="28"/>
        <v>43528</v>
      </c>
      <c r="F438" t="s">
        <v>32</v>
      </c>
      <c r="G438" t="s">
        <v>5</v>
      </c>
      <c r="H438" t="s">
        <v>23</v>
      </c>
      <c r="I438" t="s">
        <v>7</v>
      </c>
      <c r="J438" s="22">
        <v>-1.25</v>
      </c>
      <c r="K438" t="str">
        <f t="shared" si="26"/>
        <v>mars</v>
      </c>
      <c r="L438" t="str">
        <f t="shared" si="27"/>
        <v>Dépenses</v>
      </c>
    </row>
    <row r="439" spans="1:12" ht="11.25" customHeight="1" x14ac:dyDescent="0.2">
      <c r="A439" t="s">
        <v>94</v>
      </c>
      <c r="B439" s="4" t="s">
        <v>70</v>
      </c>
      <c r="C439" s="7" t="s">
        <v>493</v>
      </c>
      <c r="D439" s="2">
        <v>43528</v>
      </c>
      <c r="E439" s="2">
        <f t="shared" si="28"/>
        <v>43528</v>
      </c>
      <c r="F439" t="s">
        <v>135</v>
      </c>
      <c r="G439" t="s">
        <v>103</v>
      </c>
      <c r="H439" t="s">
        <v>69</v>
      </c>
      <c r="I439" t="s">
        <v>7</v>
      </c>
      <c r="J439" s="23">
        <v>600</v>
      </c>
      <c r="K439" t="str">
        <f t="shared" si="26"/>
        <v>mars</v>
      </c>
      <c r="L439" t="str">
        <f t="shared" si="27"/>
        <v>Recettes</v>
      </c>
    </row>
    <row r="440" spans="1:12" ht="11.25" customHeight="1" x14ac:dyDescent="0.2">
      <c r="A440" t="s">
        <v>108</v>
      </c>
      <c r="B440" s="4" t="s">
        <v>70</v>
      </c>
      <c r="C440" s="7" t="s">
        <v>506</v>
      </c>
      <c r="D440" s="2">
        <v>43528</v>
      </c>
      <c r="E440" s="2">
        <f t="shared" si="28"/>
        <v>43528</v>
      </c>
      <c r="F440" t="s">
        <v>184</v>
      </c>
      <c r="G440" t="s">
        <v>106</v>
      </c>
      <c r="H440" t="s">
        <v>185</v>
      </c>
      <c r="I440" t="s">
        <v>7</v>
      </c>
      <c r="J440" s="23">
        <v>-0.99</v>
      </c>
      <c r="K440" t="str">
        <f t="shared" si="26"/>
        <v>mars</v>
      </c>
      <c r="L440" t="str">
        <f t="shared" si="27"/>
        <v>Dépenses</v>
      </c>
    </row>
    <row r="441" spans="1:12" x14ac:dyDescent="0.2">
      <c r="A441" t="s">
        <v>94</v>
      </c>
      <c r="B441" s="4" t="s">
        <v>70</v>
      </c>
      <c r="C441" s="7" t="s">
        <v>507</v>
      </c>
      <c r="D441" s="2">
        <v>43528</v>
      </c>
      <c r="E441" s="2">
        <f t="shared" si="28"/>
        <v>43528</v>
      </c>
      <c r="F441" t="s">
        <v>317</v>
      </c>
      <c r="G441" t="s">
        <v>318</v>
      </c>
      <c r="H441" t="s">
        <v>319</v>
      </c>
      <c r="I441" t="s">
        <v>7</v>
      </c>
      <c r="J441" s="22">
        <v>-80.33</v>
      </c>
      <c r="K441" t="str">
        <f t="shared" si="26"/>
        <v>mars</v>
      </c>
      <c r="L441" t="str">
        <f t="shared" si="27"/>
        <v>Dépenses</v>
      </c>
    </row>
    <row r="442" spans="1:12" x14ac:dyDescent="0.2">
      <c r="A442" t="s">
        <v>77</v>
      </c>
      <c r="B442" t="s">
        <v>113</v>
      </c>
      <c r="D442" s="2">
        <v>43528</v>
      </c>
      <c r="E442" s="2">
        <f t="shared" si="28"/>
        <v>43528</v>
      </c>
      <c r="F442" t="s">
        <v>505</v>
      </c>
      <c r="G442" t="s">
        <v>115</v>
      </c>
      <c r="H442" t="s">
        <v>114</v>
      </c>
      <c r="I442" t="s">
        <v>487</v>
      </c>
      <c r="J442" s="22">
        <v>-14</v>
      </c>
      <c r="K442" t="str">
        <f t="shared" si="26"/>
        <v>mars</v>
      </c>
      <c r="L442" t="str">
        <f t="shared" si="27"/>
        <v>Dépenses</v>
      </c>
    </row>
    <row r="443" spans="1:12" x14ac:dyDescent="0.2">
      <c r="A443" t="s">
        <v>2</v>
      </c>
      <c r="B443" t="s">
        <v>3</v>
      </c>
      <c r="C443" t="s">
        <v>512</v>
      </c>
      <c r="D443" s="2">
        <v>43529</v>
      </c>
      <c r="E443" s="2">
        <f t="shared" si="28"/>
        <v>43566</v>
      </c>
      <c r="F443" t="s">
        <v>48</v>
      </c>
      <c r="G443" t="s">
        <v>49</v>
      </c>
      <c r="H443" t="s">
        <v>6</v>
      </c>
      <c r="I443" t="s">
        <v>7</v>
      </c>
      <c r="J443" s="22">
        <v>-3.19</v>
      </c>
      <c r="K443" t="str">
        <f t="shared" si="26"/>
        <v>mars</v>
      </c>
      <c r="L443" t="str">
        <f t="shared" si="27"/>
        <v>Dépenses</v>
      </c>
    </row>
    <row r="444" spans="1:12" x14ac:dyDescent="0.2">
      <c r="A444" t="s">
        <v>2</v>
      </c>
      <c r="B444" t="s">
        <v>3</v>
      </c>
      <c r="C444" t="s">
        <v>512</v>
      </c>
      <c r="D444" s="2">
        <v>43529</v>
      </c>
      <c r="E444" s="2">
        <f t="shared" si="28"/>
        <v>43566</v>
      </c>
      <c r="F444" t="s">
        <v>5</v>
      </c>
      <c r="G444" t="s">
        <v>5</v>
      </c>
      <c r="H444" t="s">
        <v>6</v>
      </c>
      <c r="I444" t="s">
        <v>7</v>
      </c>
      <c r="J444" s="22">
        <f>-30.07--3.19</f>
        <v>-26.88</v>
      </c>
      <c r="K444" t="str">
        <f t="shared" si="26"/>
        <v>mars</v>
      </c>
      <c r="L444" t="str">
        <f t="shared" si="27"/>
        <v>Dépenses</v>
      </c>
    </row>
    <row r="445" spans="1:12" x14ac:dyDescent="0.2">
      <c r="A445" t="s">
        <v>108</v>
      </c>
      <c r="B445" t="s">
        <v>109</v>
      </c>
      <c r="C445" t="s">
        <v>508</v>
      </c>
      <c r="D445" s="2">
        <v>43529</v>
      </c>
      <c r="E445" s="2">
        <f t="shared" si="28"/>
        <v>43529</v>
      </c>
      <c r="F445" t="s">
        <v>509</v>
      </c>
      <c r="G445" t="s">
        <v>49</v>
      </c>
      <c r="H445" t="s">
        <v>37</v>
      </c>
      <c r="I445" t="s">
        <v>7</v>
      </c>
      <c r="J445" s="22">
        <f>-5.29-2.59</f>
        <v>-7.88</v>
      </c>
      <c r="K445" t="str">
        <f t="shared" si="26"/>
        <v>mars</v>
      </c>
      <c r="L445" t="str">
        <f t="shared" si="27"/>
        <v>Dépenses</v>
      </c>
    </row>
    <row r="446" spans="1:12" ht="15" customHeight="1" x14ac:dyDescent="0.2">
      <c r="A446" t="s">
        <v>108</v>
      </c>
      <c r="B446" t="s">
        <v>109</v>
      </c>
      <c r="C446" t="s">
        <v>508</v>
      </c>
      <c r="D446" s="2">
        <v>43529</v>
      </c>
      <c r="E446" s="2">
        <f t="shared" si="28"/>
        <v>43529</v>
      </c>
      <c r="F446" t="s">
        <v>5</v>
      </c>
      <c r="G446" t="s">
        <v>5</v>
      </c>
      <c r="H446" t="s">
        <v>37</v>
      </c>
      <c r="I446" t="s">
        <v>7</v>
      </c>
      <c r="J446" s="22">
        <f>-24.91--7.88</f>
        <v>-17.03</v>
      </c>
      <c r="K446" t="str">
        <f t="shared" si="26"/>
        <v>mars</v>
      </c>
      <c r="L446" t="str">
        <f t="shared" si="27"/>
        <v>Dépenses</v>
      </c>
    </row>
    <row r="447" spans="1:12" ht="15" customHeight="1" x14ac:dyDescent="0.2">
      <c r="A447" t="s">
        <v>108</v>
      </c>
      <c r="B447" t="s">
        <v>109</v>
      </c>
      <c r="D447" s="2">
        <v>43529</v>
      </c>
      <c r="E447" s="2">
        <f t="shared" si="28"/>
        <v>43529</v>
      </c>
      <c r="F447" t="s">
        <v>32</v>
      </c>
      <c r="G447" t="s">
        <v>5</v>
      </c>
      <c r="H447" t="s">
        <v>23</v>
      </c>
      <c r="I447" t="s">
        <v>7</v>
      </c>
      <c r="J447" s="22">
        <v>-1.95</v>
      </c>
      <c r="K447" t="str">
        <f t="shared" si="26"/>
        <v>mars</v>
      </c>
      <c r="L447" t="str">
        <f t="shared" si="27"/>
        <v>Dépenses</v>
      </c>
    </row>
    <row r="448" spans="1:12" ht="15" customHeight="1" x14ac:dyDescent="0.2">
      <c r="A448" t="s">
        <v>108</v>
      </c>
      <c r="B448" t="s">
        <v>109</v>
      </c>
      <c r="D448" s="2">
        <v>43529</v>
      </c>
      <c r="E448" s="2">
        <f t="shared" si="28"/>
        <v>43529</v>
      </c>
      <c r="F448" t="s">
        <v>510</v>
      </c>
      <c r="G448" t="s">
        <v>16</v>
      </c>
      <c r="H448" t="s">
        <v>185</v>
      </c>
      <c r="I448" t="s">
        <v>7</v>
      </c>
      <c r="J448" s="22">
        <v>-0.99</v>
      </c>
      <c r="K448" t="str">
        <f t="shared" si="26"/>
        <v>mars</v>
      </c>
      <c r="L448" t="str">
        <f t="shared" si="27"/>
        <v>Dépenses</v>
      </c>
    </row>
    <row r="449" spans="1:12" x14ac:dyDescent="0.2">
      <c r="A449" t="s">
        <v>94</v>
      </c>
      <c r="B449" t="s">
        <v>122</v>
      </c>
      <c r="D449" s="2">
        <v>43529</v>
      </c>
      <c r="E449" s="2">
        <f t="shared" si="28"/>
        <v>43529</v>
      </c>
      <c r="F449" t="s">
        <v>190</v>
      </c>
      <c r="G449" t="s">
        <v>16</v>
      </c>
      <c r="H449" t="s">
        <v>514</v>
      </c>
      <c r="I449" t="s">
        <v>487</v>
      </c>
      <c r="J449" s="22">
        <v>-115</v>
      </c>
      <c r="K449" t="str">
        <f t="shared" si="26"/>
        <v>mars</v>
      </c>
      <c r="L449" t="str">
        <f t="shared" si="27"/>
        <v>Dépenses</v>
      </c>
    </row>
    <row r="450" spans="1:12" ht="11.25" customHeight="1" x14ac:dyDescent="0.2">
      <c r="A450" t="s">
        <v>94</v>
      </c>
      <c r="B450" s="4" t="s">
        <v>70</v>
      </c>
      <c r="C450" s="7" t="s">
        <v>511</v>
      </c>
      <c r="D450" s="2">
        <v>43529</v>
      </c>
      <c r="E450" s="2">
        <f t="shared" si="28"/>
        <v>43529</v>
      </c>
      <c r="F450" t="s">
        <v>161</v>
      </c>
      <c r="G450" t="s">
        <v>162</v>
      </c>
      <c r="H450" t="s">
        <v>163</v>
      </c>
      <c r="I450" t="s">
        <v>7</v>
      </c>
      <c r="J450" s="23">
        <v>-63.37</v>
      </c>
      <c r="K450" t="str">
        <f t="shared" ref="K450:K513" si="29">IF(D450="","",TEXT(D450,"Mmmm"))</f>
        <v>mars</v>
      </c>
      <c r="L450" t="str">
        <f t="shared" ref="L450:L513" si="30">IF(J450="","",IF(J450&lt;0,"Dépenses","Recettes"))</f>
        <v>Dépenses</v>
      </c>
    </row>
    <row r="451" spans="1:12" ht="11.25" customHeight="1" x14ac:dyDescent="0.2">
      <c r="A451" t="s">
        <v>94</v>
      </c>
      <c r="B451" s="4" t="s">
        <v>70</v>
      </c>
      <c r="C451" s="7" t="s">
        <v>513</v>
      </c>
      <c r="D451" s="2">
        <v>43529</v>
      </c>
      <c r="E451" s="2">
        <f t="shared" si="28"/>
        <v>43529</v>
      </c>
      <c r="F451" t="s">
        <v>143</v>
      </c>
      <c r="G451" t="s">
        <v>144</v>
      </c>
      <c r="H451" t="s">
        <v>145</v>
      </c>
      <c r="I451" t="s">
        <v>7</v>
      </c>
      <c r="J451" s="23">
        <v>131.16</v>
      </c>
      <c r="K451" t="str">
        <f t="shared" si="29"/>
        <v>mars</v>
      </c>
      <c r="L451" t="str">
        <f t="shared" si="30"/>
        <v>Recettes</v>
      </c>
    </row>
    <row r="452" spans="1:12" x14ac:dyDescent="0.2">
      <c r="A452" t="s">
        <v>77</v>
      </c>
      <c r="B452" t="s">
        <v>113</v>
      </c>
      <c r="D452" s="2">
        <v>43529</v>
      </c>
      <c r="E452" s="2">
        <f t="shared" si="28"/>
        <v>43529</v>
      </c>
      <c r="F452" t="s">
        <v>505</v>
      </c>
      <c r="G452" t="s">
        <v>115</v>
      </c>
      <c r="H452" t="s">
        <v>114</v>
      </c>
      <c r="I452" t="s">
        <v>487</v>
      </c>
      <c r="J452" s="22">
        <f>-7-6</f>
        <v>-13</v>
      </c>
      <c r="K452" t="str">
        <f t="shared" si="29"/>
        <v>mars</v>
      </c>
      <c r="L452" t="str">
        <f t="shared" si="30"/>
        <v>Dépenses</v>
      </c>
    </row>
    <row r="453" spans="1:12" ht="11.25" customHeight="1" x14ac:dyDescent="0.2">
      <c r="A453" t="s">
        <v>69</v>
      </c>
      <c r="B453" t="s">
        <v>84</v>
      </c>
      <c r="D453" s="2">
        <v>43529</v>
      </c>
      <c r="E453" s="2">
        <f t="shared" si="28"/>
        <v>43529</v>
      </c>
      <c r="F453" t="s">
        <v>515</v>
      </c>
      <c r="G453" t="s">
        <v>111</v>
      </c>
      <c r="H453" t="s">
        <v>362</v>
      </c>
      <c r="I453" t="s">
        <v>7</v>
      </c>
      <c r="J453" s="22">
        <v>5.0999999999999996</v>
      </c>
      <c r="K453" t="str">
        <f t="shared" si="29"/>
        <v>mars</v>
      </c>
      <c r="L453" t="str">
        <f t="shared" si="30"/>
        <v>Recettes</v>
      </c>
    </row>
    <row r="454" spans="1:12" ht="11.25" customHeight="1" x14ac:dyDescent="0.2">
      <c r="A454" t="s">
        <v>2</v>
      </c>
      <c r="B454" t="s">
        <v>8</v>
      </c>
      <c r="D454" s="2">
        <v>43530</v>
      </c>
      <c r="E454" s="2">
        <f t="shared" si="28"/>
        <v>43566</v>
      </c>
      <c r="F454" t="s">
        <v>516</v>
      </c>
      <c r="G454" t="s">
        <v>16</v>
      </c>
      <c r="H454" t="s">
        <v>517</v>
      </c>
      <c r="I454" t="s">
        <v>7</v>
      </c>
      <c r="J454" s="22">
        <v>-20</v>
      </c>
      <c r="K454" t="str">
        <f t="shared" si="29"/>
        <v>mars</v>
      </c>
      <c r="L454" t="str">
        <f t="shared" si="30"/>
        <v>Dépenses</v>
      </c>
    </row>
    <row r="455" spans="1:12" ht="11.25" customHeight="1" x14ac:dyDescent="0.2">
      <c r="A455" t="s">
        <v>2</v>
      </c>
      <c r="B455" t="s">
        <v>8</v>
      </c>
      <c r="D455" s="2">
        <v>43530</v>
      </c>
      <c r="E455" s="2">
        <f t="shared" si="28"/>
        <v>43566</v>
      </c>
      <c r="F455" t="s">
        <v>520</v>
      </c>
      <c r="G455" t="s">
        <v>16</v>
      </c>
      <c r="H455" t="s">
        <v>37</v>
      </c>
      <c r="I455" t="s">
        <v>7</v>
      </c>
      <c r="J455" s="22">
        <v>-7.47</v>
      </c>
      <c r="K455" t="str">
        <f t="shared" si="29"/>
        <v>mars</v>
      </c>
      <c r="L455" t="str">
        <f t="shared" si="30"/>
        <v>Dépenses</v>
      </c>
    </row>
    <row r="456" spans="1:12" x14ac:dyDescent="0.2">
      <c r="A456" t="s">
        <v>108</v>
      </c>
      <c r="B456" t="s">
        <v>109</v>
      </c>
      <c r="D456" s="2">
        <v>43530</v>
      </c>
      <c r="E456" s="2">
        <f t="shared" si="28"/>
        <v>43530</v>
      </c>
      <c r="F456" t="s">
        <v>518</v>
      </c>
      <c r="G456" t="s">
        <v>5</v>
      </c>
      <c r="H456" t="s">
        <v>23</v>
      </c>
      <c r="I456" t="s">
        <v>7</v>
      </c>
      <c r="J456" s="22">
        <v>-1.25</v>
      </c>
      <c r="K456" t="str">
        <f t="shared" si="29"/>
        <v>mars</v>
      </c>
      <c r="L456" t="str">
        <f t="shared" si="30"/>
        <v>Dépenses</v>
      </c>
    </row>
    <row r="457" spans="1:12" ht="11.25" customHeight="1" x14ac:dyDescent="0.2">
      <c r="A457" t="s">
        <v>94</v>
      </c>
      <c r="B457" s="4" t="s">
        <v>70</v>
      </c>
      <c r="C457" s="7" t="s">
        <v>519</v>
      </c>
      <c r="D457" s="2">
        <v>43530</v>
      </c>
      <c r="E457" s="2">
        <f t="shared" si="28"/>
        <v>43530</v>
      </c>
      <c r="F457" t="s">
        <v>157</v>
      </c>
      <c r="G457" t="s">
        <v>158</v>
      </c>
      <c r="H457" t="s">
        <v>87</v>
      </c>
      <c r="I457" t="s">
        <v>487</v>
      </c>
      <c r="J457" s="23">
        <v>-7.43</v>
      </c>
      <c r="K457" t="str">
        <f t="shared" si="29"/>
        <v>mars</v>
      </c>
      <c r="L457" t="str">
        <f t="shared" si="30"/>
        <v>Dépenses</v>
      </c>
    </row>
    <row r="458" spans="1:12" x14ac:dyDescent="0.2">
      <c r="A458" t="s">
        <v>2</v>
      </c>
      <c r="B458" t="s">
        <v>8</v>
      </c>
      <c r="D458" s="2">
        <v>43531</v>
      </c>
      <c r="E458" s="2">
        <f t="shared" si="28"/>
        <v>43566</v>
      </c>
      <c r="F458" t="s">
        <v>114</v>
      </c>
      <c r="G458" t="s">
        <v>115</v>
      </c>
      <c r="H458" t="s">
        <v>114</v>
      </c>
      <c r="I458" t="s">
        <v>7</v>
      </c>
      <c r="J458" s="22">
        <v>-21</v>
      </c>
      <c r="K458" t="str">
        <f t="shared" si="29"/>
        <v>mars</v>
      </c>
      <c r="L458" t="str">
        <f t="shared" si="30"/>
        <v>Dépenses</v>
      </c>
    </row>
    <row r="459" spans="1:12" x14ac:dyDescent="0.2">
      <c r="A459" t="s">
        <v>2</v>
      </c>
      <c r="B459" t="s">
        <v>8</v>
      </c>
      <c r="D459" s="2">
        <v>43531</v>
      </c>
      <c r="E459" s="2">
        <f t="shared" si="28"/>
        <v>43566</v>
      </c>
      <c r="F459" t="s">
        <v>114</v>
      </c>
      <c r="G459" t="s">
        <v>115</v>
      </c>
      <c r="H459" t="s">
        <v>114</v>
      </c>
      <c r="I459" t="s">
        <v>7</v>
      </c>
      <c r="J459" s="22">
        <v>-25</v>
      </c>
      <c r="K459" t="str">
        <f t="shared" si="29"/>
        <v>mars</v>
      </c>
      <c r="L459" t="str">
        <f t="shared" si="30"/>
        <v>Dépenses</v>
      </c>
    </row>
    <row r="460" spans="1:12" x14ac:dyDescent="0.2">
      <c r="A460" t="s">
        <v>2</v>
      </c>
      <c r="B460" t="s">
        <v>3</v>
      </c>
      <c r="D460" s="2">
        <v>43531</v>
      </c>
      <c r="E460" s="2">
        <f t="shared" si="28"/>
        <v>43566</v>
      </c>
      <c r="F460" t="s">
        <v>5</v>
      </c>
      <c r="G460" t="s">
        <v>5</v>
      </c>
      <c r="H460" t="s">
        <v>6</v>
      </c>
      <c r="I460" t="s">
        <v>7</v>
      </c>
      <c r="J460" s="22">
        <v>-37.07</v>
      </c>
      <c r="K460" t="str">
        <f t="shared" si="29"/>
        <v>mars</v>
      </c>
      <c r="L460" t="str">
        <f t="shared" si="30"/>
        <v>Dépenses</v>
      </c>
    </row>
    <row r="461" spans="1:12" x14ac:dyDescent="0.2">
      <c r="A461" t="s">
        <v>108</v>
      </c>
      <c r="B461" t="s">
        <v>109</v>
      </c>
      <c r="D461" s="2">
        <v>43531</v>
      </c>
      <c r="E461" s="2">
        <f t="shared" si="28"/>
        <v>43531</v>
      </c>
      <c r="F461" t="s">
        <v>521</v>
      </c>
      <c r="G461" t="s">
        <v>16</v>
      </c>
      <c r="H461" t="s">
        <v>141</v>
      </c>
      <c r="I461" t="s">
        <v>7</v>
      </c>
      <c r="J461" s="22">
        <v>-22.95</v>
      </c>
      <c r="K461" t="str">
        <f t="shared" si="29"/>
        <v>mars</v>
      </c>
      <c r="L461" t="str">
        <f t="shared" si="30"/>
        <v>Dépenses</v>
      </c>
    </row>
    <row r="462" spans="1:12" x14ac:dyDescent="0.2">
      <c r="A462" t="s">
        <v>108</v>
      </c>
      <c r="B462" t="s">
        <v>109</v>
      </c>
      <c r="D462" s="2">
        <v>43531</v>
      </c>
      <c r="E462" s="2">
        <f t="shared" si="28"/>
        <v>43531</v>
      </c>
      <c r="F462" t="s">
        <v>522</v>
      </c>
      <c r="G462" t="s">
        <v>5</v>
      </c>
      <c r="H462" t="s">
        <v>23</v>
      </c>
      <c r="I462" t="s">
        <v>7</v>
      </c>
      <c r="J462" s="22">
        <v>-14.92</v>
      </c>
      <c r="K462" t="str">
        <f t="shared" si="29"/>
        <v>mars</v>
      </c>
      <c r="L462" t="str">
        <f t="shared" si="30"/>
        <v>Dépenses</v>
      </c>
    </row>
    <row r="463" spans="1:12" x14ac:dyDescent="0.2">
      <c r="A463" t="s">
        <v>108</v>
      </c>
      <c r="B463" t="s">
        <v>109</v>
      </c>
      <c r="D463" s="2">
        <v>43531</v>
      </c>
      <c r="E463" s="2">
        <f t="shared" si="28"/>
        <v>43531</v>
      </c>
      <c r="F463" t="s">
        <v>523</v>
      </c>
      <c r="G463" t="s">
        <v>16</v>
      </c>
      <c r="H463" t="s">
        <v>20</v>
      </c>
      <c r="I463" t="s">
        <v>7</v>
      </c>
      <c r="J463" s="22">
        <v>-12.1</v>
      </c>
      <c r="K463" t="str">
        <f t="shared" si="29"/>
        <v>mars</v>
      </c>
      <c r="L463" t="str">
        <f t="shared" si="30"/>
        <v>Dépenses</v>
      </c>
    </row>
    <row r="464" spans="1:12" x14ac:dyDescent="0.2">
      <c r="A464" t="s">
        <v>108</v>
      </c>
      <c r="B464" t="s">
        <v>109</v>
      </c>
      <c r="D464" s="2">
        <v>43531</v>
      </c>
      <c r="E464" s="2">
        <f t="shared" si="28"/>
        <v>43531</v>
      </c>
      <c r="F464" t="s">
        <v>524</v>
      </c>
      <c r="G464" t="s">
        <v>19</v>
      </c>
      <c r="H464" t="s">
        <v>17</v>
      </c>
      <c r="I464" t="s">
        <v>7</v>
      </c>
      <c r="J464" s="22">
        <v>-20</v>
      </c>
      <c r="K464" t="str">
        <f t="shared" si="29"/>
        <v>mars</v>
      </c>
      <c r="L464" t="str">
        <f t="shared" si="30"/>
        <v>Dépenses</v>
      </c>
    </row>
    <row r="465" spans="1:12" x14ac:dyDescent="0.2">
      <c r="A465" t="s">
        <v>108</v>
      </c>
      <c r="B465" t="s">
        <v>109</v>
      </c>
      <c r="D465" s="2">
        <v>43531</v>
      </c>
      <c r="E465" s="2">
        <f t="shared" si="28"/>
        <v>43531</v>
      </c>
      <c r="F465" t="s">
        <v>525</v>
      </c>
      <c r="G465" t="s">
        <v>52</v>
      </c>
      <c r="H465" t="s">
        <v>526</v>
      </c>
      <c r="I465" t="s">
        <v>7</v>
      </c>
      <c r="J465" s="22">
        <v>-19.95</v>
      </c>
      <c r="K465" t="str">
        <f t="shared" si="29"/>
        <v>mars</v>
      </c>
      <c r="L465" t="str">
        <f t="shared" si="30"/>
        <v>Dépenses</v>
      </c>
    </row>
    <row r="466" spans="1:12" ht="15" customHeight="1" x14ac:dyDescent="0.2">
      <c r="A466" t="s">
        <v>108</v>
      </c>
      <c r="B466" t="s">
        <v>109</v>
      </c>
      <c r="D466" s="2">
        <v>43531</v>
      </c>
      <c r="E466" s="2">
        <f t="shared" si="28"/>
        <v>43531</v>
      </c>
      <c r="F466" t="s">
        <v>530</v>
      </c>
      <c r="G466" t="s">
        <v>111</v>
      </c>
      <c r="I466" t="s">
        <v>7</v>
      </c>
      <c r="J466" s="22">
        <v>-13</v>
      </c>
      <c r="K466" t="str">
        <f t="shared" si="29"/>
        <v>mars</v>
      </c>
      <c r="L466" t="str">
        <f t="shared" si="30"/>
        <v>Dépenses</v>
      </c>
    </row>
    <row r="467" spans="1:12" ht="15" customHeight="1" x14ac:dyDescent="0.2">
      <c r="A467" t="s">
        <v>108</v>
      </c>
      <c r="B467" t="s">
        <v>109</v>
      </c>
      <c r="D467" s="2">
        <v>43531</v>
      </c>
      <c r="E467" s="2">
        <f t="shared" si="28"/>
        <v>43531</v>
      </c>
      <c r="F467" t="s">
        <v>531</v>
      </c>
      <c r="G467" t="s">
        <v>5</v>
      </c>
      <c r="H467" t="s">
        <v>23</v>
      </c>
      <c r="I467" t="s">
        <v>7</v>
      </c>
      <c r="J467" s="22">
        <v>-1.25</v>
      </c>
      <c r="K467" t="str">
        <f t="shared" si="29"/>
        <v>mars</v>
      </c>
      <c r="L467" t="str">
        <f t="shared" si="30"/>
        <v>Dépenses</v>
      </c>
    </row>
    <row r="468" spans="1:12" x14ac:dyDescent="0.2">
      <c r="A468" t="s">
        <v>77</v>
      </c>
      <c r="B468" t="s">
        <v>77</v>
      </c>
      <c r="D468" s="2">
        <v>43531</v>
      </c>
      <c r="E468" s="2">
        <f t="shared" si="28"/>
        <v>43531</v>
      </c>
      <c r="F468" t="s">
        <v>123</v>
      </c>
      <c r="G468" t="s">
        <v>25</v>
      </c>
      <c r="H468" t="s">
        <v>124</v>
      </c>
      <c r="I468" t="s">
        <v>7</v>
      </c>
      <c r="J468" s="22">
        <v>-20</v>
      </c>
      <c r="K468" t="str">
        <f t="shared" si="29"/>
        <v>mars</v>
      </c>
      <c r="L468" t="str">
        <f t="shared" si="30"/>
        <v>Dépenses</v>
      </c>
    </row>
    <row r="469" spans="1:12" ht="11.25" customHeight="1" x14ac:dyDescent="0.2">
      <c r="A469" t="s">
        <v>94</v>
      </c>
      <c r="B469" s="4" t="s">
        <v>70</v>
      </c>
      <c r="C469" s="7" t="s">
        <v>527</v>
      </c>
      <c r="D469" s="2">
        <v>43531</v>
      </c>
      <c r="E469" s="2">
        <f t="shared" si="28"/>
        <v>43531</v>
      </c>
      <c r="F469" t="s">
        <v>165</v>
      </c>
      <c r="G469" t="s">
        <v>158</v>
      </c>
      <c r="H469" t="s">
        <v>166</v>
      </c>
      <c r="I469" t="s">
        <v>7</v>
      </c>
      <c r="J469" s="23">
        <v>-31.79</v>
      </c>
      <c r="K469" t="str">
        <f t="shared" si="29"/>
        <v>mars</v>
      </c>
      <c r="L469" t="str">
        <f t="shared" si="30"/>
        <v>Dépenses</v>
      </c>
    </row>
    <row r="470" spans="1:12" ht="11.25" customHeight="1" x14ac:dyDescent="0.2">
      <c r="A470" t="s">
        <v>94</v>
      </c>
      <c r="B470" s="4" t="s">
        <v>70</v>
      </c>
      <c r="C470" s="7" t="s">
        <v>528</v>
      </c>
      <c r="D470" s="2">
        <v>43531</v>
      </c>
      <c r="E470" s="2">
        <f t="shared" si="28"/>
        <v>43531</v>
      </c>
      <c r="F470" t="s">
        <v>165</v>
      </c>
      <c r="G470" t="s">
        <v>158</v>
      </c>
      <c r="H470" t="s">
        <v>166</v>
      </c>
      <c r="I470" t="s">
        <v>7</v>
      </c>
      <c r="J470" s="23">
        <v>-33.89</v>
      </c>
      <c r="K470" t="str">
        <f t="shared" si="29"/>
        <v>mars</v>
      </c>
      <c r="L470" t="str">
        <f t="shared" si="30"/>
        <v>Dépenses</v>
      </c>
    </row>
    <row r="471" spans="1:12" ht="11.25" customHeight="1" x14ac:dyDescent="0.2">
      <c r="A471" t="s">
        <v>94</v>
      </c>
      <c r="B471" s="4" t="s">
        <v>70</v>
      </c>
      <c r="C471" s="7" t="s">
        <v>529</v>
      </c>
      <c r="D471" s="2">
        <v>43531</v>
      </c>
      <c r="E471" s="2">
        <f t="shared" si="28"/>
        <v>43531</v>
      </c>
      <c r="F471" t="s">
        <v>169</v>
      </c>
      <c r="G471" t="s">
        <v>158</v>
      </c>
      <c r="H471" t="s">
        <v>166</v>
      </c>
      <c r="I471" t="s">
        <v>7</v>
      </c>
      <c r="J471" s="23">
        <v>-34.33</v>
      </c>
      <c r="K471" t="str">
        <f t="shared" si="29"/>
        <v>mars</v>
      </c>
      <c r="L471" t="str">
        <f t="shared" si="30"/>
        <v>Dépenses</v>
      </c>
    </row>
    <row r="472" spans="1:12" x14ac:dyDescent="0.2">
      <c r="A472" t="s">
        <v>2</v>
      </c>
      <c r="B472" t="s">
        <v>8</v>
      </c>
      <c r="D472" s="2">
        <v>43532</v>
      </c>
      <c r="E472" s="2">
        <f t="shared" si="28"/>
        <v>43566</v>
      </c>
      <c r="F472" t="s">
        <v>532</v>
      </c>
      <c r="G472" t="s">
        <v>533</v>
      </c>
      <c r="H472" t="s">
        <v>534</v>
      </c>
      <c r="I472" t="s">
        <v>7</v>
      </c>
      <c r="J472" s="22">
        <v>-66</v>
      </c>
      <c r="K472" t="str">
        <f t="shared" si="29"/>
        <v>mars</v>
      </c>
      <c r="L472" t="str">
        <f t="shared" si="30"/>
        <v>Dépenses</v>
      </c>
    </row>
    <row r="473" spans="1:12" x14ac:dyDescent="0.2">
      <c r="A473" t="s">
        <v>2</v>
      </c>
      <c r="B473" t="s">
        <v>8</v>
      </c>
      <c r="D473" s="2">
        <v>43532</v>
      </c>
      <c r="E473" s="2">
        <f t="shared" si="28"/>
        <v>43566</v>
      </c>
      <c r="F473" t="s">
        <v>541</v>
      </c>
      <c r="G473" t="s">
        <v>158</v>
      </c>
      <c r="H473" t="s">
        <v>542</v>
      </c>
      <c r="I473" t="s">
        <v>7</v>
      </c>
      <c r="J473" s="22">
        <v>-660.86</v>
      </c>
      <c r="K473" t="str">
        <f t="shared" si="29"/>
        <v>mars</v>
      </c>
      <c r="L473" t="str">
        <f t="shared" si="30"/>
        <v>Dépenses</v>
      </c>
    </row>
    <row r="474" spans="1:12" ht="11.25" customHeight="1" x14ac:dyDescent="0.2">
      <c r="A474" t="s">
        <v>2</v>
      </c>
      <c r="B474" t="s">
        <v>8</v>
      </c>
      <c r="D474" s="2">
        <v>43532</v>
      </c>
      <c r="E474" s="2">
        <f t="shared" si="28"/>
        <v>43566</v>
      </c>
      <c r="F474" t="s">
        <v>478</v>
      </c>
      <c r="G474" t="s">
        <v>115</v>
      </c>
      <c r="H474" t="s">
        <v>215</v>
      </c>
      <c r="I474" t="s">
        <v>7</v>
      </c>
      <c r="J474" s="22">
        <v>-22.9</v>
      </c>
      <c r="K474" t="str">
        <f t="shared" si="29"/>
        <v>mars</v>
      </c>
      <c r="L474" t="str">
        <f t="shared" si="30"/>
        <v>Dépenses</v>
      </c>
    </row>
    <row r="475" spans="1:12" ht="11.25" customHeight="1" x14ac:dyDescent="0.2">
      <c r="A475" t="s">
        <v>2</v>
      </c>
      <c r="B475" t="s">
        <v>8</v>
      </c>
      <c r="D475" s="2">
        <v>43532</v>
      </c>
      <c r="E475" s="2">
        <f t="shared" si="28"/>
        <v>43566</v>
      </c>
      <c r="F475" t="s">
        <v>21</v>
      </c>
      <c r="G475" t="s">
        <v>21</v>
      </c>
      <c r="H475" t="s">
        <v>322</v>
      </c>
      <c r="I475" t="s">
        <v>7</v>
      </c>
      <c r="J475" s="22">
        <v>-54.3</v>
      </c>
      <c r="K475" t="str">
        <f t="shared" si="29"/>
        <v>mars</v>
      </c>
      <c r="L475" t="str">
        <f t="shared" si="30"/>
        <v>Dépenses</v>
      </c>
    </row>
    <row r="476" spans="1:12" ht="15" customHeight="1" x14ac:dyDescent="0.2">
      <c r="A476" t="s">
        <v>2</v>
      </c>
      <c r="B476" t="s">
        <v>8</v>
      </c>
      <c r="D476" s="2">
        <v>43532</v>
      </c>
      <c r="E476" s="2">
        <f t="shared" si="28"/>
        <v>43566</v>
      </c>
      <c r="F476" t="s">
        <v>32</v>
      </c>
      <c r="G476" t="s">
        <v>5</v>
      </c>
      <c r="H476" t="s">
        <v>22</v>
      </c>
      <c r="I476" t="s">
        <v>7</v>
      </c>
      <c r="J476" s="22">
        <v>-1.5</v>
      </c>
      <c r="K476" t="str">
        <f t="shared" si="29"/>
        <v>mars</v>
      </c>
      <c r="L476" t="str">
        <f t="shared" si="30"/>
        <v>Dépenses</v>
      </c>
    </row>
    <row r="477" spans="1:12" ht="15" customHeight="1" x14ac:dyDescent="0.2">
      <c r="A477" t="s">
        <v>2</v>
      </c>
      <c r="B477" t="s">
        <v>8</v>
      </c>
      <c r="D477" s="2">
        <v>43532</v>
      </c>
      <c r="E477" s="2">
        <f t="shared" si="28"/>
        <v>43566</v>
      </c>
      <c r="F477" t="s">
        <v>32</v>
      </c>
      <c r="G477" t="s">
        <v>5</v>
      </c>
      <c r="H477" t="s">
        <v>22</v>
      </c>
      <c r="I477" t="s">
        <v>7</v>
      </c>
      <c r="J477" s="22">
        <v>-4.5999999999999996</v>
      </c>
      <c r="K477" t="str">
        <f t="shared" si="29"/>
        <v>mars</v>
      </c>
      <c r="L477" t="str">
        <f t="shared" si="30"/>
        <v>Dépenses</v>
      </c>
    </row>
    <row r="478" spans="1:12" ht="15" customHeight="1" x14ac:dyDescent="0.2">
      <c r="A478" t="s">
        <v>2</v>
      </c>
      <c r="B478" t="s">
        <v>8</v>
      </c>
      <c r="D478" s="2">
        <v>43532</v>
      </c>
      <c r="E478" s="2">
        <f t="shared" si="28"/>
        <v>43566</v>
      </c>
      <c r="F478" t="s">
        <v>544</v>
      </c>
      <c r="G478" t="s">
        <v>49</v>
      </c>
      <c r="H478" t="s">
        <v>50</v>
      </c>
      <c r="I478" t="s">
        <v>7</v>
      </c>
      <c r="J478" s="22">
        <v>-38.090000000000003</v>
      </c>
      <c r="K478" t="str">
        <f t="shared" si="29"/>
        <v>mars</v>
      </c>
      <c r="L478" t="str">
        <f t="shared" si="30"/>
        <v>Dépenses</v>
      </c>
    </row>
    <row r="479" spans="1:12" ht="11.25" customHeight="1" x14ac:dyDescent="0.2">
      <c r="A479" t="s">
        <v>2</v>
      </c>
      <c r="B479" t="s">
        <v>8</v>
      </c>
      <c r="D479" s="2">
        <v>43532</v>
      </c>
      <c r="E479" s="2">
        <f t="shared" si="28"/>
        <v>43566</v>
      </c>
      <c r="F479" t="s">
        <v>32</v>
      </c>
      <c r="G479" t="s">
        <v>5</v>
      </c>
      <c r="H479" t="s">
        <v>22</v>
      </c>
      <c r="I479" t="s">
        <v>7</v>
      </c>
      <c r="J479" s="22">
        <v>-8.5</v>
      </c>
      <c r="K479" t="str">
        <f t="shared" si="29"/>
        <v>mars</v>
      </c>
      <c r="L479" t="str">
        <f t="shared" si="30"/>
        <v>Dépenses</v>
      </c>
    </row>
    <row r="480" spans="1:12" ht="11.25" customHeight="1" x14ac:dyDescent="0.2">
      <c r="A480" t="s">
        <v>2</v>
      </c>
      <c r="B480" t="s">
        <v>3</v>
      </c>
      <c r="D480" s="2">
        <v>43532</v>
      </c>
      <c r="E480" s="2">
        <f t="shared" si="28"/>
        <v>43566</v>
      </c>
      <c r="F480" t="s">
        <v>5</v>
      </c>
      <c r="G480" t="s">
        <v>5</v>
      </c>
      <c r="H480" t="s">
        <v>6</v>
      </c>
      <c r="I480" t="s">
        <v>7</v>
      </c>
      <c r="J480" s="22">
        <v>-63.7</v>
      </c>
      <c r="K480" t="str">
        <f t="shared" si="29"/>
        <v>mars</v>
      </c>
      <c r="L480" t="str">
        <f t="shared" si="30"/>
        <v>Dépenses</v>
      </c>
    </row>
    <row r="481" spans="1:12" x14ac:dyDescent="0.2">
      <c r="A481" t="s">
        <v>108</v>
      </c>
      <c r="B481" t="s">
        <v>109</v>
      </c>
      <c r="D481" s="2">
        <v>43532</v>
      </c>
      <c r="E481" s="2">
        <f t="shared" si="28"/>
        <v>43532</v>
      </c>
      <c r="F481" t="s">
        <v>535</v>
      </c>
      <c r="G481" t="s">
        <v>16</v>
      </c>
      <c r="H481" t="s">
        <v>141</v>
      </c>
      <c r="I481" t="s">
        <v>7</v>
      </c>
      <c r="J481" s="22">
        <v>-22.95</v>
      </c>
      <c r="K481" t="str">
        <f t="shared" si="29"/>
        <v>mars</v>
      </c>
      <c r="L481" t="str">
        <f t="shared" si="30"/>
        <v>Dépenses</v>
      </c>
    </row>
    <row r="482" spans="1:12" ht="15" customHeight="1" x14ac:dyDescent="0.2">
      <c r="A482" t="s">
        <v>108</v>
      </c>
      <c r="B482" t="s">
        <v>109</v>
      </c>
      <c r="D482" s="2">
        <v>43532</v>
      </c>
      <c r="E482" s="2">
        <f t="shared" si="28"/>
        <v>43532</v>
      </c>
      <c r="F482" t="s">
        <v>437</v>
      </c>
      <c r="G482" t="s">
        <v>5</v>
      </c>
      <c r="H482" t="s">
        <v>23</v>
      </c>
      <c r="I482" t="s">
        <v>7</v>
      </c>
      <c r="J482" s="22">
        <v>-2.95</v>
      </c>
      <c r="K482" t="str">
        <f t="shared" si="29"/>
        <v>mars</v>
      </c>
      <c r="L482" t="str">
        <f t="shared" si="30"/>
        <v>Dépenses</v>
      </c>
    </row>
    <row r="483" spans="1:12" ht="15" customHeight="1" x14ac:dyDescent="0.2">
      <c r="A483" t="s">
        <v>108</v>
      </c>
      <c r="B483" t="s">
        <v>109</v>
      </c>
      <c r="D483" s="2">
        <v>43532</v>
      </c>
      <c r="E483" s="2">
        <f t="shared" si="28"/>
        <v>43532</v>
      </c>
      <c r="F483" t="s">
        <v>536</v>
      </c>
      <c r="G483" t="s">
        <v>5</v>
      </c>
      <c r="H483" t="s">
        <v>23</v>
      </c>
      <c r="I483" t="s">
        <v>7</v>
      </c>
      <c r="J483" s="22">
        <v>-1.25</v>
      </c>
      <c r="K483" t="str">
        <f t="shared" si="29"/>
        <v>mars</v>
      </c>
      <c r="L483" t="str">
        <f t="shared" si="30"/>
        <v>Dépenses</v>
      </c>
    </row>
    <row r="484" spans="1:12" x14ac:dyDescent="0.2">
      <c r="A484" t="s">
        <v>77</v>
      </c>
      <c r="B484" t="s">
        <v>77</v>
      </c>
      <c r="D484" s="2">
        <v>43532</v>
      </c>
      <c r="E484" s="2">
        <f t="shared" si="28"/>
        <v>43532</v>
      </c>
      <c r="F484" t="s">
        <v>543</v>
      </c>
      <c r="G484" t="s">
        <v>533</v>
      </c>
      <c r="H484" t="s">
        <v>534</v>
      </c>
      <c r="I484" t="s">
        <v>7</v>
      </c>
      <c r="J484" s="22">
        <v>30</v>
      </c>
      <c r="K484" t="str">
        <f t="shared" si="29"/>
        <v>mars</v>
      </c>
      <c r="L484" t="str">
        <f t="shared" si="30"/>
        <v>Recettes</v>
      </c>
    </row>
    <row r="485" spans="1:12" ht="11.25" customHeight="1" x14ac:dyDescent="0.2">
      <c r="A485" t="s">
        <v>77</v>
      </c>
      <c r="B485" t="s">
        <v>77</v>
      </c>
      <c r="D485" s="2">
        <v>43532</v>
      </c>
      <c r="E485" s="2">
        <f t="shared" si="28"/>
        <v>43532</v>
      </c>
      <c r="F485" t="s">
        <v>543</v>
      </c>
      <c r="G485" t="s">
        <v>533</v>
      </c>
      <c r="H485" t="s">
        <v>534</v>
      </c>
      <c r="I485" t="s">
        <v>7</v>
      </c>
      <c r="J485" s="22">
        <v>40</v>
      </c>
      <c r="K485" t="str">
        <f t="shared" si="29"/>
        <v>mars</v>
      </c>
      <c r="L485" t="str">
        <f t="shared" si="30"/>
        <v>Recettes</v>
      </c>
    </row>
    <row r="486" spans="1:12" ht="11.25" customHeight="1" x14ac:dyDescent="0.2">
      <c r="A486" t="s">
        <v>94</v>
      </c>
      <c r="B486" s="4" t="s">
        <v>70</v>
      </c>
      <c r="C486" s="7" t="s">
        <v>537</v>
      </c>
      <c r="D486" s="2">
        <v>43532</v>
      </c>
      <c r="E486" s="2">
        <f t="shared" si="28"/>
        <v>43532</v>
      </c>
      <c r="F486" t="s">
        <v>537</v>
      </c>
      <c r="G486" t="s">
        <v>111</v>
      </c>
      <c r="H486" t="s">
        <v>145</v>
      </c>
      <c r="I486" t="s">
        <v>7</v>
      </c>
      <c r="J486" s="23">
        <v>42.03</v>
      </c>
      <c r="K486" t="str">
        <f t="shared" si="29"/>
        <v>mars</v>
      </c>
      <c r="L486" t="str">
        <f t="shared" si="30"/>
        <v>Recettes</v>
      </c>
    </row>
    <row r="487" spans="1:12" ht="15" customHeight="1" x14ac:dyDescent="0.2">
      <c r="A487" t="s">
        <v>94</v>
      </c>
      <c r="B487" t="s">
        <v>84</v>
      </c>
      <c r="C487" s="1" t="s">
        <v>538</v>
      </c>
      <c r="D487" s="2">
        <v>43532</v>
      </c>
      <c r="E487" s="2">
        <f t="shared" si="28"/>
        <v>43532</v>
      </c>
      <c r="F487" t="s">
        <v>539</v>
      </c>
      <c r="G487" t="s">
        <v>254</v>
      </c>
      <c r="H487" t="s">
        <v>540</v>
      </c>
      <c r="I487" t="s">
        <v>7</v>
      </c>
      <c r="J487" s="22">
        <v>-214.5</v>
      </c>
      <c r="K487" t="str">
        <f t="shared" si="29"/>
        <v>mars</v>
      </c>
      <c r="L487" t="str">
        <f t="shared" si="30"/>
        <v>Dépenses</v>
      </c>
    </row>
    <row r="488" spans="1:12" ht="15" customHeight="1" x14ac:dyDescent="0.2">
      <c r="A488" t="s">
        <v>2</v>
      </c>
      <c r="B488" t="s">
        <v>8</v>
      </c>
      <c r="D488" s="2">
        <v>43533</v>
      </c>
      <c r="E488" s="2">
        <f t="shared" si="28"/>
        <v>43566</v>
      </c>
      <c r="F488" t="s">
        <v>5</v>
      </c>
      <c r="G488" t="s">
        <v>5</v>
      </c>
      <c r="H488" t="s">
        <v>50</v>
      </c>
      <c r="I488" t="s">
        <v>7</v>
      </c>
      <c r="J488" s="22">
        <v>-22.29</v>
      </c>
      <c r="K488" t="str">
        <f t="shared" si="29"/>
        <v>mars</v>
      </c>
      <c r="L488" t="str">
        <f t="shared" si="30"/>
        <v>Dépenses</v>
      </c>
    </row>
    <row r="489" spans="1:12" ht="15" customHeight="1" x14ac:dyDescent="0.2">
      <c r="A489" t="s">
        <v>2</v>
      </c>
      <c r="B489" t="s">
        <v>8</v>
      </c>
      <c r="D489" s="2">
        <v>43533</v>
      </c>
      <c r="E489" s="2">
        <f t="shared" si="28"/>
        <v>43566</v>
      </c>
      <c r="F489" t="s">
        <v>548</v>
      </c>
      <c r="G489" t="s">
        <v>5</v>
      </c>
      <c r="H489" t="s">
        <v>549</v>
      </c>
      <c r="I489" t="s">
        <v>7</v>
      </c>
      <c r="J489" s="22">
        <v>-25.3</v>
      </c>
      <c r="K489" t="str">
        <f t="shared" si="29"/>
        <v>mars</v>
      </c>
      <c r="L489" t="str">
        <f t="shared" si="30"/>
        <v>Dépenses</v>
      </c>
    </row>
    <row r="490" spans="1:12" ht="15" customHeight="1" x14ac:dyDescent="0.2">
      <c r="A490" t="s">
        <v>108</v>
      </c>
      <c r="B490" s="4" t="s">
        <v>70</v>
      </c>
      <c r="C490" s="7" t="s">
        <v>545</v>
      </c>
      <c r="D490" s="2">
        <v>43533</v>
      </c>
      <c r="E490" s="2">
        <f t="shared" si="28"/>
        <v>43533</v>
      </c>
      <c r="F490" t="s">
        <v>171</v>
      </c>
      <c r="G490" t="s">
        <v>172</v>
      </c>
      <c r="H490" t="s">
        <v>173</v>
      </c>
      <c r="I490" t="s">
        <v>7</v>
      </c>
      <c r="J490" s="23">
        <v>-19.989999999999998</v>
      </c>
      <c r="K490" t="str">
        <f t="shared" si="29"/>
        <v>mars</v>
      </c>
      <c r="L490" t="str">
        <f t="shared" si="30"/>
        <v>Dépenses</v>
      </c>
    </row>
    <row r="491" spans="1:12" ht="11.25" customHeight="1" x14ac:dyDescent="0.2">
      <c r="A491" t="s">
        <v>69</v>
      </c>
      <c r="B491" s="4" t="s">
        <v>70</v>
      </c>
      <c r="C491" s="7" t="s">
        <v>546</v>
      </c>
      <c r="D491" s="2">
        <v>43533</v>
      </c>
      <c r="E491" s="2">
        <f t="shared" si="28"/>
        <v>43533</v>
      </c>
      <c r="F491" t="s">
        <v>147</v>
      </c>
      <c r="G491" t="s">
        <v>115</v>
      </c>
      <c r="H491" t="s">
        <v>148</v>
      </c>
      <c r="I491" t="s">
        <v>7</v>
      </c>
      <c r="J491" s="23">
        <v>-21.96</v>
      </c>
      <c r="K491" t="str">
        <f t="shared" si="29"/>
        <v>mars</v>
      </c>
      <c r="L491" t="str">
        <f t="shared" si="30"/>
        <v>Dépenses</v>
      </c>
    </row>
    <row r="492" spans="1:12" ht="11.25" customHeight="1" x14ac:dyDescent="0.2">
      <c r="A492" t="s">
        <v>94</v>
      </c>
      <c r="B492" s="4" t="s">
        <v>70</v>
      </c>
      <c r="C492" s="7" t="s">
        <v>547</v>
      </c>
      <c r="D492" s="2">
        <v>43533</v>
      </c>
      <c r="E492" s="2">
        <f t="shared" si="28"/>
        <v>43533</v>
      </c>
      <c r="F492" t="s">
        <v>187</v>
      </c>
      <c r="G492" t="s">
        <v>158</v>
      </c>
      <c r="H492" t="s">
        <v>188</v>
      </c>
      <c r="I492" t="s">
        <v>7</v>
      </c>
      <c r="J492" s="23">
        <v>-8.99</v>
      </c>
      <c r="K492" t="str">
        <f t="shared" si="29"/>
        <v>mars</v>
      </c>
      <c r="L492" t="str">
        <f t="shared" si="30"/>
        <v>Dépenses</v>
      </c>
    </row>
    <row r="493" spans="1:12" ht="11.25" customHeight="1" x14ac:dyDescent="0.2">
      <c r="A493" t="s">
        <v>94</v>
      </c>
      <c r="B493" s="4" t="s">
        <v>70</v>
      </c>
      <c r="C493" s="7" t="s">
        <v>547</v>
      </c>
      <c r="D493" s="2">
        <v>43533</v>
      </c>
      <c r="E493" s="2">
        <f t="shared" si="28"/>
        <v>43533</v>
      </c>
      <c r="F493" t="s">
        <v>189</v>
      </c>
      <c r="G493" t="s">
        <v>158</v>
      </c>
      <c r="H493" t="s">
        <v>188</v>
      </c>
      <c r="I493" t="s">
        <v>7</v>
      </c>
      <c r="J493" s="23">
        <v>-6.99</v>
      </c>
      <c r="K493" t="str">
        <f t="shared" si="29"/>
        <v>mars</v>
      </c>
      <c r="L493" t="str">
        <f t="shared" si="30"/>
        <v>Dépenses</v>
      </c>
    </row>
    <row r="494" spans="1:12" ht="11.25" customHeight="1" x14ac:dyDescent="0.2">
      <c r="A494" t="s">
        <v>2</v>
      </c>
      <c r="B494" t="s">
        <v>8</v>
      </c>
      <c r="D494" s="2">
        <v>43534</v>
      </c>
      <c r="E494" s="2">
        <f t="shared" si="28"/>
        <v>43566</v>
      </c>
      <c r="F494" t="s">
        <v>478</v>
      </c>
      <c r="G494" t="s">
        <v>5</v>
      </c>
      <c r="H494" t="s">
        <v>550</v>
      </c>
      <c r="I494" t="s">
        <v>7</v>
      </c>
      <c r="J494" s="22">
        <v>-3.25</v>
      </c>
      <c r="K494" t="str">
        <f t="shared" si="29"/>
        <v>mars</v>
      </c>
      <c r="L494" t="str">
        <f t="shared" si="30"/>
        <v>Dépenses</v>
      </c>
    </row>
    <row r="495" spans="1:12" x14ac:dyDescent="0.2">
      <c r="A495" t="s">
        <v>2</v>
      </c>
      <c r="B495" t="s">
        <v>8</v>
      </c>
      <c r="D495" s="2">
        <v>43534</v>
      </c>
      <c r="E495" s="2">
        <f t="shared" si="28"/>
        <v>43566</v>
      </c>
      <c r="F495" t="s">
        <v>32</v>
      </c>
      <c r="G495" t="s">
        <v>5</v>
      </c>
      <c r="H495" t="s">
        <v>33</v>
      </c>
      <c r="I495" t="s">
        <v>7</v>
      </c>
      <c r="J495" s="22">
        <v>-2.2000000000000002</v>
      </c>
      <c r="K495" t="str">
        <f t="shared" si="29"/>
        <v>mars</v>
      </c>
      <c r="L495" t="str">
        <f t="shared" si="30"/>
        <v>Dépenses</v>
      </c>
    </row>
    <row r="496" spans="1:12" ht="11.25" customHeight="1" x14ac:dyDescent="0.2">
      <c r="A496" t="s">
        <v>108</v>
      </c>
      <c r="B496" s="4" t="s">
        <v>70</v>
      </c>
      <c r="C496" s="7" t="s">
        <v>551</v>
      </c>
      <c r="D496" s="2">
        <v>43534</v>
      </c>
      <c r="E496" s="2">
        <f t="shared" si="28"/>
        <v>43534</v>
      </c>
      <c r="F496" t="s">
        <v>198</v>
      </c>
      <c r="G496" t="s">
        <v>199</v>
      </c>
      <c r="H496" t="s">
        <v>200</v>
      </c>
      <c r="I496" t="s">
        <v>7</v>
      </c>
      <c r="J496" s="23">
        <v>948.55</v>
      </c>
      <c r="K496" t="str">
        <f t="shared" si="29"/>
        <v>mars</v>
      </c>
      <c r="L496" t="str">
        <f t="shared" si="30"/>
        <v>Recettes</v>
      </c>
    </row>
    <row r="497" spans="1:12" x14ac:dyDescent="0.2">
      <c r="A497" t="s">
        <v>108</v>
      </c>
      <c r="B497" s="4" t="s">
        <v>70</v>
      </c>
      <c r="C497" s="7" t="s">
        <v>552</v>
      </c>
      <c r="D497" s="2">
        <v>43534</v>
      </c>
      <c r="E497" s="2">
        <f t="shared" si="28"/>
        <v>43534</v>
      </c>
      <c r="F497" t="s">
        <v>206</v>
      </c>
      <c r="G497" t="s">
        <v>111</v>
      </c>
      <c r="H497" t="s">
        <v>207</v>
      </c>
      <c r="I497" t="s">
        <v>7</v>
      </c>
      <c r="J497" s="22">
        <v>-33.44</v>
      </c>
      <c r="K497" t="str">
        <f t="shared" si="29"/>
        <v>mars</v>
      </c>
      <c r="L497" t="str">
        <f t="shared" si="30"/>
        <v>Dépenses</v>
      </c>
    </row>
    <row r="498" spans="1:12" ht="11.25" customHeight="1" x14ac:dyDescent="0.2">
      <c r="A498" t="s">
        <v>94</v>
      </c>
      <c r="B498" s="4" t="s">
        <v>70</v>
      </c>
      <c r="C498" s="7" t="s">
        <v>553</v>
      </c>
      <c r="D498" s="2">
        <v>43534</v>
      </c>
      <c r="E498" s="2">
        <f t="shared" ref="E498:E561" si="31">IF(A498="","",IF(A498&lt;&gt;"Carte Lux",D498,VLOOKUP(D498,Periode_datedebit_2019,3)))</f>
        <v>43534</v>
      </c>
      <c r="F498" t="s">
        <v>202</v>
      </c>
      <c r="G498" t="s">
        <v>158</v>
      </c>
      <c r="H498" t="s">
        <v>87</v>
      </c>
      <c r="I498" t="s">
        <v>7</v>
      </c>
      <c r="J498" s="23">
        <v>-15</v>
      </c>
      <c r="K498" t="str">
        <f t="shared" si="29"/>
        <v>mars</v>
      </c>
      <c r="L498" t="str">
        <f t="shared" si="30"/>
        <v>Dépenses</v>
      </c>
    </row>
    <row r="499" spans="1:12" ht="11.25" customHeight="1" x14ac:dyDescent="0.2">
      <c r="A499" t="s">
        <v>94</v>
      </c>
      <c r="B499" s="4" t="s">
        <v>70</v>
      </c>
      <c r="C499" s="7" t="s">
        <v>554</v>
      </c>
      <c r="D499" s="2">
        <v>43534</v>
      </c>
      <c r="E499" s="2">
        <f t="shared" si="31"/>
        <v>43534</v>
      </c>
      <c r="F499" t="s">
        <v>204</v>
      </c>
      <c r="G499" t="s">
        <v>158</v>
      </c>
      <c r="H499" t="s">
        <v>87</v>
      </c>
      <c r="I499" t="s">
        <v>7</v>
      </c>
      <c r="J499" s="23">
        <v>-15</v>
      </c>
      <c r="K499" t="str">
        <f t="shared" si="29"/>
        <v>mars</v>
      </c>
      <c r="L499" t="str">
        <f t="shared" si="30"/>
        <v>Dépenses</v>
      </c>
    </row>
    <row r="500" spans="1:12" ht="15" customHeight="1" x14ac:dyDescent="0.2">
      <c r="A500" t="s">
        <v>2</v>
      </c>
      <c r="B500" t="s">
        <v>8</v>
      </c>
      <c r="D500" s="2">
        <v>43535</v>
      </c>
      <c r="E500" s="2">
        <f t="shared" si="31"/>
        <v>43566</v>
      </c>
      <c r="F500" t="s">
        <v>555</v>
      </c>
      <c r="G500" t="s">
        <v>79</v>
      </c>
      <c r="H500" t="s">
        <v>556</v>
      </c>
      <c r="I500" t="s">
        <v>7</v>
      </c>
      <c r="J500" s="22">
        <v>-491</v>
      </c>
      <c r="K500" t="str">
        <f t="shared" si="29"/>
        <v>mars</v>
      </c>
      <c r="L500" t="str">
        <f t="shared" si="30"/>
        <v>Dépenses</v>
      </c>
    </row>
    <row r="501" spans="1:12" ht="15" customHeight="1" x14ac:dyDescent="0.2">
      <c r="A501" t="s">
        <v>108</v>
      </c>
      <c r="B501" t="s">
        <v>109</v>
      </c>
      <c r="D501" s="2">
        <v>43535</v>
      </c>
      <c r="E501" s="2">
        <f t="shared" si="31"/>
        <v>43535</v>
      </c>
      <c r="F501" t="s">
        <v>557</v>
      </c>
      <c r="G501" t="s">
        <v>5</v>
      </c>
      <c r="H501" t="s">
        <v>23</v>
      </c>
      <c r="I501" t="s">
        <v>7</v>
      </c>
      <c r="J501" s="22">
        <v>-10.02</v>
      </c>
      <c r="K501" t="str">
        <f t="shared" si="29"/>
        <v>mars</v>
      </c>
      <c r="L501" t="str">
        <f t="shared" si="30"/>
        <v>Dépenses</v>
      </c>
    </row>
    <row r="502" spans="1:12" ht="15" customHeight="1" x14ac:dyDescent="0.2">
      <c r="A502" t="s">
        <v>108</v>
      </c>
      <c r="B502" t="s">
        <v>109</v>
      </c>
      <c r="D502" s="2">
        <v>43535</v>
      </c>
      <c r="E502" s="2">
        <f t="shared" si="31"/>
        <v>43535</v>
      </c>
      <c r="F502" t="s">
        <v>558</v>
      </c>
      <c r="G502" t="s">
        <v>16</v>
      </c>
      <c r="H502" t="s">
        <v>326</v>
      </c>
      <c r="I502" t="s">
        <v>7</v>
      </c>
      <c r="J502" s="22">
        <v>-66</v>
      </c>
      <c r="K502" t="str">
        <f t="shared" si="29"/>
        <v>mars</v>
      </c>
      <c r="L502" t="str">
        <f t="shared" si="30"/>
        <v>Dépenses</v>
      </c>
    </row>
    <row r="503" spans="1:12" ht="11.25" customHeight="1" x14ac:dyDescent="0.2">
      <c r="A503" t="s">
        <v>2</v>
      </c>
      <c r="B503" t="s">
        <v>8</v>
      </c>
      <c r="D503" s="2">
        <v>43536</v>
      </c>
      <c r="E503" s="2">
        <f t="shared" si="31"/>
        <v>43566</v>
      </c>
      <c r="F503" t="s">
        <v>559</v>
      </c>
      <c r="G503" t="s">
        <v>63</v>
      </c>
      <c r="H503" t="s">
        <v>560</v>
      </c>
      <c r="I503" t="s">
        <v>7</v>
      </c>
      <c r="J503" s="22">
        <v>-41.15</v>
      </c>
      <c r="K503" t="str">
        <f t="shared" si="29"/>
        <v>mars</v>
      </c>
      <c r="L503" t="str">
        <f t="shared" si="30"/>
        <v>Dépenses</v>
      </c>
    </row>
    <row r="504" spans="1:12" ht="11.25" customHeight="1" x14ac:dyDescent="0.2">
      <c r="A504" t="s">
        <v>2</v>
      </c>
      <c r="B504" t="s">
        <v>8</v>
      </c>
      <c r="D504" s="2">
        <v>43536</v>
      </c>
      <c r="E504" s="2">
        <f t="shared" si="31"/>
        <v>43566</v>
      </c>
      <c r="F504" t="s">
        <v>564</v>
      </c>
      <c r="G504" t="s">
        <v>10</v>
      </c>
      <c r="H504" t="s">
        <v>315</v>
      </c>
      <c r="I504" t="s">
        <v>7</v>
      </c>
      <c r="J504" s="22">
        <v>-6.1</v>
      </c>
      <c r="K504" t="str">
        <f t="shared" si="29"/>
        <v>mars</v>
      </c>
      <c r="L504" t="str">
        <f t="shared" si="30"/>
        <v>Dépenses</v>
      </c>
    </row>
    <row r="505" spans="1:12" ht="11.25" customHeight="1" x14ac:dyDescent="0.2">
      <c r="A505" t="s">
        <v>2</v>
      </c>
      <c r="B505" t="s">
        <v>8</v>
      </c>
      <c r="D505" s="2">
        <v>43536</v>
      </c>
      <c r="E505" s="2">
        <f t="shared" si="31"/>
        <v>43566</v>
      </c>
      <c r="F505" t="s">
        <v>478</v>
      </c>
      <c r="G505" t="s">
        <v>5</v>
      </c>
      <c r="H505" t="s">
        <v>215</v>
      </c>
      <c r="I505" t="s">
        <v>487</v>
      </c>
      <c r="J505" s="22">
        <v>-2.85</v>
      </c>
      <c r="K505" t="str">
        <f t="shared" si="29"/>
        <v>mars</v>
      </c>
      <c r="L505" t="str">
        <f t="shared" si="30"/>
        <v>Dépenses</v>
      </c>
    </row>
    <row r="506" spans="1:12" x14ac:dyDescent="0.2">
      <c r="A506" t="s">
        <v>2</v>
      </c>
      <c r="B506" t="s">
        <v>8</v>
      </c>
      <c r="D506" s="2">
        <v>43536</v>
      </c>
      <c r="E506" s="2">
        <f t="shared" si="31"/>
        <v>43566</v>
      </c>
      <c r="F506" t="s">
        <v>565</v>
      </c>
      <c r="G506" t="s">
        <v>5</v>
      </c>
      <c r="H506" t="s">
        <v>566</v>
      </c>
      <c r="I506" t="s">
        <v>7</v>
      </c>
      <c r="J506" s="22">
        <v>-5.85</v>
      </c>
      <c r="K506" t="str">
        <f t="shared" si="29"/>
        <v>mars</v>
      </c>
      <c r="L506" t="str">
        <f t="shared" si="30"/>
        <v>Dépenses</v>
      </c>
    </row>
    <row r="507" spans="1:12" x14ac:dyDescent="0.2">
      <c r="A507" t="s">
        <v>2</v>
      </c>
      <c r="B507" t="s">
        <v>8</v>
      </c>
      <c r="D507" s="2">
        <v>43536</v>
      </c>
      <c r="E507" s="2">
        <f t="shared" si="31"/>
        <v>43566</v>
      </c>
      <c r="F507" t="s">
        <v>567</v>
      </c>
      <c r="G507" t="s">
        <v>5</v>
      </c>
      <c r="H507" t="s">
        <v>566</v>
      </c>
      <c r="I507" t="s">
        <v>7</v>
      </c>
      <c r="J507" s="22">
        <v>-1.8</v>
      </c>
      <c r="K507" t="str">
        <f t="shared" si="29"/>
        <v>mars</v>
      </c>
      <c r="L507" t="str">
        <f t="shared" si="30"/>
        <v>Dépenses</v>
      </c>
    </row>
    <row r="508" spans="1:12" ht="15" customHeight="1" x14ac:dyDescent="0.2">
      <c r="A508" t="s">
        <v>2</v>
      </c>
      <c r="B508" t="s">
        <v>8</v>
      </c>
      <c r="D508" s="2">
        <v>43536</v>
      </c>
      <c r="E508" s="2">
        <f t="shared" si="31"/>
        <v>43566</v>
      </c>
      <c r="F508" t="s">
        <v>567</v>
      </c>
      <c r="G508" t="s">
        <v>5</v>
      </c>
      <c r="H508" t="s">
        <v>566</v>
      </c>
      <c r="I508" t="s">
        <v>7</v>
      </c>
      <c r="J508" s="22">
        <v>-1.8</v>
      </c>
      <c r="K508" t="str">
        <f t="shared" si="29"/>
        <v>mars</v>
      </c>
      <c r="L508" t="str">
        <f t="shared" si="30"/>
        <v>Dépenses</v>
      </c>
    </row>
    <row r="509" spans="1:12" ht="15" customHeight="1" x14ac:dyDescent="0.2">
      <c r="A509" t="s">
        <v>108</v>
      </c>
      <c r="B509" t="s">
        <v>109</v>
      </c>
      <c r="D509" s="2">
        <v>43536</v>
      </c>
      <c r="E509" s="2">
        <f t="shared" si="31"/>
        <v>43536</v>
      </c>
      <c r="F509" t="s">
        <v>561</v>
      </c>
      <c r="G509" t="s">
        <v>5</v>
      </c>
      <c r="H509" t="s">
        <v>550</v>
      </c>
      <c r="I509" t="s">
        <v>7</v>
      </c>
      <c r="J509" s="22">
        <v>-8.85</v>
      </c>
      <c r="K509" t="str">
        <f t="shared" si="29"/>
        <v>mars</v>
      </c>
      <c r="L509" t="str">
        <f t="shared" si="30"/>
        <v>Dépenses</v>
      </c>
    </row>
    <row r="510" spans="1:12" ht="15" customHeight="1" x14ac:dyDescent="0.2">
      <c r="A510" t="s">
        <v>108</v>
      </c>
      <c r="B510" t="s">
        <v>109</v>
      </c>
      <c r="D510" s="2">
        <v>43536</v>
      </c>
      <c r="E510" s="2">
        <f t="shared" si="31"/>
        <v>43536</v>
      </c>
      <c r="F510" t="s">
        <v>562</v>
      </c>
      <c r="G510" t="s">
        <v>111</v>
      </c>
      <c r="I510" t="s">
        <v>7</v>
      </c>
      <c r="J510" s="22">
        <v>-6.4</v>
      </c>
      <c r="K510" t="str">
        <f t="shared" si="29"/>
        <v>mars</v>
      </c>
      <c r="L510" t="str">
        <f t="shared" si="30"/>
        <v>Dépenses</v>
      </c>
    </row>
    <row r="511" spans="1:12" x14ac:dyDescent="0.2">
      <c r="A511" t="s">
        <v>94</v>
      </c>
      <c r="B511" t="s">
        <v>122</v>
      </c>
      <c r="C511" s="1" t="s">
        <v>568</v>
      </c>
      <c r="D511" s="2">
        <v>43536</v>
      </c>
      <c r="E511" s="2">
        <f t="shared" si="31"/>
        <v>43536</v>
      </c>
      <c r="F511" t="s">
        <v>569</v>
      </c>
      <c r="G511" t="s">
        <v>39</v>
      </c>
      <c r="H511" t="s">
        <v>570</v>
      </c>
      <c r="I511" t="s">
        <v>7</v>
      </c>
      <c r="J511" s="22">
        <f>-142.96-66</f>
        <v>-208.96</v>
      </c>
      <c r="K511" t="str">
        <f t="shared" si="29"/>
        <v>mars</v>
      </c>
      <c r="L511" t="str">
        <f t="shared" si="30"/>
        <v>Dépenses</v>
      </c>
    </row>
    <row r="512" spans="1:12" ht="11.25" customHeight="1" x14ac:dyDescent="0.2">
      <c r="A512" t="s">
        <v>94</v>
      </c>
      <c r="B512" s="4" t="s">
        <v>70</v>
      </c>
      <c r="C512" s="7" t="s">
        <v>563</v>
      </c>
      <c r="D512" s="2">
        <v>43536</v>
      </c>
      <c r="E512" s="2">
        <f t="shared" si="31"/>
        <v>43536</v>
      </c>
      <c r="F512" t="s">
        <v>175</v>
      </c>
      <c r="G512" t="s">
        <v>172</v>
      </c>
      <c r="H512" t="s">
        <v>176</v>
      </c>
      <c r="I512" t="s">
        <v>7</v>
      </c>
      <c r="J512" s="23">
        <f>-19.99-4</f>
        <v>-23.99</v>
      </c>
      <c r="K512" t="str">
        <f t="shared" si="29"/>
        <v>mars</v>
      </c>
      <c r="L512" t="str">
        <f t="shared" si="30"/>
        <v>Dépenses</v>
      </c>
    </row>
    <row r="513" spans="1:12" x14ac:dyDescent="0.2">
      <c r="A513" t="s">
        <v>2</v>
      </c>
      <c r="B513" t="s">
        <v>8</v>
      </c>
      <c r="D513" s="2">
        <v>43537</v>
      </c>
      <c r="E513" s="2">
        <f t="shared" si="31"/>
        <v>43566</v>
      </c>
      <c r="F513" t="s">
        <v>571</v>
      </c>
      <c r="G513" t="s">
        <v>25</v>
      </c>
      <c r="H513" t="s">
        <v>572</v>
      </c>
      <c r="I513" t="s">
        <v>7</v>
      </c>
      <c r="J513" s="22">
        <v>-87.5</v>
      </c>
      <c r="K513" t="str">
        <f t="shared" si="29"/>
        <v>mars</v>
      </c>
      <c r="L513" t="str">
        <f t="shared" si="30"/>
        <v>Dépenses</v>
      </c>
    </row>
    <row r="514" spans="1:12" x14ac:dyDescent="0.2">
      <c r="A514" t="s">
        <v>108</v>
      </c>
      <c r="B514" t="s">
        <v>287</v>
      </c>
      <c r="D514" s="2">
        <v>43537</v>
      </c>
      <c r="E514" s="2">
        <f t="shared" si="31"/>
        <v>43537</v>
      </c>
      <c r="F514" t="s">
        <v>573</v>
      </c>
      <c r="G514" t="s">
        <v>111</v>
      </c>
      <c r="I514" t="s">
        <v>7</v>
      </c>
      <c r="J514" s="22">
        <v>-53</v>
      </c>
      <c r="K514" t="str">
        <f t="shared" ref="K514:K577" si="32">IF(D514="","",TEXT(D514,"Mmmm"))</f>
        <v>mars</v>
      </c>
      <c r="L514" t="str">
        <f t="shared" ref="L514:L577" si="33">IF(J514="","",IF(J514&lt;0,"Dépenses","Recettes"))</f>
        <v>Dépenses</v>
      </c>
    </row>
    <row r="515" spans="1:12" ht="15" customHeight="1" x14ac:dyDescent="0.2">
      <c r="A515" t="s">
        <v>2</v>
      </c>
      <c r="B515" t="s">
        <v>8</v>
      </c>
      <c r="D515" s="2">
        <v>43538</v>
      </c>
      <c r="E515" s="2">
        <f t="shared" si="31"/>
        <v>43566</v>
      </c>
      <c r="F515" t="s">
        <v>574</v>
      </c>
      <c r="G515" t="s">
        <v>63</v>
      </c>
      <c r="H515" t="s">
        <v>575</v>
      </c>
      <c r="I515" t="s">
        <v>7</v>
      </c>
      <c r="J515" s="22">
        <v>-33.340000000000003</v>
      </c>
      <c r="K515" t="str">
        <f t="shared" si="32"/>
        <v>mars</v>
      </c>
      <c r="L515" t="str">
        <f t="shared" si="33"/>
        <v>Dépenses</v>
      </c>
    </row>
    <row r="516" spans="1:12" x14ac:dyDescent="0.2">
      <c r="A516" t="s">
        <v>2</v>
      </c>
      <c r="B516" t="s">
        <v>8</v>
      </c>
      <c r="D516" s="2">
        <v>43538</v>
      </c>
      <c r="E516" s="2">
        <f t="shared" si="31"/>
        <v>43566</v>
      </c>
      <c r="F516" t="s">
        <v>579</v>
      </c>
      <c r="G516" t="s">
        <v>25</v>
      </c>
      <c r="H516" t="s">
        <v>139</v>
      </c>
      <c r="I516" t="s">
        <v>7</v>
      </c>
      <c r="J516" s="22">
        <v>-32.6</v>
      </c>
      <c r="K516" t="str">
        <f t="shared" si="32"/>
        <v>mars</v>
      </c>
      <c r="L516" t="str">
        <f t="shared" si="33"/>
        <v>Dépenses</v>
      </c>
    </row>
    <row r="517" spans="1:12" x14ac:dyDescent="0.2">
      <c r="A517" t="s">
        <v>2</v>
      </c>
      <c r="B517" t="s">
        <v>8</v>
      </c>
      <c r="D517" s="2">
        <v>43538</v>
      </c>
      <c r="E517" s="2">
        <f t="shared" si="31"/>
        <v>43566</v>
      </c>
      <c r="F517" t="s">
        <v>580</v>
      </c>
      <c r="G517" t="s">
        <v>270</v>
      </c>
      <c r="H517" t="s">
        <v>348</v>
      </c>
      <c r="I517" t="s">
        <v>7</v>
      </c>
      <c r="J517" s="22">
        <v>-13.65</v>
      </c>
      <c r="K517" t="str">
        <f t="shared" si="32"/>
        <v>mars</v>
      </c>
      <c r="L517" t="str">
        <f t="shared" si="33"/>
        <v>Dépenses</v>
      </c>
    </row>
    <row r="518" spans="1:12" x14ac:dyDescent="0.2">
      <c r="A518" t="s">
        <v>2</v>
      </c>
      <c r="B518" t="s">
        <v>3</v>
      </c>
      <c r="D518" s="2">
        <v>43538</v>
      </c>
      <c r="E518" s="2">
        <f t="shared" si="31"/>
        <v>43566</v>
      </c>
      <c r="F518" t="s">
        <v>5</v>
      </c>
      <c r="G518" t="s">
        <v>5</v>
      </c>
      <c r="H518" t="s">
        <v>6</v>
      </c>
      <c r="I518" t="s">
        <v>7</v>
      </c>
      <c r="J518" s="22">
        <v>-100.28</v>
      </c>
      <c r="K518" t="str">
        <f t="shared" si="32"/>
        <v>mars</v>
      </c>
      <c r="L518" t="str">
        <f t="shared" si="33"/>
        <v>Dépenses</v>
      </c>
    </row>
    <row r="519" spans="1:12" ht="11.25" customHeight="1" x14ac:dyDescent="0.2">
      <c r="A519" t="s">
        <v>108</v>
      </c>
      <c r="B519" t="s">
        <v>109</v>
      </c>
      <c r="D519" s="2">
        <v>43538</v>
      </c>
      <c r="E519" s="2">
        <f t="shared" si="31"/>
        <v>43538</v>
      </c>
      <c r="F519" t="s">
        <v>576</v>
      </c>
      <c r="G519" t="s">
        <v>16</v>
      </c>
      <c r="H519" t="s">
        <v>326</v>
      </c>
      <c r="I519" t="s">
        <v>7</v>
      </c>
      <c r="J519" s="22">
        <v>-22</v>
      </c>
      <c r="K519" t="str">
        <f t="shared" si="32"/>
        <v>mars</v>
      </c>
      <c r="L519" t="str">
        <f t="shared" si="33"/>
        <v>Dépenses</v>
      </c>
    </row>
    <row r="520" spans="1:12" ht="11.25" customHeight="1" x14ac:dyDescent="0.2">
      <c r="A520" t="s">
        <v>108</v>
      </c>
      <c r="B520" t="s">
        <v>109</v>
      </c>
      <c r="D520" s="2">
        <v>43538</v>
      </c>
      <c r="E520" s="2">
        <f t="shared" si="31"/>
        <v>43538</v>
      </c>
      <c r="F520" t="s">
        <v>577</v>
      </c>
      <c r="G520" t="s">
        <v>127</v>
      </c>
      <c r="I520" t="s">
        <v>7</v>
      </c>
      <c r="J520" s="22">
        <v>-15</v>
      </c>
      <c r="K520" t="str">
        <f t="shared" si="32"/>
        <v>mars</v>
      </c>
      <c r="L520" t="str">
        <f t="shared" si="33"/>
        <v>Dépenses</v>
      </c>
    </row>
    <row r="521" spans="1:12" ht="11.25" customHeight="1" x14ac:dyDescent="0.2">
      <c r="A521" t="s">
        <v>77</v>
      </c>
      <c r="B521" t="s">
        <v>77</v>
      </c>
      <c r="D521" s="2">
        <v>43538</v>
      </c>
      <c r="E521" s="2">
        <f t="shared" si="31"/>
        <v>43538</v>
      </c>
      <c r="F521" t="s">
        <v>578</v>
      </c>
      <c r="G521" t="s">
        <v>127</v>
      </c>
      <c r="I521" t="s">
        <v>7</v>
      </c>
      <c r="J521" s="22">
        <v>-50</v>
      </c>
      <c r="K521" t="str">
        <f t="shared" si="32"/>
        <v>mars</v>
      </c>
      <c r="L521" t="str">
        <f t="shared" si="33"/>
        <v>Dépenses</v>
      </c>
    </row>
    <row r="522" spans="1:12" x14ac:dyDescent="0.2">
      <c r="A522" t="s">
        <v>2</v>
      </c>
      <c r="B522" t="s">
        <v>8</v>
      </c>
      <c r="D522" s="2">
        <v>43539</v>
      </c>
      <c r="E522" s="2">
        <f t="shared" si="31"/>
        <v>43566</v>
      </c>
      <c r="F522" t="s">
        <v>581</v>
      </c>
      <c r="G522" t="s">
        <v>270</v>
      </c>
      <c r="H522" t="s">
        <v>6</v>
      </c>
      <c r="I522" t="s">
        <v>7</v>
      </c>
      <c r="J522" s="22">
        <v>-10</v>
      </c>
      <c r="K522" t="str">
        <f t="shared" si="32"/>
        <v>mars</v>
      </c>
      <c r="L522" t="str">
        <f t="shared" si="33"/>
        <v>Dépenses</v>
      </c>
    </row>
    <row r="523" spans="1:12" x14ac:dyDescent="0.2">
      <c r="A523" t="s">
        <v>2</v>
      </c>
      <c r="B523" t="s">
        <v>8</v>
      </c>
      <c r="D523" s="2">
        <v>43539</v>
      </c>
      <c r="E523" s="2">
        <f t="shared" si="31"/>
        <v>43566</v>
      </c>
      <c r="F523" t="s">
        <v>582</v>
      </c>
      <c r="G523" t="s">
        <v>263</v>
      </c>
      <c r="H523" t="s">
        <v>560</v>
      </c>
      <c r="I523" t="s">
        <v>7</v>
      </c>
      <c r="J523" s="22">
        <v>-24.73</v>
      </c>
      <c r="K523" t="str">
        <f t="shared" si="32"/>
        <v>mars</v>
      </c>
      <c r="L523" t="str">
        <f t="shared" si="33"/>
        <v>Dépenses</v>
      </c>
    </row>
    <row r="524" spans="1:12" ht="11.25" customHeight="1" x14ac:dyDescent="0.2">
      <c r="A524" t="s">
        <v>2</v>
      </c>
      <c r="B524" t="s">
        <v>8</v>
      </c>
      <c r="D524" s="2">
        <v>43539</v>
      </c>
      <c r="E524" s="2">
        <f t="shared" si="31"/>
        <v>43566</v>
      </c>
      <c r="F524" t="s">
        <v>114</v>
      </c>
      <c r="G524" t="s">
        <v>115</v>
      </c>
      <c r="H524" t="s">
        <v>114</v>
      </c>
      <c r="I524" t="s">
        <v>7</v>
      </c>
      <c r="J524" s="22">
        <v>-15.5</v>
      </c>
      <c r="K524" t="str">
        <f t="shared" si="32"/>
        <v>mars</v>
      </c>
      <c r="L524" t="str">
        <f t="shared" si="33"/>
        <v>Dépenses</v>
      </c>
    </row>
    <row r="525" spans="1:12" x14ac:dyDescent="0.2">
      <c r="A525" t="s">
        <v>2</v>
      </c>
      <c r="B525" t="s">
        <v>8</v>
      </c>
      <c r="D525" s="2">
        <v>43539</v>
      </c>
      <c r="E525" s="2">
        <f t="shared" si="31"/>
        <v>43566</v>
      </c>
      <c r="F525" t="s">
        <v>585</v>
      </c>
      <c r="G525" t="s">
        <v>270</v>
      </c>
      <c r="H525" t="s">
        <v>399</v>
      </c>
      <c r="I525" t="s">
        <v>7</v>
      </c>
      <c r="J525" s="22">
        <v>-12.95</v>
      </c>
      <c r="K525" t="str">
        <f t="shared" si="32"/>
        <v>mars</v>
      </c>
      <c r="L525" t="str">
        <f t="shared" si="33"/>
        <v>Dépenses</v>
      </c>
    </row>
    <row r="526" spans="1:12" x14ac:dyDescent="0.2">
      <c r="A526" t="s">
        <v>108</v>
      </c>
      <c r="B526" t="s">
        <v>109</v>
      </c>
      <c r="D526" s="2">
        <v>43539</v>
      </c>
      <c r="E526" s="2">
        <f t="shared" si="31"/>
        <v>43539</v>
      </c>
      <c r="F526" t="s">
        <v>583</v>
      </c>
      <c r="G526" t="s">
        <v>5</v>
      </c>
      <c r="H526" t="s">
        <v>23</v>
      </c>
      <c r="I526" t="s">
        <v>7</v>
      </c>
      <c r="J526" s="22">
        <v>-19.350000000000001</v>
      </c>
      <c r="K526" t="str">
        <f t="shared" si="32"/>
        <v>mars</v>
      </c>
      <c r="L526" t="str">
        <f t="shared" si="33"/>
        <v>Dépenses</v>
      </c>
    </row>
    <row r="527" spans="1:12" ht="11.25" customHeight="1" x14ac:dyDescent="0.2">
      <c r="A527" t="s">
        <v>94</v>
      </c>
      <c r="B527" s="4" t="s">
        <v>70</v>
      </c>
      <c r="C527" s="7" t="s">
        <v>584</v>
      </c>
      <c r="D527" s="2">
        <v>43539</v>
      </c>
      <c r="E527" s="2">
        <f t="shared" si="31"/>
        <v>43539</v>
      </c>
      <c r="F527" s="4" t="s">
        <v>232</v>
      </c>
      <c r="G527" s="4" t="s">
        <v>79</v>
      </c>
      <c r="H527" s="4" t="s">
        <v>233</v>
      </c>
      <c r="I527" t="s">
        <v>7</v>
      </c>
      <c r="J527" s="23">
        <v>-22.1</v>
      </c>
      <c r="K527" t="str">
        <f t="shared" si="32"/>
        <v>mars</v>
      </c>
      <c r="L527" t="str">
        <f t="shared" si="33"/>
        <v>Dépenses</v>
      </c>
    </row>
    <row r="528" spans="1:12" x14ac:dyDescent="0.2">
      <c r="A528" t="s">
        <v>2</v>
      </c>
      <c r="B528" t="s">
        <v>8</v>
      </c>
      <c r="D528" s="2">
        <v>43540</v>
      </c>
      <c r="E528" s="2">
        <f t="shared" si="31"/>
        <v>43566</v>
      </c>
      <c r="F528" t="s">
        <v>32</v>
      </c>
      <c r="G528" t="s">
        <v>5</v>
      </c>
      <c r="H528" t="s">
        <v>33</v>
      </c>
      <c r="I528" t="s">
        <v>7</v>
      </c>
      <c r="J528" s="22">
        <v>-2.2000000000000002</v>
      </c>
      <c r="K528" t="str">
        <f t="shared" si="32"/>
        <v>mars</v>
      </c>
      <c r="L528" t="str">
        <f t="shared" si="33"/>
        <v>Dépenses</v>
      </c>
    </row>
    <row r="529" spans="1:12" x14ac:dyDescent="0.2">
      <c r="A529" t="s">
        <v>77</v>
      </c>
      <c r="B529" t="s">
        <v>77</v>
      </c>
      <c r="D529" s="2">
        <v>43540</v>
      </c>
      <c r="E529" s="2">
        <f t="shared" si="31"/>
        <v>43540</v>
      </c>
      <c r="F529" t="s">
        <v>591</v>
      </c>
      <c r="G529" t="s">
        <v>457</v>
      </c>
      <c r="H529" t="s">
        <v>517</v>
      </c>
      <c r="I529" t="s">
        <v>487</v>
      </c>
      <c r="J529" s="22">
        <v>-4.5</v>
      </c>
      <c r="K529" t="str">
        <f t="shared" si="32"/>
        <v>mars</v>
      </c>
      <c r="L529" t="str">
        <f t="shared" si="33"/>
        <v>Dépenses</v>
      </c>
    </row>
    <row r="530" spans="1:12" ht="11.25" customHeight="1" x14ac:dyDescent="0.2">
      <c r="A530" t="s">
        <v>94</v>
      </c>
      <c r="B530" s="4" t="s">
        <v>70</v>
      </c>
      <c r="C530" s="7" t="s">
        <v>586</v>
      </c>
      <c r="D530" s="2">
        <v>43540</v>
      </c>
      <c r="E530" s="2">
        <f t="shared" si="31"/>
        <v>43540</v>
      </c>
      <c r="F530" s="4" t="s">
        <v>240</v>
      </c>
      <c r="G530" s="4" t="s">
        <v>73</v>
      </c>
      <c r="H530" s="4" t="s">
        <v>241</v>
      </c>
      <c r="I530" t="s">
        <v>487</v>
      </c>
      <c r="J530" s="23">
        <v>-164.14</v>
      </c>
      <c r="K530" t="str">
        <f t="shared" si="32"/>
        <v>mars</v>
      </c>
      <c r="L530" t="str">
        <f t="shared" si="33"/>
        <v>Dépenses</v>
      </c>
    </row>
    <row r="531" spans="1:12" ht="11.25" customHeight="1" x14ac:dyDescent="0.2">
      <c r="A531" t="s">
        <v>94</v>
      </c>
      <c r="B531" s="4" t="s">
        <v>70</v>
      </c>
      <c r="C531" s="7" t="s">
        <v>587</v>
      </c>
      <c r="D531" s="2">
        <v>43540</v>
      </c>
      <c r="E531" s="2">
        <f t="shared" si="31"/>
        <v>43540</v>
      </c>
      <c r="F531" t="s">
        <v>243</v>
      </c>
      <c r="G531" t="s">
        <v>244</v>
      </c>
      <c r="H531" t="s">
        <v>245</v>
      </c>
      <c r="I531" t="s">
        <v>7</v>
      </c>
      <c r="J531" s="23">
        <v>-41.02</v>
      </c>
      <c r="K531" t="str">
        <f t="shared" si="32"/>
        <v>mars</v>
      </c>
      <c r="L531" t="str">
        <f t="shared" si="33"/>
        <v>Dépenses</v>
      </c>
    </row>
    <row r="532" spans="1:12" ht="11.25" customHeight="1" x14ac:dyDescent="0.2">
      <c r="A532" t="s">
        <v>94</v>
      </c>
      <c r="B532" s="4" t="s">
        <v>70</v>
      </c>
      <c r="C532" s="7" t="s">
        <v>588</v>
      </c>
      <c r="D532" s="2">
        <v>43540</v>
      </c>
      <c r="E532" s="2">
        <f t="shared" si="31"/>
        <v>43540</v>
      </c>
      <c r="F532" t="s">
        <v>247</v>
      </c>
      <c r="G532" t="s">
        <v>134</v>
      </c>
      <c r="H532" t="s">
        <v>319</v>
      </c>
      <c r="I532" t="s">
        <v>7</v>
      </c>
      <c r="J532" s="23">
        <v>-32</v>
      </c>
      <c r="K532" t="str">
        <f t="shared" si="32"/>
        <v>mars</v>
      </c>
      <c r="L532" t="str">
        <f t="shared" si="33"/>
        <v>Dépenses</v>
      </c>
    </row>
    <row r="533" spans="1:12" ht="11.25" customHeight="1" x14ac:dyDescent="0.2">
      <c r="A533" t="s">
        <v>94</v>
      </c>
      <c r="B533" s="4" t="s">
        <v>70</v>
      </c>
      <c r="C533" s="7" t="s">
        <v>589</v>
      </c>
      <c r="D533" s="2">
        <v>43540</v>
      </c>
      <c r="E533" s="2">
        <f t="shared" si="31"/>
        <v>43540</v>
      </c>
      <c r="F533" t="s">
        <v>249</v>
      </c>
      <c r="G533" t="s">
        <v>134</v>
      </c>
      <c r="H533" t="s">
        <v>319</v>
      </c>
      <c r="I533" t="s">
        <v>7</v>
      </c>
      <c r="J533" s="23">
        <v>-38</v>
      </c>
      <c r="K533" t="str">
        <f t="shared" si="32"/>
        <v>mars</v>
      </c>
      <c r="L533" t="str">
        <f t="shared" si="33"/>
        <v>Dépenses</v>
      </c>
    </row>
    <row r="534" spans="1:12" x14ac:dyDescent="0.2">
      <c r="A534" t="s">
        <v>69</v>
      </c>
      <c r="B534" t="s">
        <v>84</v>
      </c>
      <c r="D534" s="2">
        <v>43540</v>
      </c>
      <c r="E534" s="2">
        <f t="shared" si="31"/>
        <v>43540</v>
      </c>
      <c r="F534" t="s">
        <v>590</v>
      </c>
      <c r="G534" t="s">
        <v>111</v>
      </c>
      <c r="H534" t="s">
        <v>362</v>
      </c>
      <c r="I534" t="s">
        <v>7</v>
      </c>
      <c r="J534" s="22">
        <v>4.8899999999999997</v>
      </c>
      <c r="K534" t="str">
        <f t="shared" si="32"/>
        <v>mars</v>
      </c>
      <c r="L534" t="str">
        <f t="shared" si="33"/>
        <v>Recettes</v>
      </c>
    </row>
    <row r="535" spans="1:12" x14ac:dyDescent="0.2">
      <c r="A535" t="s">
        <v>2</v>
      </c>
      <c r="B535" t="s">
        <v>8</v>
      </c>
      <c r="C535" t="s">
        <v>592</v>
      </c>
      <c r="D535" s="2">
        <v>43541</v>
      </c>
      <c r="E535" s="2">
        <f t="shared" si="31"/>
        <v>43566</v>
      </c>
      <c r="F535" t="s">
        <v>593</v>
      </c>
      <c r="G535" t="s">
        <v>111</v>
      </c>
      <c r="H535" t="s">
        <v>50</v>
      </c>
      <c r="I535" t="s">
        <v>7</v>
      </c>
      <c r="J535" s="22">
        <f>-18.69-4.09</f>
        <v>-22.78</v>
      </c>
      <c r="K535" t="str">
        <f t="shared" si="32"/>
        <v>mars</v>
      </c>
      <c r="L535" t="str">
        <f t="shared" si="33"/>
        <v>Dépenses</v>
      </c>
    </row>
    <row r="536" spans="1:12" x14ac:dyDescent="0.2">
      <c r="A536" t="s">
        <v>2</v>
      </c>
      <c r="B536" t="s">
        <v>8</v>
      </c>
      <c r="C536" t="s">
        <v>592</v>
      </c>
      <c r="D536" s="2">
        <v>43541</v>
      </c>
      <c r="E536" s="2">
        <f t="shared" si="31"/>
        <v>43566</v>
      </c>
      <c r="F536" t="s">
        <v>5</v>
      </c>
      <c r="G536" t="s">
        <v>5</v>
      </c>
      <c r="H536" t="s">
        <v>50</v>
      </c>
      <c r="I536" t="s">
        <v>7</v>
      </c>
      <c r="J536" s="22">
        <f>-49.42--22.78</f>
        <v>-26.64</v>
      </c>
      <c r="K536" t="str">
        <f t="shared" si="32"/>
        <v>mars</v>
      </c>
      <c r="L536" t="str">
        <f t="shared" si="33"/>
        <v>Dépenses</v>
      </c>
    </row>
    <row r="537" spans="1:12" x14ac:dyDescent="0.2">
      <c r="A537" t="s">
        <v>2</v>
      </c>
      <c r="B537" t="s">
        <v>8</v>
      </c>
      <c r="D537" s="2">
        <v>43542</v>
      </c>
      <c r="E537" s="2">
        <f t="shared" si="31"/>
        <v>43566</v>
      </c>
      <c r="F537" t="s">
        <v>594</v>
      </c>
      <c r="G537" t="s">
        <v>16</v>
      </c>
      <c r="I537" t="s">
        <v>7</v>
      </c>
      <c r="J537" s="22">
        <v>-55</v>
      </c>
      <c r="K537" t="str">
        <f t="shared" si="32"/>
        <v>mars</v>
      </c>
      <c r="L537" t="str">
        <f t="shared" si="33"/>
        <v>Dépenses</v>
      </c>
    </row>
    <row r="538" spans="1:12" x14ac:dyDescent="0.2">
      <c r="A538" t="s">
        <v>108</v>
      </c>
      <c r="B538" t="s">
        <v>109</v>
      </c>
      <c r="D538" s="2">
        <v>43542</v>
      </c>
      <c r="E538" s="2">
        <f t="shared" si="31"/>
        <v>43542</v>
      </c>
      <c r="F538" t="s">
        <v>490</v>
      </c>
      <c r="G538" t="s">
        <v>63</v>
      </c>
      <c r="H538" t="s">
        <v>64</v>
      </c>
      <c r="I538" t="s">
        <v>7</v>
      </c>
      <c r="J538" s="22">
        <v>-43.25</v>
      </c>
      <c r="K538" t="str">
        <f t="shared" si="32"/>
        <v>mars</v>
      </c>
      <c r="L538" t="str">
        <f t="shared" si="33"/>
        <v>Dépenses</v>
      </c>
    </row>
    <row r="539" spans="1:12" x14ac:dyDescent="0.2">
      <c r="A539" t="s">
        <v>108</v>
      </c>
      <c r="B539" t="s">
        <v>109</v>
      </c>
      <c r="D539" s="2">
        <v>43542</v>
      </c>
      <c r="E539" s="2">
        <f t="shared" si="31"/>
        <v>43542</v>
      </c>
      <c r="F539" t="s">
        <v>5</v>
      </c>
      <c r="G539" t="s">
        <v>5</v>
      </c>
      <c r="H539" t="s">
        <v>23</v>
      </c>
      <c r="I539" t="s">
        <v>7</v>
      </c>
      <c r="J539" s="22">
        <v>-34.409999999999997</v>
      </c>
      <c r="K539" t="str">
        <f t="shared" si="32"/>
        <v>mars</v>
      </c>
      <c r="L539" t="str">
        <f t="shared" si="33"/>
        <v>Dépenses</v>
      </c>
    </row>
    <row r="540" spans="1:12" ht="15" customHeight="1" x14ac:dyDescent="0.2">
      <c r="A540" t="s">
        <v>77</v>
      </c>
      <c r="B540" t="s">
        <v>77</v>
      </c>
      <c r="D540" s="2">
        <v>43542</v>
      </c>
      <c r="E540" s="2">
        <f t="shared" si="31"/>
        <v>43542</v>
      </c>
      <c r="F540" t="s">
        <v>595</v>
      </c>
      <c r="G540" t="s">
        <v>127</v>
      </c>
      <c r="I540" t="s">
        <v>7</v>
      </c>
      <c r="J540" s="22">
        <v>-148</v>
      </c>
      <c r="K540" t="str">
        <f t="shared" si="32"/>
        <v>mars</v>
      </c>
      <c r="L540" t="str">
        <f t="shared" si="33"/>
        <v>Dépenses</v>
      </c>
    </row>
    <row r="541" spans="1:12" x14ac:dyDescent="0.2">
      <c r="A541" t="s">
        <v>77</v>
      </c>
      <c r="B541" t="s">
        <v>77</v>
      </c>
      <c r="D541" s="2">
        <v>43542</v>
      </c>
      <c r="E541" s="2">
        <f t="shared" si="31"/>
        <v>43542</v>
      </c>
      <c r="F541" t="s">
        <v>595</v>
      </c>
      <c r="G541" t="s">
        <v>127</v>
      </c>
      <c r="I541" t="s">
        <v>487</v>
      </c>
      <c r="J541" s="22">
        <v>150</v>
      </c>
      <c r="K541" t="str">
        <f t="shared" si="32"/>
        <v>mars</v>
      </c>
      <c r="L541" t="str">
        <f t="shared" si="33"/>
        <v>Recettes</v>
      </c>
    </row>
    <row r="542" spans="1:12" x14ac:dyDescent="0.2">
      <c r="A542" t="s">
        <v>69</v>
      </c>
      <c r="B542" t="s">
        <v>137</v>
      </c>
      <c r="D542" s="2">
        <v>43542</v>
      </c>
      <c r="E542" s="2">
        <f t="shared" si="31"/>
        <v>43542</v>
      </c>
      <c r="F542" t="s">
        <v>596</v>
      </c>
      <c r="G542" t="s">
        <v>127</v>
      </c>
      <c r="I542" t="s">
        <v>7</v>
      </c>
      <c r="J542" s="22">
        <v>-148</v>
      </c>
      <c r="K542" t="str">
        <f t="shared" si="32"/>
        <v>mars</v>
      </c>
      <c r="L542" t="str">
        <f t="shared" si="33"/>
        <v>Dépenses</v>
      </c>
    </row>
    <row r="543" spans="1:12" ht="11.25" customHeight="1" x14ac:dyDescent="0.2">
      <c r="A543" t="s">
        <v>597</v>
      </c>
      <c r="C543" s="1" t="s">
        <v>598</v>
      </c>
      <c r="D543" s="2">
        <v>43542</v>
      </c>
      <c r="E543" s="2">
        <f t="shared" si="31"/>
        <v>43542</v>
      </c>
      <c r="F543" t="s">
        <v>599</v>
      </c>
      <c r="G543" t="s">
        <v>118</v>
      </c>
      <c r="H543" t="s">
        <v>23</v>
      </c>
      <c r="I543" t="s">
        <v>600</v>
      </c>
      <c r="J543" s="22">
        <f>-5.34-7.4</f>
        <v>-12.74</v>
      </c>
      <c r="K543" t="str">
        <f t="shared" si="32"/>
        <v>mars</v>
      </c>
      <c r="L543" t="str">
        <f t="shared" si="33"/>
        <v>Dépenses</v>
      </c>
    </row>
    <row r="544" spans="1:12" x14ac:dyDescent="0.2">
      <c r="A544" t="s">
        <v>597</v>
      </c>
      <c r="C544" s="1" t="s">
        <v>598</v>
      </c>
      <c r="D544" s="2">
        <v>43542</v>
      </c>
      <c r="E544" s="2">
        <f t="shared" si="31"/>
        <v>43542</v>
      </c>
      <c r="F544" t="s">
        <v>5</v>
      </c>
      <c r="G544" t="s">
        <v>5</v>
      </c>
      <c r="H544" t="s">
        <v>23</v>
      </c>
      <c r="I544" t="s">
        <v>600</v>
      </c>
      <c r="J544" s="22">
        <f>-34.41--12.74</f>
        <v>-21.669999999999995</v>
      </c>
      <c r="K544" t="str">
        <f t="shared" si="32"/>
        <v>mars</v>
      </c>
      <c r="L544" t="str">
        <f t="shared" si="33"/>
        <v>Dépenses</v>
      </c>
    </row>
    <row r="545" spans="1:12" ht="15" customHeight="1" x14ac:dyDescent="0.2">
      <c r="A545" t="s">
        <v>2</v>
      </c>
      <c r="B545" t="s">
        <v>3</v>
      </c>
      <c r="D545" s="2">
        <v>43543</v>
      </c>
      <c r="E545" s="2">
        <f t="shared" si="31"/>
        <v>43566</v>
      </c>
      <c r="F545" t="s">
        <v>5</v>
      </c>
      <c r="G545" t="s">
        <v>5</v>
      </c>
      <c r="H545" t="s">
        <v>6</v>
      </c>
      <c r="I545" t="s">
        <v>7</v>
      </c>
      <c r="J545" s="22">
        <v>-94.48</v>
      </c>
      <c r="K545" t="str">
        <f t="shared" si="32"/>
        <v>mars</v>
      </c>
      <c r="L545" t="str">
        <f t="shared" si="33"/>
        <v>Dépenses</v>
      </c>
    </row>
    <row r="546" spans="1:12" ht="15" customHeight="1" x14ac:dyDescent="0.2">
      <c r="A546" t="s">
        <v>108</v>
      </c>
      <c r="B546" t="s">
        <v>109</v>
      </c>
      <c r="D546" s="2">
        <v>43543</v>
      </c>
      <c r="E546" s="2">
        <f t="shared" si="31"/>
        <v>43543</v>
      </c>
      <c r="F546" t="s">
        <v>601</v>
      </c>
      <c r="G546" t="s">
        <v>118</v>
      </c>
      <c r="H546" t="s">
        <v>601</v>
      </c>
      <c r="I546" t="s">
        <v>7</v>
      </c>
      <c r="J546" s="22">
        <v>-10.98</v>
      </c>
      <c r="K546" t="str">
        <f t="shared" si="32"/>
        <v>mars</v>
      </c>
      <c r="L546" t="str">
        <f t="shared" si="33"/>
        <v>Dépenses</v>
      </c>
    </row>
    <row r="547" spans="1:12" ht="15" customHeight="1" x14ac:dyDescent="0.2">
      <c r="A547" t="s">
        <v>108</v>
      </c>
      <c r="B547" t="s">
        <v>109</v>
      </c>
      <c r="D547" s="2">
        <v>43543</v>
      </c>
      <c r="E547" s="2">
        <f t="shared" si="31"/>
        <v>43543</v>
      </c>
      <c r="F547" t="s">
        <v>179</v>
      </c>
      <c r="G547" t="s">
        <v>5</v>
      </c>
      <c r="H547" t="s">
        <v>23</v>
      </c>
      <c r="I547" t="s">
        <v>7</v>
      </c>
      <c r="J547" s="22">
        <v>-2.1</v>
      </c>
      <c r="K547" t="str">
        <f t="shared" si="32"/>
        <v>mars</v>
      </c>
      <c r="L547" t="str">
        <f t="shared" si="33"/>
        <v>Dépenses</v>
      </c>
    </row>
    <row r="548" spans="1:12" ht="15" customHeight="1" x14ac:dyDescent="0.2">
      <c r="A548" t="s">
        <v>108</v>
      </c>
      <c r="B548" t="s">
        <v>109</v>
      </c>
      <c r="D548" s="2">
        <v>43543</v>
      </c>
      <c r="E548" s="2">
        <f t="shared" si="31"/>
        <v>43543</v>
      </c>
      <c r="F548" t="s">
        <v>482</v>
      </c>
      <c r="G548" t="s">
        <v>52</v>
      </c>
      <c r="H548" t="s">
        <v>602</v>
      </c>
      <c r="I548" t="s">
        <v>7</v>
      </c>
      <c r="J548" s="22">
        <v>-37.78</v>
      </c>
      <c r="K548" t="str">
        <f t="shared" si="32"/>
        <v>mars</v>
      </c>
      <c r="L548" t="str">
        <f t="shared" si="33"/>
        <v>Dépenses</v>
      </c>
    </row>
    <row r="549" spans="1:12" x14ac:dyDescent="0.2">
      <c r="A549" t="s">
        <v>108</v>
      </c>
      <c r="B549" t="s">
        <v>109</v>
      </c>
      <c r="D549" s="2">
        <v>43543</v>
      </c>
      <c r="E549" s="2">
        <f t="shared" si="31"/>
        <v>43543</v>
      </c>
      <c r="F549" t="s">
        <v>234</v>
      </c>
      <c r="G549" t="s">
        <v>16</v>
      </c>
      <c r="I549" t="s">
        <v>7</v>
      </c>
      <c r="J549" s="22">
        <v>-5</v>
      </c>
      <c r="K549" t="str">
        <f t="shared" si="32"/>
        <v>mars</v>
      </c>
      <c r="L549" t="str">
        <f t="shared" si="33"/>
        <v>Dépenses</v>
      </c>
    </row>
    <row r="550" spans="1:12" ht="11.25" customHeight="1" x14ac:dyDescent="0.2">
      <c r="A550" t="s">
        <v>69</v>
      </c>
      <c r="B550" s="4" t="s">
        <v>70</v>
      </c>
      <c r="C550" s="7" t="s">
        <v>603</v>
      </c>
      <c r="D550" s="2">
        <v>43543</v>
      </c>
      <c r="E550" s="2">
        <f t="shared" si="31"/>
        <v>43543</v>
      </c>
      <c r="F550" t="s">
        <v>595</v>
      </c>
      <c r="G550" t="s">
        <v>127</v>
      </c>
      <c r="I550" t="s">
        <v>7</v>
      </c>
      <c r="J550" s="22">
        <v>148</v>
      </c>
      <c r="K550" t="str">
        <f t="shared" si="32"/>
        <v>mars</v>
      </c>
      <c r="L550" t="str">
        <f t="shared" si="33"/>
        <v>Recettes</v>
      </c>
    </row>
    <row r="551" spans="1:12" ht="11.25" customHeight="1" x14ac:dyDescent="0.2">
      <c r="A551" t="s">
        <v>2</v>
      </c>
      <c r="B551" t="s">
        <v>8</v>
      </c>
      <c r="D551" s="2">
        <v>43544</v>
      </c>
      <c r="E551" s="2">
        <f t="shared" si="31"/>
        <v>43566</v>
      </c>
      <c r="F551" t="s">
        <v>5</v>
      </c>
      <c r="G551" t="s">
        <v>5</v>
      </c>
      <c r="H551" t="s">
        <v>6</v>
      </c>
      <c r="I551" t="s">
        <v>7</v>
      </c>
      <c r="J551" s="22">
        <v>-46.07</v>
      </c>
      <c r="K551" t="str">
        <f t="shared" si="32"/>
        <v>mars</v>
      </c>
      <c r="L551" t="str">
        <f t="shared" si="33"/>
        <v>Dépenses</v>
      </c>
    </row>
    <row r="552" spans="1:12" ht="11.25" customHeight="1" x14ac:dyDescent="0.2">
      <c r="A552" t="s">
        <v>108</v>
      </c>
      <c r="B552" t="s">
        <v>109</v>
      </c>
      <c r="D552" s="2">
        <v>43544</v>
      </c>
      <c r="E552" s="2">
        <f t="shared" si="31"/>
        <v>43544</v>
      </c>
      <c r="F552" t="s">
        <v>136</v>
      </c>
      <c r="G552" t="s">
        <v>5</v>
      </c>
      <c r="H552" t="s">
        <v>23</v>
      </c>
      <c r="I552" t="s">
        <v>7</v>
      </c>
      <c r="J552" s="22">
        <v>-2.25</v>
      </c>
      <c r="K552" t="str">
        <f t="shared" si="32"/>
        <v>mars</v>
      </c>
      <c r="L552" t="str">
        <f t="shared" si="33"/>
        <v>Dépenses</v>
      </c>
    </row>
    <row r="553" spans="1:12" ht="11.25" customHeight="1" x14ac:dyDescent="0.2">
      <c r="A553" t="s">
        <v>108</v>
      </c>
      <c r="B553" t="s">
        <v>109</v>
      </c>
      <c r="D553" s="2">
        <v>43544</v>
      </c>
      <c r="E553" s="2">
        <f t="shared" si="31"/>
        <v>43544</v>
      </c>
      <c r="F553" t="s">
        <v>111</v>
      </c>
      <c r="G553" t="s">
        <v>111</v>
      </c>
      <c r="I553" t="s">
        <v>7</v>
      </c>
      <c r="J553" s="22">
        <v>-35.700000000000003</v>
      </c>
      <c r="K553" t="str">
        <f t="shared" si="32"/>
        <v>mars</v>
      </c>
      <c r="L553" t="str">
        <f t="shared" si="33"/>
        <v>Dépenses</v>
      </c>
    </row>
    <row r="554" spans="1:12" x14ac:dyDescent="0.2">
      <c r="A554" t="s">
        <v>108</v>
      </c>
      <c r="B554" t="s">
        <v>109</v>
      </c>
      <c r="D554" s="2">
        <v>43545</v>
      </c>
      <c r="E554" s="2">
        <f t="shared" si="31"/>
        <v>43545</v>
      </c>
      <c r="F554" t="s">
        <v>177</v>
      </c>
      <c r="G554" t="s">
        <v>111</v>
      </c>
      <c r="I554" t="s">
        <v>7</v>
      </c>
      <c r="J554" s="22">
        <v>-22.89</v>
      </c>
      <c r="K554" t="str">
        <f t="shared" si="32"/>
        <v>mars</v>
      </c>
      <c r="L554" t="str">
        <f t="shared" si="33"/>
        <v>Dépenses</v>
      </c>
    </row>
    <row r="555" spans="1:12" x14ac:dyDescent="0.2">
      <c r="A555" t="s">
        <v>108</v>
      </c>
      <c r="B555" t="s">
        <v>109</v>
      </c>
      <c r="D555" s="2">
        <v>43545</v>
      </c>
      <c r="E555" s="2">
        <f t="shared" si="31"/>
        <v>43545</v>
      </c>
      <c r="F555" t="s">
        <v>136</v>
      </c>
      <c r="G555" t="s">
        <v>5</v>
      </c>
      <c r="H555" t="s">
        <v>23</v>
      </c>
      <c r="I555" t="s">
        <v>7</v>
      </c>
      <c r="J555" s="22">
        <v>-1.25</v>
      </c>
      <c r="K555" t="str">
        <f t="shared" si="32"/>
        <v>mars</v>
      </c>
      <c r="L555" t="str">
        <f t="shared" si="33"/>
        <v>Dépenses</v>
      </c>
    </row>
    <row r="556" spans="1:12" x14ac:dyDescent="0.2">
      <c r="A556" t="s">
        <v>108</v>
      </c>
      <c r="B556" t="s">
        <v>109</v>
      </c>
      <c r="D556" s="2">
        <v>43545</v>
      </c>
      <c r="E556" s="2">
        <f t="shared" si="31"/>
        <v>43545</v>
      </c>
      <c r="F556" t="s">
        <v>136</v>
      </c>
      <c r="G556" t="s">
        <v>5</v>
      </c>
      <c r="H556" t="s">
        <v>23</v>
      </c>
      <c r="I556" t="s">
        <v>7</v>
      </c>
      <c r="J556" s="22">
        <v>-1.25</v>
      </c>
      <c r="K556" t="str">
        <f t="shared" si="32"/>
        <v>mars</v>
      </c>
      <c r="L556" t="str">
        <f t="shared" si="33"/>
        <v>Dépenses</v>
      </c>
    </row>
    <row r="557" spans="1:12" x14ac:dyDescent="0.2">
      <c r="A557" t="s">
        <v>108</v>
      </c>
      <c r="B557" t="s">
        <v>109</v>
      </c>
      <c r="D557" s="2">
        <v>43546</v>
      </c>
      <c r="E557" s="2">
        <f t="shared" si="31"/>
        <v>43546</v>
      </c>
      <c r="F557" t="s">
        <v>136</v>
      </c>
      <c r="G557" t="s">
        <v>5</v>
      </c>
      <c r="H557" t="s">
        <v>604</v>
      </c>
      <c r="I557" t="s">
        <v>7</v>
      </c>
      <c r="J557" s="22">
        <v>-5.5</v>
      </c>
      <c r="K557" t="str">
        <f t="shared" si="32"/>
        <v>mars</v>
      </c>
      <c r="L557" t="str">
        <f t="shared" si="33"/>
        <v>Dépenses</v>
      </c>
    </row>
    <row r="558" spans="1:12" x14ac:dyDescent="0.2">
      <c r="A558" t="s">
        <v>69</v>
      </c>
      <c r="B558" t="s">
        <v>137</v>
      </c>
      <c r="C558" s="7" t="s">
        <v>290</v>
      </c>
      <c r="D558" s="2">
        <v>43547</v>
      </c>
      <c r="E558" s="2">
        <f t="shared" si="31"/>
        <v>43547</v>
      </c>
      <c r="F558" t="s">
        <v>291</v>
      </c>
      <c r="G558" t="s">
        <v>79</v>
      </c>
      <c r="H558" t="s">
        <v>292</v>
      </c>
      <c r="I558" t="s">
        <v>7</v>
      </c>
      <c r="J558" s="22">
        <v>-17.98</v>
      </c>
      <c r="K558" t="str">
        <f t="shared" si="32"/>
        <v>mars</v>
      </c>
      <c r="L558" t="str">
        <f t="shared" si="33"/>
        <v>Dépenses</v>
      </c>
    </row>
    <row r="559" spans="1:12" ht="11.25" customHeight="1" x14ac:dyDescent="0.2">
      <c r="A559" t="s">
        <v>69</v>
      </c>
      <c r="B559" s="4" t="s">
        <v>70</v>
      </c>
      <c r="C559" s="7" t="s">
        <v>603</v>
      </c>
      <c r="D559" s="2">
        <v>43548</v>
      </c>
      <c r="E559" s="2">
        <f t="shared" si="31"/>
        <v>43548</v>
      </c>
      <c r="F559" t="s">
        <v>285</v>
      </c>
      <c r="G559" t="s">
        <v>199</v>
      </c>
      <c r="H559" t="s">
        <v>74</v>
      </c>
      <c r="I559" t="s">
        <v>7</v>
      </c>
      <c r="J559" s="23">
        <v>3331.24</v>
      </c>
      <c r="K559" t="str">
        <f t="shared" si="32"/>
        <v>mars</v>
      </c>
      <c r="L559" t="str">
        <f t="shared" si="33"/>
        <v>Recettes</v>
      </c>
    </row>
    <row r="560" spans="1:12" ht="11.25" customHeight="1" x14ac:dyDescent="0.2">
      <c r="A560" t="s">
        <v>69</v>
      </c>
      <c r="B560" s="4" t="s">
        <v>70</v>
      </c>
      <c r="C560" s="7" t="s">
        <v>603</v>
      </c>
      <c r="D560" s="2">
        <v>43548</v>
      </c>
      <c r="E560" s="2">
        <f t="shared" si="31"/>
        <v>43548</v>
      </c>
      <c r="F560" t="s">
        <v>605</v>
      </c>
      <c r="G560" t="s">
        <v>199</v>
      </c>
      <c r="H560" t="s">
        <v>74</v>
      </c>
      <c r="I560" t="s">
        <v>7</v>
      </c>
      <c r="J560" s="23">
        <f>2271.55/2</f>
        <v>1135.7750000000001</v>
      </c>
      <c r="K560" t="str">
        <f t="shared" si="32"/>
        <v>mars</v>
      </c>
      <c r="L560" t="str">
        <f t="shared" si="33"/>
        <v>Recettes</v>
      </c>
    </row>
    <row r="561" spans="1:12" ht="11.25" customHeight="1" x14ac:dyDescent="0.2">
      <c r="A561" t="s">
        <v>69</v>
      </c>
      <c r="B561" s="4" t="s">
        <v>70</v>
      </c>
      <c r="C561" s="7" t="s">
        <v>603</v>
      </c>
      <c r="D561" s="2">
        <v>43548</v>
      </c>
      <c r="E561" s="2">
        <f t="shared" si="31"/>
        <v>43548</v>
      </c>
      <c r="F561" t="s">
        <v>606</v>
      </c>
      <c r="G561" t="s">
        <v>199</v>
      </c>
      <c r="H561" t="s">
        <v>74</v>
      </c>
      <c r="I561" t="s">
        <v>7</v>
      </c>
      <c r="J561" s="23">
        <f>2271.55/2</f>
        <v>1135.7750000000001</v>
      </c>
      <c r="K561" t="str">
        <f t="shared" si="32"/>
        <v>mars</v>
      </c>
      <c r="L561" t="str">
        <f t="shared" si="33"/>
        <v>Recettes</v>
      </c>
    </row>
    <row r="562" spans="1:12" x14ac:dyDescent="0.2">
      <c r="A562" t="s">
        <v>94</v>
      </c>
      <c r="B562" t="s">
        <v>84</v>
      </c>
      <c r="D562" s="2">
        <v>43548</v>
      </c>
      <c r="E562" s="2">
        <f t="shared" ref="E562:E625" si="34">IF(A562="","",IF(A562&lt;&gt;"Carte Lux",D562,VLOOKUP(D562,Periode_datedebit_2019,3)))</f>
        <v>43548</v>
      </c>
      <c r="F562" t="s">
        <v>607</v>
      </c>
      <c r="G562" t="s">
        <v>158</v>
      </c>
      <c r="H562" t="s">
        <v>542</v>
      </c>
      <c r="I562" t="s">
        <v>7</v>
      </c>
      <c r="J562" s="22">
        <v>573.59</v>
      </c>
      <c r="K562" t="str">
        <f t="shared" si="32"/>
        <v>mars</v>
      </c>
      <c r="L562" t="str">
        <f t="shared" si="33"/>
        <v>Recettes</v>
      </c>
    </row>
    <row r="563" spans="1:12" x14ac:dyDescent="0.2">
      <c r="A563" t="s">
        <v>2</v>
      </c>
      <c r="B563" t="s">
        <v>8</v>
      </c>
      <c r="D563" s="2">
        <v>43549</v>
      </c>
      <c r="E563" s="2">
        <f t="shared" si="34"/>
        <v>43596</v>
      </c>
      <c r="F563" t="s">
        <v>136</v>
      </c>
      <c r="G563" t="s">
        <v>5</v>
      </c>
      <c r="H563" t="s">
        <v>33</v>
      </c>
      <c r="I563" t="s">
        <v>7</v>
      </c>
      <c r="J563" s="22">
        <v>-7.45</v>
      </c>
      <c r="K563" t="str">
        <f t="shared" si="32"/>
        <v>mars</v>
      </c>
      <c r="L563" t="str">
        <f t="shared" si="33"/>
        <v>Dépenses</v>
      </c>
    </row>
    <row r="564" spans="1:12" x14ac:dyDescent="0.2">
      <c r="A564" t="s">
        <v>2</v>
      </c>
      <c r="B564" t="s">
        <v>8</v>
      </c>
      <c r="D564" s="2">
        <v>43549</v>
      </c>
      <c r="E564" s="2">
        <f t="shared" si="34"/>
        <v>43596</v>
      </c>
      <c r="F564" t="s">
        <v>358</v>
      </c>
      <c r="G564" t="s">
        <v>10</v>
      </c>
      <c r="H564" t="s">
        <v>11</v>
      </c>
      <c r="I564" t="s">
        <v>7</v>
      </c>
      <c r="J564" s="22">
        <v>-25</v>
      </c>
      <c r="K564" t="str">
        <f t="shared" si="32"/>
        <v>mars</v>
      </c>
      <c r="L564" t="str">
        <f t="shared" si="33"/>
        <v>Dépenses</v>
      </c>
    </row>
    <row r="565" spans="1:12" x14ac:dyDescent="0.2">
      <c r="A565" t="s">
        <v>2</v>
      </c>
      <c r="B565" t="s">
        <v>8</v>
      </c>
      <c r="D565" s="2">
        <v>43549</v>
      </c>
      <c r="E565" s="2">
        <f t="shared" si="34"/>
        <v>43596</v>
      </c>
      <c r="F565" t="s">
        <v>21</v>
      </c>
      <c r="G565" t="s">
        <v>21</v>
      </c>
      <c r="H565" t="s">
        <v>608</v>
      </c>
      <c r="I565" t="s">
        <v>7</v>
      </c>
      <c r="J565" s="22">
        <v>-5.3</v>
      </c>
      <c r="K565" t="str">
        <f t="shared" si="32"/>
        <v>mars</v>
      </c>
      <c r="L565" t="str">
        <f t="shared" si="33"/>
        <v>Dépenses</v>
      </c>
    </row>
    <row r="566" spans="1:12" x14ac:dyDescent="0.2">
      <c r="A566" t="s">
        <v>2</v>
      </c>
      <c r="B566" t="s">
        <v>8</v>
      </c>
      <c r="D566" s="2">
        <v>43549</v>
      </c>
      <c r="E566" s="2">
        <f t="shared" si="34"/>
        <v>43596</v>
      </c>
      <c r="F566" t="s">
        <v>114</v>
      </c>
      <c r="G566" t="s">
        <v>115</v>
      </c>
      <c r="H566" t="s">
        <v>114</v>
      </c>
      <c r="I566" t="s">
        <v>487</v>
      </c>
      <c r="J566" s="22">
        <v>-22.5</v>
      </c>
      <c r="K566" t="str">
        <f t="shared" si="32"/>
        <v>mars</v>
      </c>
      <c r="L566" t="str">
        <f t="shared" si="33"/>
        <v>Dépenses</v>
      </c>
    </row>
    <row r="567" spans="1:12" x14ac:dyDescent="0.2">
      <c r="A567" t="s">
        <v>2</v>
      </c>
      <c r="B567" t="s">
        <v>8</v>
      </c>
      <c r="D567" s="2">
        <v>43549</v>
      </c>
      <c r="E567" s="2">
        <f t="shared" si="34"/>
        <v>43596</v>
      </c>
      <c r="F567" t="s">
        <v>136</v>
      </c>
      <c r="G567" t="s">
        <v>5</v>
      </c>
      <c r="H567" t="s">
        <v>22</v>
      </c>
      <c r="I567" t="s">
        <v>7</v>
      </c>
      <c r="J567" s="22">
        <v>-4.5999999999999996</v>
      </c>
      <c r="K567" t="str">
        <f t="shared" si="32"/>
        <v>mars</v>
      </c>
      <c r="L567" t="str">
        <f t="shared" si="33"/>
        <v>Dépenses</v>
      </c>
    </row>
    <row r="568" spans="1:12" x14ac:dyDescent="0.2">
      <c r="A568" t="s">
        <v>2</v>
      </c>
      <c r="B568" t="s">
        <v>8</v>
      </c>
      <c r="D568" s="2">
        <v>43549</v>
      </c>
      <c r="E568" s="2">
        <f t="shared" si="34"/>
        <v>43596</v>
      </c>
      <c r="F568" t="s">
        <v>82</v>
      </c>
      <c r="G568" t="s">
        <v>5</v>
      </c>
      <c r="H568" t="s">
        <v>618</v>
      </c>
      <c r="I568" t="s">
        <v>7</v>
      </c>
      <c r="J568" s="22">
        <v>-3.8</v>
      </c>
      <c r="K568" t="str">
        <f t="shared" si="32"/>
        <v>mars</v>
      </c>
      <c r="L568" t="str">
        <f t="shared" si="33"/>
        <v>Dépenses</v>
      </c>
    </row>
    <row r="569" spans="1:12" x14ac:dyDescent="0.2">
      <c r="A569" t="s">
        <v>2</v>
      </c>
      <c r="B569" t="s">
        <v>8</v>
      </c>
      <c r="D569" s="2">
        <v>43549</v>
      </c>
      <c r="E569" s="2">
        <f t="shared" si="34"/>
        <v>43596</v>
      </c>
      <c r="F569" t="s">
        <v>619</v>
      </c>
      <c r="G569" t="s">
        <v>16</v>
      </c>
      <c r="H569" t="s">
        <v>210</v>
      </c>
      <c r="I569" t="s">
        <v>7</v>
      </c>
      <c r="J569" s="22">
        <f>-34*2-15</f>
        <v>-83</v>
      </c>
      <c r="K569" t="str">
        <f t="shared" si="32"/>
        <v>mars</v>
      </c>
      <c r="L569" t="str">
        <f t="shared" si="33"/>
        <v>Dépenses</v>
      </c>
    </row>
    <row r="570" spans="1:12" x14ac:dyDescent="0.2">
      <c r="A570" t="s">
        <v>2</v>
      </c>
      <c r="B570" t="s">
        <v>8</v>
      </c>
      <c r="D570" s="2">
        <v>43549</v>
      </c>
      <c r="E570" s="2">
        <f t="shared" si="34"/>
        <v>43596</v>
      </c>
      <c r="F570" t="s">
        <v>136</v>
      </c>
      <c r="G570" t="s">
        <v>5</v>
      </c>
      <c r="H570" t="s">
        <v>22</v>
      </c>
      <c r="I570" t="s">
        <v>7</v>
      </c>
      <c r="J570" s="22">
        <v>-6.45</v>
      </c>
      <c r="K570" t="str">
        <f t="shared" si="32"/>
        <v>mars</v>
      </c>
      <c r="L570" t="str">
        <f t="shared" si="33"/>
        <v>Dépenses</v>
      </c>
    </row>
    <row r="571" spans="1:12" x14ac:dyDescent="0.2">
      <c r="A571" t="s">
        <v>2</v>
      </c>
      <c r="B571" t="s">
        <v>3</v>
      </c>
      <c r="C571" t="s">
        <v>615</v>
      </c>
      <c r="D571" s="2">
        <v>43549</v>
      </c>
      <c r="E571" s="2">
        <f t="shared" si="34"/>
        <v>43596</v>
      </c>
      <c r="F571" t="s">
        <v>49</v>
      </c>
      <c r="G571" t="s">
        <v>49</v>
      </c>
      <c r="H571" t="s">
        <v>23</v>
      </c>
      <c r="I571" t="s">
        <v>7</v>
      </c>
      <c r="J571" s="22">
        <f>-5.98-2.9</f>
        <v>-8.8800000000000008</v>
      </c>
      <c r="K571" t="str">
        <f t="shared" si="32"/>
        <v>mars</v>
      </c>
      <c r="L571" t="str">
        <f t="shared" si="33"/>
        <v>Dépenses</v>
      </c>
    </row>
    <row r="572" spans="1:12" x14ac:dyDescent="0.2">
      <c r="A572" t="s">
        <v>2</v>
      </c>
      <c r="B572" t="s">
        <v>3</v>
      </c>
      <c r="C572" t="s">
        <v>615</v>
      </c>
      <c r="D572" s="2">
        <v>43549</v>
      </c>
      <c r="E572" s="2">
        <f t="shared" si="34"/>
        <v>43596</v>
      </c>
      <c r="F572" t="s">
        <v>5</v>
      </c>
      <c r="G572" t="s">
        <v>5</v>
      </c>
      <c r="H572" t="s">
        <v>23</v>
      </c>
      <c r="I572" t="s">
        <v>7</v>
      </c>
      <c r="J572" s="22">
        <v>-3.07</v>
      </c>
      <c r="K572" t="str">
        <f t="shared" si="32"/>
        <v>mars</v>
      </c>
      <c r="L572" t="str">
        <f t="shared" si="33"/>
        <v>Dépenses</v>
      </c>
    </row>
    <row r="573" spans="1:12" x14ac:dyDescent="0.2">
      <c r="A573" t="s">
        <v>2</v>
      </c>
      <c r="B573" t="s">
        <v>3</v>
      </c>
      <c r="C573" t="s">
        <v>616</v>
      </c>
      <c r="D573" s="2">
        <v>43549</v>
      </c>
      <c r="E573" s="2">
        <f t="shared" si="34"/>
        <v>43596</v>
      </c>
      <c r="F573" t="s">
        <v>49</v>
      </c>
      <c r="G573" t="s">
        <v>49</v>
      </c>
      <c r="H573" t="s">
        <v>23</v>
      </c>
      <c r="I573" t="s">
        <v>7</v>
      </c>
      <c r="J573" s="22">
        <f>-6.6-5.45-6.3</f>
        <v>-18.350000000000001</v>
      </c>
      <c r="K573" t="str">
        <f t="shared" si="32"/>
        <v>mars</v>
      </c>
      <c r="L573" t="str">
        <f t="shared" si="33"/>
        <v>Dépenses</v>
      </c>
    </row>
    <row r="574" spans="1:12" x14ac:dyDescent="0.2">
      <c r="A574" t="s">
        <v>2</v>
      </c>
      <c r="B574" t="s">
        <v>3</v>
      </c>
      <c r="C574" t="s">
        <v>616</v>
      </c>
      <c r="D574" s="2">
        <v>43549</v>
      </c>
      <c r="E574" s="2">
        <f t="shared" si="34"/>
        <v>43596</v>
      </c>
      <c r="F574" t="s">
        <v>617</v>
      </c>
      <c r="G574" t="s">
        <v>127</v>
      </c>
      <c r="H574" t="s">
        <v>23</v>
      </c>
      <c r="I574" t="s">
        <v>7</v>
      </c>
      <c r="J574" s="22">
        <v>-7.17</v>
      </c>
      <c r="K574" t="str">
        <f t="shared" si="32"/>
        <v>mars</v>
      </c>
      <c r="L574" t="str">
        <f t="shared" si="33"/>
        <v>Dépenses</v>
      </c>
    </row>
    <row r="575" spans="1:12" x14ac:dyDescent="0.2">
      <c r="A575" t="s">
        <v>2</v>
      </c>
      <c r="B575" t="s">
        <v>3</v>
      </c>
      <c r="C575" t="s">
        <v>616</v>
      </c>
      <c r="D575" s="2">
        <v>43549</v>
      </c>
      <c r="E575" s="2">
        <f t="shared" si="34"/>
        <v>43596</v>
      </c>
      <c r="F575" t="s">
        <v>5</v>
      </c>
      <c r="G575" t="s">
        <v>5</v>
      </c>
      <c r="H575" t="s">
        <v>23</v>
      </c>
      <c r="I575" t="s">
        <v>7</v>
      </c>
      <c r="J575" s="22">
        <f>-58.1--18.35--7.17</f>
        <v>-32.58</v>
      </c>
      <c r="K575" t="str">
        <f t="shared" si="32"/>
        <v>mars</v>
      </c>
      <c r="L575" t="str">
        <f t="shared" si="33"/>
        <v>Dépenses</v>
      </c>
    </row>
    <row r="576" spans="1:12" x14ac:dyDescent="0.2">
      <c r="A576" t="s">
        <v>108</v>
      </c>
      <c r="B576" t="s">
        <v>109</v>
      </c>
      <c r="C576" s="1" t="s">
        <v>610</v>
      </c>
      <c r="D576" s="2">
        <v>43549</v>
      </c>
      <c r="E576" s="2">
        <f t="shared" si="34"/>
        <v>43549</v>
      </c>
      <c r="F576" t="s">
        <v>5</v>
      </c>
      <c r="G576" t="s">
        <v>5</v>
      </c>
      <c r="H576" t="s">
        <v>23</v>
      </c>
      <c r="I576" t="s">
        <v>487</v>
      </c>
      <c r="J576" s="22">
        <v>-35.479999999999997</v>
      </c>
      <c r="K576" t="str">
        <f t="shared" si="32"/>
        <v>mars</v>
      </c>
      <c r="L576" t="str">
        <f t="shared" si="33"/>
        <v>Dépenses</v>
      </c>
    </row>
    <row r="577" spans="1:12" x14ac:dyDescent="0.2">
      <c r="A577" t="s">
        <v>108</v>
      </c>
      <c r="B577" t="s">
        <v>109</v>
      </c>
      <c r="D577" s="2">
        <v>43549</v>
      </c>
      <c r="E577" s="2">
        <f t="shared" si="34"/>
        <v>43549</v>
      </c>
      <c r="F577" t="s">
        <v>5</v>
      </c>
      <c r="G577" t="s">
        <v>5</v>
      </c>
      <c r="H577" t="s">
        <v>348</v>
      </c>
      <c r="I577" t="s">
        <v>487</v>
      </c>
      <c r="J577" s="22">
        <v>-2.35</v>
      </c>
      <c r="K577" t="str">
        <f t="shared" si="32"/>
        <v>mars</v>
      </c>
      <c r="L577" t="str">
        <f t="shared" si="33"/>
        <v>Dépenses</v>
      </c>
    </row>
    <row r="578" spans="1:12" x14ac:dyDescent="0.2">
      <c r="A578" t="s">
        <v>108</v>
      </c>
      <c r="B578" t="s">
        <v>287</v>
      </c>
      <c r="C578" t="s">
        <v>611</v>
      </c>
      <c r="D578" s="2">
        <v>43549</v>
      </c>
      <c r="E578" s="2">
        <f t="shared" si="34"/>
        <v>43549</v>
      </c>
      <c r="F578" t="s">
        <v>612</v>
      </c>
      <c r="G578" t="s">
        <v>111</v>
      </c>
      <c r="I578" t="s">
        <v>7</v>
      </c>
      <c r="J578" s="22">
        <v>-102</v>
      </c>
      <c r="K578" t="str">
        <f t="shared" ref="K578:K641" si="35">IF(D578="","",TEXT(D578,"Mmmm"))</f>
        <v>mars</v>
      </c>
      <c r="L578" t="str">
        <f t="shared" ref="L578:L641" si="36">IF(J578="","",IF(J578&lt;0,"Dépenses","Recettes"))</f>
        <v>Dépenses</v>
      </c>
    </row>
    <row r="579" spans="1:12" x14ac:dyDescent="0.2">
      <c r="A579" t="s">
        <v>108</v>
      </c>
      <c r="B579" t="s">
        <v>287</v>
      </c>
      <c r="C579" t="s">
        <v>613</v>
      </c>
      <c r="D579" s="2">
        <v>43549</v>
      </c>
      <c r="E579" s="2">
        <f t="shared" si="34"/>
        <v>43549</v>
      </c>
      <c r="F579" t="s">
        <v>614</v>
      </c>
      <c r="G579" t="s">
        <v>16</v>
      </c>
      <c r="I579" t="s">
        <v>7</v>
      </c>
      <c r="J579" s="22">
        <v>-79</v>
      </c>
      <c r="K579" t="str">
        <f t="shared" si="35"/>
        <v>mars</v>
      </c>
      <c r="L579" t="str">
        <f t="shared" si="36"/>
        <v>Dépenses</v>
      </c>
    </row>
    <row r="580" spans="1:12" ht="11.25" customHeight="1" x14ac:dyDescent="0.2">
      <c r="A580" t="s">
        <v>69</v>
      </c>
      <c r="B580" s="4" t="s">
        <v>70</v>
      </c>
      <c r="C580" s="7" t="s">
        <v>458</v>
      </c>
      <c r="D580" s="2">
        <v>43549</v>
      </c>
      <c r="E580" s="2">
        <f>IF(A590="","",IF(A590&lt;&gt;"Carte Lux",D590,VLOOKUP(D590,Periode_datedebit_2019,3)))</f>
        <v>43549</v>
      </c>
      <c r="F580" t="s">
        <v>102</v>
      </c>
      <c r="G580" t="s">
        <v>459</v>
      </c>
      <c r="H580" t="s">
        <v>94</v>
      </c>
      <c r="I580" t="s">
        <v>7</v>
      </c>
      <c r="J580" s="23">
        <v>-860</v>
      </c>
      <c r="K580" t="str">
        <f t="shared" si="35"/>
        <v>mars</v>
      </c>
      <c r="L580" t="str">
        <f t="shared" si="36"/>
        <v>Dépenses</v>
      </c>
    </row>
    <row r="581" spans="1:12" x14ac:dyDescent="0.2">
      <c r="A581" t="s">
        <v>94</v>
      </c>
      <c r="B581" t="s">
        <v>70</v>
      </c>
      <c r="D581" s="2">
        <v>43549</v>
      </c>
      <c r="E581" s="2">
        <f t="shared" ref="E581:E602" si="37">IF(A581="","",IF(A581&lt;&gt;"Carte Lux",D581,VLOOKUP(D581,Periode_datedebit_2019,3)))</f>
        <v>43549</v>
      </c>
      <c r="F581" t="s">
        <v>460</v>
      </c>
      <c r="G581" t="s">
        <v>127</v>
      </c>
      <c r="H581" t="s">
        <v>88</v>
      </c>
      <c r="I581" t="s">
        <v>7</v>
      </c>
      <c r="J581" s="22">
        <v>-70</v>
      </c>
      <c r="K581" t="str">
        <f t="shared" si="35"/>
        <v>mars</v>
      </c>
      <c r="L581" t="str">
        <f t="shared" si="36"/>
        <v>Dépenses</v>
      </c>
    </row>
    <row r="582" spans="1:12" ht="15" customHeight="1" x14ac:dyDescent="0.2">
      <c r="A582" t="s">
        <v>94</v>
      </c>
      <c r="B582" t="s">
        <v>70</v>
      </c>
      <c r="D582" s="2">
        <v>43549</v>
      </c>
      <c r="E582" s="2">
        <f t="shared" si="37"/>
        <v>43549</v>
      </c>
      <c r="F582" t="s">
        <v>461</v>
      </c>
      <c r="G582" t="s">
        <v>28</v>
      </c>
      <c r="H582" t="s">
        <v>88</v>
      </c>
      <c r="I582" t="s">
        <v>7</v>
      </c>
      <c r="J582" s="22">
        <v>-30</v>
      </c>
      <c r="K582" t="str">
        <f t="shared" si="35"/>
        <v>mars</v>
      </c>
      <c r="L582" t="str">
        <f t="shared" si="36"/>
        <v>Dépenses</v>
      </c>
    </row>
    <row r="583" spans="1:12" x14ac:dyDescent="0.2">
      <c r="A583" t="s">
        <v>94</v>
      </c>
      <c r="B583" t="s">
        <v>70</v>
      </c>
      <c r="D583" s="2">
        <v>43549</v>
      </c>
      <c r="E583" s="2">
        <f t="shared" si="37"/>
        <v>43549</v>
      </c>
      <c r="F583" t="s">
        <v>462</v>
      </c>
      <c r="G583" t="s">
        <v>254</v>
      </c>
      <c r="H583" t="s">
        <v>88</v>
      </c>
      <c r="I583" t="s">
        <v>7</v>
      </c>
      <c r="J583" s="22">
        <v>-100</v>
      </c>
      <c r="K583" t="str">
        <f t="shared" si="35"/>
        <v>mars</v>
      </c>
      <c r="L583" t="str">
        <f t="shared" si="36"/>
        <v>Dépenses</v>
      </c>
    </row>
    <row r="584" spans="1:12" ht="15" customHeight="1" x14ac:dyDescent="0.2">
      <c r="A584" t="s">
        <v>94</v>
      </c>
      <c r="B584" t="s">
        <v>70</v>
      </c>
      <c r="D584" s="2">
        <v>43549</v>
      </c>
      <c r="E584" s="2">
        <f t="shared" si="37"/>
        <v>43549</v>
      </c>
      <c r="F584" t="s">
        <v>463</v>
      </c>
      <c r="G584" t="s">
        <v>270</v>
      </c>
      <c r="H584" t="s">
        <v>88</v>
      </c>
      <c r="I584" t="s">
        <v>7</v>
      </c>
      <c r="J584" s="22">
        <v>-70</v>
      </c>
      <c r="K584" t="str">
        <f t="shared" si="35"/>
        <v>mars</v>
      </c>
      <c r="L584" t="str">
        <f t="shared" si="36"/>
        <v>Dépenses</v>
      </c>
    </row>
    <row r="585" spans="1:12" ht="15" customHeight="1" x14ac:dyDescent="0.2">
      <c r="A585" t="s">
        <v>94</v>
      </c>
      <c r="B585" t="s">
        <v>70</v>
      </c>
      <c r="D585" s="2">
        <v>43549</v>
      </c>
      <c r="E585" s="2">
        <f t="shared" si="37"/>
        <v>43549</v>
      </c>
      <c r="F585" t="s">
        <v>464</v>
      </c>
      <c r="G585" t="s">
        <v>118</v>
      </c>
      <c r="H585" t="s">
        <v>88</v>
      </c>
      <c r="I585" t="s">
        <v>487</v>
      </c>
      <c r="J585" s="22">
        <v>-150</v>
      </c>
      <c r="K585" t="str">
        <f t="shared" si="35"/>
        <v>mars</v>
      </c>
      <c r="L585" t="str">
        <f t="shared" si="36"/>
        <v>Dépenses</v>
      </c>
    </row>
    <row r="586" spans="1:12" x14ac:dyDescent="0.2">
      <c r="A586" t="s">
        <v>94</v>
      </c>
      <c r="B586" t="s">
        <v>70</v>
      </c>
      <c r="D586" s="2">
        <v>43549</v>
      </c>
      <c r="E586" s="2">
        <f t="shared" si="37"/>
        <v>43549</v>
      </c>
      <c r="F586" t="s">
        <v>465</v>
      </c>
      <c r="G586" t="s">
        <v>16</v>
      </c>
      <c r="H586" t="s">
        <v>88</v>
      </c>
      <c r="I586" t="s">
        <v>487</v>
      </c>
      <c r="J586" s="22">
        <v>-60</v>
      </c>
      <c r="K586" t="str">
        <f t="shared" si="35"/>
        <v>mars</v>
      </c>
      <c r="L586" t="str">
        <f t="shared" si="36"/>
        <v>Dépenses</v>
      </c>
    </row>
    <row r="587" spans="1:12" ht="11.25" customHeight="1" x14ac:dyDescent="0.2">
      <c r="A587" t="s">
        <v>94</v>
      </c>
      <c r="B587" t="s">
        <v>70</v>
      </c>
      <c r="D587" s="2">
        <v>43549</v>
      </c>
      <c r="E587" s="2">
        <f t="shared" si="37"/>
        <v>43549</v>
      </c>
      <c r="F587" t="s">
        <v>466</v>
      </c>
      <c r="G587" t="s">
        <v>111</v>
      </c>
      <c r="H587" t="s">
        <v>88</v>
      </c>
      <c r="I587" t="s">
        <v>487</v>
      </c>
      <c r="J587" s="22">
        <v>-120</v>
      </c>
      <c r="K587" t="str">
        <f t="shared" si="35"/>
        <v>mars</v>
      </c>
      <c r="L587" t="str">
        <f t="shared" si="36"/>
        <v>Dépenses</v>
      </c>
    </row>
    <row r="588" spans="1:12" ht="11.25" customHeight="1" x14ac:dyDescent="0.2">
      <c r="A588" t="s">
        <v>88</v>
      </c>
      <c r="B588" t="s">
        <v>70</v>
      </c>
      <c r="D588" s="2">
        <v>43549</v>
      </c>
      <c r="E588" s="2">
        <f t="shared" si="37"/>
        <v>43549</v>
      </c>
      <c r="F588" t="s">
        <v>471</v>
      </c>
      <c r="G588" t="s">
        <v>76</v>
      </c>
      <c r="H588" t="s">
        <v>94</v>
      </c>
      <c r="I588" t="s">
        <v>487</v>
      </c>
      <c r="J588" s="22">
        <v>860</v>
      </c>
      <c r="K588" t="str">
        <f t="shared" si="35"/>
        <v>mars</v>
      </c>
      <c r="L588" t="str">
        <f t="shared" si="36"/>
        <v>Recettes</v>
      </c>
    </row>
    <row r="589" spans="1:12" ht="11.25" customHeight="1" x14ac:dyDescent="0.2">
      <c r="A589" t="s">
        <v>94</v>
      </c>
      <c r="B589" t="s">
        <v>70</v>
      </c>
      <c r="D589" s="2">
        <v>43549</v>
      </c>
      <c r="E589" s="2">
        <f t="shared" si="37"/>
        <v>43549</v>
      </c>
      <c r="F589" t="s">
        <v>467</v>
      </c>
      <c r="G589" t="s">
        <v>229</v>
      </c>
      <c r="H589" t="s">
        <v>88</v>
      </c>
      <c r="I589" t="s">
        <v>487</v>
      </c>
      <c r="J589" s="22">
        <v>-60</v>
      </c>
      <c r="K589" t="str">
        <f t="shared" si="35"/>
        <v>mars</v>
      </c>
      <c r="L589" t="str">
        <f t="shared" si="36"/>
        <v>Dépenses</v>
      </c>
    </row>
    <row r="590" spans="1:12" x14ac:dyDescent="0.2">
      <c r="A590" t="s">
        <v>94</v>
      </c>
      <c r="B590" t="s">
        <v>70</v>
      </c>
      <c r="D590" s="2">
        <v>43549</v>
      </c>
      <c r="E590" s="2">
        <f t="shared" si="37"/>
        <v>43549</v>
      </c>
      <c r="F590" t="s">
        <v>469</v>
      </c>
      <c r="G590" t="s">
        <v>52</v>
      </c>
      <c r="H590" t="s">
        <v>88</v>
      </c>
      <c r="I590" t="s">
        <v>7</v>
      </c>
      <c r="J590" s="22">
        <v>-100</v>
      </c>
      <c r="K590" t="str">
        <f t="shared" si="35"/>
        <v>mars</v>
      </c>
      <c r="L590" t="str">
        <f t="shared" si="36"/>
        <v>Dépenses</v>
      </c>
    </row>
    <row r="591" spans="1:12" x14ac:dyDescent="0.2">
      <c r="A591" t="s">
        <v>94</v>
      </c>
      <c r="B591" t="s">
        <v>70</v>
      </c>
      <c r="D591" s="2">
        <v>43549</v>
      </c>
      <c r="E591" s="2">
        <f t="shared" si="37"/>
        <v>43549</v>
      </c>
      <c r="F591" t="s">
        <v>470</v>
      </c>
      <c r="G591" t="s">
        <v>39</v>
      </c>
      <c r="H591" t="s">
        <v>88</v>
      </c>
      <c r="I591" t="s">
        <v>7</v>
      </c>
      <c r="J591" s="22">
        <v>-100</v>
      </c>
      <c r="K591" t="str">
        <f t="shared" si="35"/>
        <v>mars</v>
      </c>
      <c r="L591" t="str">
        <f t="shared" si="36"/>
        <v>Dépenses</v>
      </c>
    </row>
    <row r="592" spans="1:12" x14ac:dyDescent="0.2">
      <c r="A592" t="s">
        <v>94</v>
      </c>
      <c r="B592" t="s">
        <v>70</v>
      </c>
      <c r="D592" s="2">
        <v>43549</v>
      </c>
      <c r="E592" s="2">
        <f t="shared" si="37"/>
        <v>43549</v>
      </c>
      <c r="F592" t="s">
        <v>624</v>
      </c>
      <c r="G592" t="s">
        <v>79</v>
      </c>
      <c r="H592" t="s">
        <v>625</v>
      </c>
      <c r="I592" t="s">
        <v>7</v>
      </c>
      <c r="J592" s="22">
        <v>-200</v>
      </c>
      <c r="K592" t="str">
        <f t="shared" si="35"/>
        <v>mars</v>
      </c>
      <c r="L592" t="str">
        <f t="shared" si="36"/>
        <v>Dépenses</v>
      </c>
    </row>
    <row r="593" spans="1:12" x14ac:dyDescent="0.2">
      <c r="A593" t="s">
        <v>69</v>
      </c>
      <c r="B593" t="s">
        <v>137</v>
      </c>
      <c r="C593" s="7" t="s">
        <v>620</v>
      </c>
      <c r="D593" s="2">
        <v>43549</v>
      </c>
      <c r="E593" s="2">
        <f t="shared" si="37"/>
        <v>43549</v>
      </c>
      <c r="F593" t="s">
        <v>291</v>
      </c>
      <c r="G593" t="s">
        <v>79</v>
      </c>
      <c r="H593" t="s">
        <v>292</v>
      </c>
      <c r="I593" t="s">
        <v>621</v>
      </c>
      <c r="J593" s="22">
        <v>0</v>
      </c>
      <c r="K593" t="str">
        <f t="shared" si="35"/>
        <v>mars</v>
      </c>
      <c r="L593" t="str">
        <f t="shared" si="36"/>
        <v>Recettes</v>
      </c>
    </row>
    <row r="594" spans="1:12" x14ac:dyDescent="0.2">
      <c r="A594" t="s">
        <v>94</v>
      </c>
      <c r="B594" t="s">
        <v>84</v>
      </c>
      <c r="C594" s="1" t="s">
        <v>622</v>
      </c>
      <c r="D594" s="2">
        <v>43549</v>
      </c>
      <c r="E594" s="2">
        <f t="shared" si="37"/>
        <v>43549</v>
      </c>
      <c r="F594" t="s">
        <v>623</v>
      </c>
      <c r="G594" t="s">
        <v>16</v>
      </c>
      <c r="H594" t="s">
        <v>315</v>
      </c>
      <c r="I594" t="s">
        <v>7</v>
      </c>
      <c r="J594" s="22">
        <v>-136</v>
      </c>
      <c r="K594" t="str">
        <f t="shared" si="35"/>
        <v>mars</v>
      </c>
      <c r="L594" t="str">
        <f t="shared" si="36"/>
        <v>Dépenses</v>
      </c>
    </row>
    <row r="595" spans="1:12" x14ac:dyDescent="0.2">
      <c r="A595" t="s">
        <v>108</v>
      </c>
      <c r="D595" s="2">
        <v>43549</v>
      </c>
      <c r="E595" s="2">
        <f t="shared" si="37"/>
        <v>43549</v>
      </c>
      <c r="F595" t="s">
        <v>609</v>
      </c>
      <c r="G595" t="s">
        <v>111</v>
      </c>
      <c r="H595" t="s">
        <v>145</v>
      </c>
      <c r="I595" t="s">
        <v>7</v>
      </c>
      <c r="J595" s="22">
        <v>22.2</v>
      </c>
      <c r="K595" t="str">
        <f t="shared" si="35"/>
        <v>mars</v>
      </c>
      <c r="L595" t="str">
        <f t="shared" si="36"/>
        <v>Recettes</v>
      </c>
    </row>
    <row r="596" spans="1:12" x14ac:dyDescent="0.2">
      <c r="A596" t="s">
        <v>2</v>
      </c>
      <c r="B596" t="s">
        <v>8</v>
      </c>
      <c r="D596" s="2">
        <v>43550</v>
      </c>
      <c r="E596" s="2">
        <f t="shared" si="37"/>
        <v>43596</v>
      </c>
      <c r="F596" t="s">
        <v>136</v>
      </c>
      <c r="G596" t="s">
        <v>5</v>
      </c>
      <c r="H596" t="s">
        <v>22</v>
      </c>
      <c r="I596" t="s">
        <v>7</v>
      </c>
      <c r="J596" s="22">
        <v>-3.2</v>
      </c>
      <c r="K596" t="str">
        <f t="shared" si="35"/>
        <v>mars</v>
      </c>
      <c r="L596" t="str">
        <f t="shared" si="36"/>
        <v>Dépenses</v>
      </c>
    </row>
    <row r="597" spans="1:12" ht="15" customHeight="1" x14ac:dyDescent="0.2">
      <c r="A597" t="s">
        <v>2</v>
      </c>
      <c r="B597" t="s">
        <v>8</v>
      </c>
      <c r="D597" s="2">
        <v>43550</v>
      </c>
      <c r="E597" s="2">
        <f t="shared" si="37"/>
        <v>43596</v>
      </c>
      <c r="F597" t="s">
        <v>131</v>
      </c>
      <c r="G597" t="s">
        <v>132</v>
      </c>
      <c r="H597" t="s">
        <v>64</v>
      </c>
      <c r="I597" t="s">
        <v>7</v>
      </c>
      <c r="J597" s="22">
        <v>-45.3</v>
      </c>
      <c r="K597" t="str">
        <f t="shared" si="35"/>
        <v>mars</v>
      </c>
      <c r="L597" t="str">
        <f t="shared" si="36"/>
        <v>Dépenses</v>
      </c>
    </row>
    <row r="598" spans="1:12" x14ac:dyDescent="0.2">
      <c r="A598" t="s">
        <v>2</v>
      </c>
      <c r="B598" t="s">
        <v>3</v>
      </c>
      <c r="C598" t="s">
        <v>627</v>
      </c>
      <c r="D598" s="2">
        <v>43550</v>
      </c>
      <c r="E598" s="2">
        <f t="shared" si="37"/>
        <v>43596</v>
      </c>
      <c r="F598" t="s">
        <v>49</v>
      </c>
      <c r="G598" t="s">
        <v>49</v>
      </c>
      <c r="H598" t="s">
        <v>23</v>
      </c>
      <c r="I598" t="s">
        <v>7</v>
      </c>
      <c r="J598" s="22">
        <f>-2.83-4.65</f>
        <v>-7.48</v>
      </c>
      <c r="K598" t="str">
        <f t="shared" si="35"/>
        <v>mars</v>
      </c>
      <c r="L598" t="str">
        <f t="shared" si="36"/>
        <v>Dépenses</v>
      </c>
    </row>
    <row r="599" spans="1:12" ht="15" customHeight="1" x14ac:dyDescent="0.2">
      <c r="A599" t="s">
        <v>2</v>
      </c>
      <c r="B599" t="s">
        <v>3</v>
      </c>
      <c r="C599" t="s">
        <v>627</v>
      </c>
      <c r="D599" s="2">
        <v>43550</v>
      </c>
      <c r="E599" s="2">
        <f t="shared" si="37"/>
        <v>43596</v>
      </c>
      <c r="F599" t="s">
        <v>628</v>
      </c>
      <c r="G599" t="s">
        <v>270</v>
      </c>
      <c r="H599" t="s">
        <v>23</v>
      </c>
      <c r="I599" t="s">
        <v>7</v>
      </c>
      <c r="J599" s="22">
        <f>-1.91-1.51-29.67</f>
        <v>-33.090000000000003</v>
      </c>
      <c r="K599" t="str">
        <f t="shared" si="35"/>
        <v>mars</v>
      </c>
      <c r="L599" t="str">
        <f t="shared" si="36"/>
        <v>Dépenses</v>
      </c>
    </row>
    <row r="600" spans="1:12" x14ac:dyDescent="0.2">
      <c r="A600" t="s">
        <v>2</v>
      </c>
      <c r="B600" t="s">
        <v>3</v>
      </c>
      <c r="C600" t="s">
        <v>627</v>
      </c>
      <c r="D600" s="2">
        <v>43550</v>
      </c>
      <c r="E600" s="2">
        <f t="shared" si="37"/>
        <v>43596</v>
      </c>
      <c r="F600" t="s">
        <v>5</v>
      </c>
      <c r="G600" t="s">
        <v>5</v>
      </c>
      <c r="H600" t="s">
        <v>23</v>
      </c>
      <c r="I600" t="s">
        <v>7</v>
      </c>
      <c r="J600" s="22">
        <f>-59.81--33.09--7.48</f>
        <v>-19.239999999999998</v>
      </c>
      <c r="K600" t="str">
        <f t="shared" si="35"/>
        <v>mars</v>
      </c>
      <c r="L600" t="str">
        <f t="shared" si="36"/>
        <v>Dépenses</v>
      </c>
    </row>
    <row r="601" spans="1:12" x14ac:dyDescent="0.2">
      <c r="A601" t="s">
        <v>108</v>
      </c>
      <c r="B601" t="s">
        <v>109</v>
      </c>
      <c r="C601" t="s">
        <v>626</v>
      </c>
      <c r="D601" s="2">
        <v>43550</v>
      </c>
      <c r="E601" s="2">
        <f t="shared" si="37"/>
        <v>43550</v>
      </c>
      <c r="F601" t="s">
        <v>48</v>
      </c>
      <c r="G601" t="s">
        <v>49</v>
      </c>
      <c r="H601" t="s">
        <v>23</v>
      </c>
      <c r="I601" t="s">
        <v>7</v>
      </c>
      <c r="J601" s="22">
        <v>-4.3899999999999997</v>
      </c>
      <c r="K601" t="str">
        <f t="shared" si="35"/>
        <v>mars</v>
      </c>
      <c r="L601" t="str">
        <f t="shared" si="36"/>
        <v>Dépenses</v>
      </c>
    </row>
    <row r="602" spans="1:12" ht="11.25" customHeight="1" x14ac:dyDescent="0.2">
      <c r="A602" t="s">
        <v>108</v>
      </c>
      <c r="B602" t="s">
        <v>109</v>
      </c>
      <c r="C602" t="s">
        <v>626</v>
      </c>
      <c r="D602" s="2">
        <v>43550</v>
      </c>
      <c r="E602" s="2">
        <f t="shared" si="37"/>
        <v>43550</v>
      </c>
      <c r="F602" t="s">
        <v>5</v>
      </c>
      <c r="G602" t="s">
        <v>5</v>
      </c>
      <c r="H602" t="s">
        <v>23</v>
      </c>
      <c r="I602" t="s">
        <v>487</v>
      </c>
      <c r="J602" s="22">
        <f>-18.76--4.39</f>
        <v>-14.370000000000001</v>
      </c>
      <c r="K602" t="str">
        <f t="shared" si="35"/>
        <v>mars</v>
      </c>
      <c r="L602" t="str">
        <f t="shared" si="36"/>
        <v>Dépenses</v>
      </c>
    </row>
    <row r="603" spans="1:12" ht="11.25" customHeight="1" x14ac:dyDescent="0.2">
      <c r="A603" t="s">
        <v>94</v>
      </c>
      <c r="B603" s="4" t="s">
        <v>70</v>
      </c>
      <c r="C603" s="7" t="s">
        <v>458</v>
      </c>
      <c r="D603" s="2">
        <v>43550</v>
      </c>
      <c r="E603" s="2">
        <f>IF(A616="","",IF(A616&lt;&gt;"Carte Lux",D616,VLOOKUP(D616,Periode_datedebit_2019,3)))</f>
        <v>43596</v>
      </c>
      <c r="F603" t="s">
        <v>135</v>
      </c>
      <c r="G603" t="s">
        <v>459</v>
      </c>
      <c r="H603" t="s">
        <v>69</v>
      </c>
      <c r="I603" t="s">
        <v>7</v>
      </c>
      <c r="J603" s="23">
        <v>860</v>
      </c>
      <c r="K603" t="str">
        <f t="shared" si="35"/>
        <v>mars</v>
      </c>
      <c r="L603" t="str">
        <f t="shared" si="36"/>
        <v>Recettes</v>
      </c>
    </row>
    <row r="604" spans="1:12" ht="11.25" customHeight="1" x14ac:dyDescent="0.2">
      <c r="A604" t="s">
        <v>69</v>
      </c>
      <c r="B604" s="4" t="s">
        <v>70</v>
      </c>
      <c r="C604" s="7" t="s">
        <v>546</v>
      </c>
      <c r="D604" s="2">
        <v>43550</v>
      </c>
      <c r="E604" s="2">
        <f t="shared" ref="E604:E635" si="38">IF(A604="","",IF(A604&lt;&gt;"Carte Lux",D604,VLOOKUP(D604,Periode_datedebit_2019,3)))</f>
        <v>43550</v>
      </c>
      <c r="F604" t="s">
        <v>147</v>
      </c>
      <c r="G604" t="s">
        <v>115</v>
      </c>
      <c r="H604" t="s">
        <v>148</v>
      </c>
      <c r="I604" t="s">
        <v>7</v>
      </c>
      <c r="J604" s="23">
        <v>-1.34</v>
      </c>
      <c r="K604" t="str">
        <f t="shared" si="35"/>
        <v>mars</v>
      </c>
      <c r="L604" t="str">
        <f t="shared" si="36"/>
        <v>Dépenses</v>
      </c>
    </row>
    <row r="605" spans="1:12" ht="11.25" customHeight="1" x14ac:dyDescent="0.2">
      <c r="A605" t="s">
        <v>69</v>
      </c>
      <c r="B605" t="s">
        <v>84</v>
      </c>
      <c r="D605" s="2">
        <v>43550</v>
      </c>
      <c r="E605" s="2">
        <f t="shared" si="38"/>
        <v>43550</v>
      </c>
      <c r="F605" t="s">
        <v>503</v>
      </c>
      <c r="G605" t="s">
        <v>111</v>
      </c>
      <c r="H605" t="s">
        <v>194</v>
      </c>
      <c r="I605" t="s">
        <v>7</v>
      </c>
      <c r="J605" s="22">
        <v>7.65</v>
      </c>
      <c r="K605" t="str">
        <f t="shared" si="35"/>
        <v>mars</v>
      </c>
      <c r="L605" t="str">
        <f t="shared" si="36"/>
        <v>Recettes</v>
      </c>
    </row>
    <row r="606" spans="1:12" x14ac:dyDescent="0.2">
      <c r="A606" t="s">
        <v>94</v>
      </c>
      <c r="B606" t="s">
        <v>84</v>
      </c>
      <c r="D606" s="2">
        <v>43550</v>
      </c>
      <c r="E606" s="2">
        <f t="shared" si="38"/>
        <v>43550</v>
      </c>
      <c r="F606" t="s">
        <v>629</v>
      </c>
      <c r="G606" t="s">
        <v>318</v>
      </c>
      <c r="H606" t="s">
        <v>319</v>
      </c>
      <c r="I606" t="s">
        <v>7</v>
      </c>
      <c r="J606" s="22">
        <v>23.15</v>
      </c>
      <c r="K606" t="str">
        <f t="shared" si="35"/>
        <v>mars</v>
      </c>
      <c r="L606" t="str">
        <f t="shared" si="36"/>
        <v>Recettes</v>
      </c>
    </row>
    <row r="607" spans="1:12" x14ac:dyDescent="0.2">
      <c r="A607" t="s">
        <v>2</v>
      </c>
      <c r="B607" t="s">
        <v>8</v>
      </c>
      <c r="D607" s="2">
        <v>43551</v>
      </c>
      <c r="E607" s="2">
        <f t="shared" si="38"/>
        <v>43596</v>
      </c>
      <c r="F607" t="s">
        <v>630</v>
      </c>
      <c r="G607" t="s">
        <v>5</v>
      </c>
      <c r="H607" t="s">
        <v>22</v>
      </c>
      <c r="I607" t="s">
        <v>487</v>
      </c>
      <c r="J607" s="22">
        <v>-5.0999999999999996</v>
      </c>
      <c r="K607" t="str">
        <f t="shared" si="35"/>
        <v>mars</v>
      </c>
      <c r="L607" t="str">
        <f t="shared" si="36"/>
        <v>Dépenses</v>
      </c>
    </row>
    <row r="608" spans="1:12" x14ac:dyDescent="0.2">
      <c r="A608" t="s">
        <v>108</v>
      </c>
      <c r="B608" t="s">
        <v>109</v>
      </c>
      <c r="D608" s="2">
        <v>43551</v>
      </c>
      <c r="E608" s="2">
        <f t="shared" si="38"/>
        <v>43551</v>
      </c>
      <c r="F608" t="s">
        <v>62</v>
      </c>
      <c r="G608" t="s">
        <v>63</v>
      </c>
      <c r="H608" t="s">
        <v>64</v>
      </c>
      <c r="I608" t="s">
        <v>487</v>
      </c>
      <c r="J608" s="22">
        <v>-39.75</v>
      </c>
      <c r="K608" t="str">
        <f t="shared" si="35"/>
        <v>mars</v>
      </c>
      <c r="L608" t="str">
        <f t="shared" si="36"/>
        <v>Dépenses</v>
      </c>
    </row>
    <row r="609" spans="1:12" ht="15" customHeight="1" x14ac:dyDescent="0.2">
      <c r="A609" t="s">
        <v>108</v>
      </c>
      <c r="B609" t="s">
        <v>109</v>
      </c>
      <c r="D609" s="2">
        <v>43551</v>
      </c>
      <c r="E609" s="2">
        <f t="shared" si="38"/>
        <v>43551</v>
      </c>
      <c r="F609" t="s">
        <v>631</v>
      </c>
      <c r="G609" t="s">
        <v>16</v>
      </c>
      <c r="H609" t="s">
        <v>326</v>
      </c>
      <c r="I609" t="s">
        <v>7</v>
      </c>
      <c r="J609" s="22">
        <v>-80</v>
      </c>
      <c r="K609" t="str">
        <f t="shared" si="35"/>
        <v>mars</v>
      </c>
      <c r="L609" t="str">
        <f t="shared" si="36"/>
        <v>Dépenses</v>
      </c>
    </row>
    <row r="610" spans="1:12" ht="15" customHeight="1" x14ac:dyDescent="0.2">
      <c r="A610" t="s">
        <v>108</v>
      </c>
      <c r="B610" t="s">
        <v>109</v>
      </c>
      <c r="D610" s="2">
        <v>43551</v>
      </c>
      <c r="E610" s="2">
        <f t="shared" si="38"/>
        <v>43551</v>
      </c>
      <c r="F610" t="s">
        <v>632</v>
      </c>
      <c r="G610" t="s">
        <v>5</v>
      </c>
      <c r="H610" t="s">
        <v>23</v>
      </c>
      <c r="I610" t="s">
        <v>7</v>
      </c>
      <c r="J610" s="22">
        <v>-2.95</v>
      </c>
      <c r="K610" t="str">
        <f t="shared" si="35"/>
        <v>mars</v>
      </c>
      <c r="L610" t="str">
        <f t="shared" si="36"/>
        <v>Dépenses</v>
      </c>
    </row>
    <row r="611" spans="1:12" ht="11.25" customHeight="1" x14ac:dyDescent="0.2">
      <c r="A611" t="s">
        <v>108</v>
      </c>
      <c r="B611" t="s">
        <v>109</v>
      </c>
      <c r="C611" s="7"/>
      <c r="D611" s="2">
        <v>43551</v>
      </c>
      <c r="E611" s="2">
        <f t="shared" si="38"/>
        <v>43551</v>
      </c>
      <c r="F611" t="s">
        <v>5</v>
      </c>
      <c r="G611" t="s">
        <v>5</v>
      </c>
      <c r="H611" t="s">
        <v>23</v>
      </c>
      <c r="I611" t="s">
        <v>7</v>
      </c>
      <c r="J611" s="23">
        <v>-1.25</v>
      </c>
      <c r="K611" t="str">
        <f t="shared" si="35"/>
        <v>mars</v>
      </c>
      <c r="L611" t="str">
        <f t="shared" si="36"/>
        <v>Dépenses</v>
      </c>
    </row>
    <row r="612" spans="1:12" x14ac:dyDescent="0.2">
      <c r="A612" t="s">
        <v>108</v>
      </c>
      <c r="B612" t="s">
        <v>287</v>
      </c>
      <c r="C612">
        <v>1155078</v>
      </c>
      <c r="D612" s="2">
        <v>43551</v>
      </c>
      <c r="E612" s="2">
        <f t="shared" si="38"/>
        <v>43551</v>
      </c>
      <c r="F612" t="s">
        <v>475</v>
      </c>
      <c r="G612" t="s">
        <v>118</v>
      </c>
      <c r="I612" t="s">
        <v>7</v>
      </c>
      <c r="J612" s="22">
        <v>-27</v>
      </c>
      <c r="K612" t="str">
        <f t="shared" si="35"/>
        <v>mars</v>
      </c>
      <c r="L612" t="str">
        <f t="shared" si="36"/>
        <v>Dépenses</v>
      </c>
    </row>
    <row r="613" spans="1:12" ht="11.25" customHeight="1" x14ac:dyDescent="0.2">
      <c r="A613" t="s">
        <v>108</v>
      </c>
      <c r="B613" s="4" t="s">
        <v>70</v>
      </c>
      <c r="C613" s="7" t="s">
        <v>537</v>
      </c>
      <c r="D613" s="2">
        <v>43551</v>
      </c>
      <c r="E613" s="2">
        <f t="shared" si="38"/>
        <v>43551</v>
      </c>
      <c r="F613" t="s">
        <v>537</v>
      </c>
      <c r="G613" t="s">
        <v>111</v>
      </c>
      <c r="H613" t="s">
        <v>145</v>
      </c>
      <c r="I613" t="s">
        <v>7</v>
      </c>
      <c r="J613" s="23">
        <v>2.8</v>
      </c>
      <c r="K613" t="str">
        <f t="shared" si="35"/>
        <v>mars</v>
      </c>
      <c r="L613" t="str">
        <f t="shared" si="36"/>
        <v>Recettes</v>
      </c>
    </row>
    <row r="614" spans="1:12" ht="15" customHeight="1" x14ac:dyDescent="0.2">
      <c r="A614" t="s">
        <v>94</v>
      </c>
      <c r="B614" t="s">
        <v>84</v>
      </c>
      <c r="C614" s="1" t="s">
        <v>538</v>
      </c>
      <c r="D614" s="2">
        <v>43551</v>
      </c>
      <c r="E614" s="2">
        <f t="shared" si="38"/>
        <v>43551</v>
      </c>
      <c r="F614" t="s">
        <v>633</v>
      </c>
      <c r="G614" t="s">
        <v>254</v>
      </c>
      <c r="H614" t="s">
        <v>540</v>
      </c>
      <c r="I614" t="s">
        <v>7</v>
      </c>
      <c r="J614" s="22">
        <v>-210.98</v>
      </c>
      <c r="K614" t="str">
        <f t="shared" si="35"/>
        <v>mars</v>
      </c>
      <c r="L614" t="str">
        <f t="shared" si="36"/>
        <v>Dépenses</v>
      </c>
    </row>
    <row r="615" spans="1:12" ht="15" customHeight="1" x14ac:dyDescent="0.2">
      <c r="A615" t="s">
        <v>2</v>
      </c>
      <c r="B615" t="s">
        <v>8</v>
      </c>
      <c r="C615" t="s">
        <v>634</v>
      </c>
      <c r="D615" s="2">
        <v>43552</v>
      </c>
      <c r="E615" s="2">
        <f t="shared" si="38"/>
        <v>43596</v>
      </c>
      <c r="F615" t="s">
        <v>635</v>
      </c>
      <c r="G615" t="s">
        <v>63</v>
      </c>
      <c r="H615" t="s">
        <v>64</v>
      </c>
      <c r="I615" t="s">
        <v>7</v>
      </c>
      <c r="J615" s="22">
        <v>-42.66</v>
      </c>
      <c r="K615" t="str">
        <f t="shared" si="35"/>
        <v>mars</v>
      </c>
      <c r="L615" t="str">
        <f t="shared" si="36"/>
        <v>Dépenses</v>
      </c>
    </row>
    <row r="616" spans="1:12" ht="15" customHeight="1" x14ac:dyDescent="0.2">
      <c r="A616" t="s">
        <v>2</v>
      </c>
      <c r="B616" t="s">
        <v>8</v>
      </c>
      <c r="C616" t="s">
        <v>634</v>
      </c>
      <c r="D616" s="2">
        <v>43552</v>
      </c>
      <c r="E616" s="2">
        <f t="shared" si="38"/>
        <v>43596</v>
      </c>
      <c r="F616" t="s">
        <v>32</v>
      </c>
      <c r="G616" t="s">
        <v>5</v>
      </c>
      <c r="H616" t="s">
        <v>64</v>
      </c>
      <c r="I616" t="s">
        <v>7</v>
      </c>
      <c r="J616" s="22">
        <v>-2.2000000000000002</v>
      </c>
      <c r="K616" t="str">
        <f t="shared" si="35"/>
        <v>mars</v>
      </c>
      <c r="L616" t="str">
        <f t="shared" si="36"/>
        <v>Dépenses</v>
      </c>
    </row>
    <row r="617" spans="1:12" x14ac:dyDescent="0.2">
      <c r="A617" t="s">
        <v>108</v>
      </c>
      <c r="B617" t="s">
        <v>109</v>
      </c>
      <c r="D617" s="2">
        <v>43552</v>
      </c>
      <c r="E617" s="2">
        <f t="shared" si="38"/>
        <v>43552</v>
      </c>
      <c r="F617" t="s">
        <v>636</v>
      </c>
      <c r="G617" t="s">
        <v>5</v>
      </c>
      <c r="H617" t="s">
        <v>23</v>
      </c>
      <c r="I617" t="s">
        <v>7</v>
      </c>
      <c r="J617" s="22">
        <v>-36.24</v>
      </c>
      <c r="K617" t="str">
        <f t="shared" si="35"/>
        <v>mars</v>
      </c>
      <c r="L617" t="str">
        <f t="shared" si="36"/>
        <v>Dépenses</v>
      </c>
    </row>
    <row r="618" spans="1:12" x14ac:dyDescent="0.2">
      <c r="A618" t="s">
        <v>2</v>
      </c>
      <c r="B618" t="s">
        <v>8</v>
      </c>
      <c r="D618" s="2">
        <v>43553</v>
      </c>
      <c r="E618" s="2">
        <f t="shared" si="38"/>
        <v>43596</v>
      </c>
      <c r="F618" t="s">
        <v>630</v>
      </c>
      <c r="G618" t="s">
        <v>5</v>
      </c>
      <c r="H618" t="s">
        <v>22</v>
      </c>
      <c r="I618" t="s">
        <v>7</v>
      </c>
      <c r="J618" s="22">
        <v>-9.1</v>
      </c>
      <c r="K618" t="str">
        <f t="shared" si="35"/>
        <v>mars</v>
      </c>
      <c r="L618" t="str">
        <f t="shared" si="36"/>
        <v>Dépenses</v>
      </c>
    </row>
    <row r="619" spans="1:12" ht="15" customHeight="1" x14ac:dyDescent="0.2">
      <c r="A619" t="s">
        <v>2</v>
      </c>
      <c r="B619" t="s">
        <v>3</v>
      </c>
      <c r="C619" t="s">
        <v>637</v>
      </c>
      <c r="D619" s="2">
        <v>43553</v>
      </c>
      <c r="E619" s="2">
        <f t="shared" si="38"/>
        <v>43596</v>
      </c>
      <c r="F619" t="s">
        <v>5</v>
      </c>
      <c r="G619" t="s">
        <v>5</v>
      </c>
      <c r="H619" t="s">
        <v>23</v>
      </c>
      <c r="I619" t="s">
        <v>7</v>
      </c>
      <c r="J619" s="22">
        <v>-29.85</v>
      </c>
      <c r="K619" t="str">
        <f t="shared" si="35"/>
        <v>mars</v>
      </c>
      <c r="L619" t="str">
        <f t="shared" si="36"/>
        <v>Dépenses</v>
      </c>
    </row>
    <row r="620" spans="1:12" ht="15" customHeight="1" x14ac:dyDescent="0.2">
      <c r="A620" t="s">
        <v>108</v>
      </c>
      <c r="B620" t="s">
        <v>109</v>
      </c>
      <c r="D620" s="2">
        <v>43553</v>
      </c>
      <c r="E620" s="2">
        <f t="shared" si="38"/>
        <v>43553</v>
      </c>
      <c r="F620" t="s">
        <v>638</v>
      </c>
      <c r="G620" t="s">
        <v>16</v>
      </c>
      <c r="H620" t="s">
        <v>639</v>
      </c>
      <c r="I620" t="s">
        <v>7</v>
      </c>
      <c r="J620" s="22">
        <v>-20</v>
      </c>
      <c r="K620" t="str">
        <f t="shared" si="35"/>
        <v>mars</v>
      </c>
      <c r="L620" t="str">
        <f t="shared" si="36"/>
        <v>Dépenses</v>
      </c>
    </row>
    <row r="621" spans="1:12" ht="15" customHeight="1" x14ac:dyDescent="0.2">
      <c r="A621" t="s">
        <v>94</v>
      </c>
      <c r="B621" t="s">
        <v>84</v>
      </c>
      <c r="D621" s="2">
        <v>43553</v>
      </c>
      <c r="E621" s="2">
        <f t="shared" si="38"/>
        <v>43553</v>
      </c>
      <c r="F621" t="s">
        <v>640</v>
      </c>
      <c r="G621" t="s">
        <v>307</v>
      </c>
      <c r="H621" t="s">
        <v>88</v>
      </c>
      <c r="I621" t="s">
        <v>7</v>
      </c>
      <c r="J621" s="22">
        <v>2300</v>
      </c>
      <c r="K621" t="str">
        <f t="shared" si="35"/>
        <v>mars</v>
      </c>
      <c r="L621" t="str">
        <f t="shared" si="36"/>
        <v>Recettes</v>
      </c>
    </row>
    <row r="622" spans="1:12" ht="15" customHeight="1" x14ac:dyDescent="0.2">
      <c r="A622" t="s">
        <v>88</v>
      </c>
      <c r="B622" t="s">
        <v>84</v>
      </c>
      <c r="D622" s="2">
        <v>43553</v>
      </c>
      <c r="E622" s="2">
        <f t="shared" si="38"/>
        <v>43553</v>
      </c>
      <c r="F622" t="s">
        <v>640</v>
      </c>
      <c r="G622" t="s">
        <v>307</v>
      </c>
      <c r="H622" t="s">
        <v>94</v>
      </c>
      <c r="I622" t="s">
        <v>7</v>
      </c>
      <c r="J622" s="22">
        <v>-2300</v>
      </c>
      <c r="K622" t="str">
        <f t="shared" si="35"/>
        <v>mars</v>
      </c>
      <c r="L622" t="str">
        <f t="shared" si="36"/>
        <v>Dépenses</v>
      </c>
    </row>
    <row r="623" spans="1:12" ht="15" customHeight="1" x14ac:dyDescent="0.2">
      <c r="A623" t="s">
        <v>2</v>
      </c>
      <c r="B623" t="s">
        <v>8</v>
      </c>
      <c r="C623" s="1" t="s">
        <v>641</v>
      </c>
      <c r="D623" s="2">
        <v>43554</v>
      </c>
      <c r="E623" s="2">
        <f t="shared" si="38"/>
        <v>43596</v>
      </c>
      <c r="F623" t="s">
        <v>642</v>
      </c>
      <c r="G623" t="s">
        <v>60</v>
      </c>
      <c r="H623" t="s">
        <v>61</v>
      </c>
      <c r="I623" t="s">
        <v>7</v>
      </c>
      <c r="J623" s="22">
        <f>+-74.98</f>
        <v>-74.98</v>
      </c>
      <c r="K623" t="str">
        <f t="shared" si="35"/>
        <v>mars</v>
      </c>
      <c r="L623" t="str">
        <f t="shared" si="36"/>
        <v>Dépenses</v>
      </c>
    </row>
    <row r="624" spans="1:12" ht="11.25" customHeight="1" x14ac:dyDescent="0.2">
      <c r="A624" t="s">
        <v>2</v>
      </c>
      <c r="B624" t="s">
        <v>3</v>
      </c>
      <c r="C624" t="s">
        <v>637</v>
      </c>
      <c r="D624" s="2">
        <v>43554</v>
      </c>
      <c r="E624" s="2">
        <f t="shared" si="38"/>
        <v>43596</v>
      </c>
      <c r="F624" t="s">
        <v>5</v>
      </c>
      <c r="G624" t="s">
        <v>5</v>
      </c>
      <c r="H624" t="s">
        <v>23</v>
      </c>
      <c r="I624" t="s">
        <v>7</v>
      </c>
      <c r="J624" s="22">
        <v>-38.56</v>
      </c>
      <c r="K624" t="str">
        <f t="shared" si="35"/>
        <v>mars</v>
      </c>
      <c r="L624" t="str">
        <f t="shared" si="36"/>
        <v>Dépenses</v>
      </c>
    </row>
    <row r="625" spans="1:12" ht="15" customHeight="1" x14ac:dyDescent="0.2">
      <c r="A625" t="s">
        <v>2</v>
      </c>
      <c r="B625" t="s">
        <v>8</v>
      </c>
      <c r="D625" s="2">
        <v>43555</v>
      </c>
      <c r="E625" s="2">
        <f t="shared" si="38"/>
        <v>43596</v>
      </c>
      <c r="F625" t="s">
        <v>643</v>
      </c>
      <c r="G625" t="s">
        <v>25</v>
      </c>
      <c r="H625" t="s">
        <v>139</v>
      </c>
      <c r="I625" t="s">
        <v>7</v>
      </c>
      <c r="J625" s="22">
        <v>-24</v>
      </c>
      <c r="K625" t="str">
        <f t="shared" si="35"/>
        <v>mars</v>
      </c>
      <c r="L625" t="str">
        <f t="shared" si="36"/>
        <v>Dépenses</v>
      </c>
    </row>
    <row r="626" spans="1:12" ht="15" customHeight="1" x14ac:dyDescent="0.2">
      <c r="A626" t="s">
        <v>2</v>
      </c>
      <c r="B626" t="s">
        <v>8</v>
      </c>
      <c r="D626" s="2">
        <v>43555</v>
      </c>
      <c r="E626" s="2">
        <f t="shared" si="38"/>
        <v>43596</v>
      </c>
      <c r="F626" t="s">
        <v>32</v>
      </c>
      <c r="G626" t="s">
        <v>5</v>
      </c>
      <c r="H626" t="s">
        <v>33</v>
      </c>
      <c r="I626" t="s">
        <v>7</v>
      </c>
      <c r="J626" s="22">
        <v>-4.2</v>
      </c>
      <c r="K626" t="str">
        <f t="shared" si="35"/>
        <v>mars</v>
      </c>
      <c r="L626" t="str">
        <f t="shared" si="36"/>
        <v>Dépenses</v>
      </c>
    </row>
    <row r="627" spans="1:12" ht="15" customHeight="1" x14ac:dyDescent="0.2">
      <c r="A627" t="s">
        <v>2</v>
      </c>
      <c r="B627" t="s">
        <v>8</v>
      </c>
      <c r="D627" s="2">
        <v>43555</v>
      </c>
      <c r="E627" s="2">
        <f t="shared" si="38"/>
        <v>43596</v>
      </c>
      <c r="F627" t="s">
        <v>5</v>
      </c>
      <c r="G627" t="s">
        <v>5</v>
      </c>
      <c r="H627" t="s">
        <v>50</v>
      </c>
      <c r="I627" t="s">
        <v>7</v>
      </c>
      <c r="J627" s="22">
        <v>-16.329999999999998</v>
      </c>
      <c r="K627" t="str">
        <f t="shared" si="35"/>
        <v>mars</v>
      </c>
      <c r="L627" t="str">
        <f t="shared" si="36"/>
        <v>Dépenses</v>
      </c>
    </row>
    <row r="628" spans="1:12" ht="15" customHeight="1" x14ac:dyDescent="0.2">
      <c r="A628" t="s">
        <v>2</v>
      </c>
      <c r="B628" t="s">
        <v>8</v>
      </c>
      <c r="D628" s="2">
        <v>43555</v>
      </c>
      <c r="E628" s="2">
        <f t="shared" si="38"/>
        <v>43596</v>
      </c>
      <c r="F628" t="s">
        <v>645</v>
      </c>
      <c r="G628" t="s">
        <v>10</v>
      </c>
      <c r="H628" t="s">
        <v>315</v>
      </c>
      <c r="I628" t="s">
        <v>7</v>
      </c>
      <c r="J628" s="22">
        <v>-7.9</v>
      </c>
      <c r="K628" t="str">
        <f t="shared" si="35"/>
        <v>mars</v>
      </c>
      <c r="L628" t="str">
        <f t="shared" si="36"/>
        <v>Dépenses</v>
      </c>
    </row>
    <row r="629" spans="1:12" ht="15" customHeight="1" x14ac:dyDescent="0.2">
      <c r="A629" t="s">
        <v>77</v>
      </c>
      <c r="B629" t="s">
        <v>77</v>
      </c>
      <c r="D629" s="2">
        <v>43555</v>
      </c>
      <c r="E629" s="2">
        <f t="shared" si="38"/>
        <v>43555</v>
      </c>
      <c r="F629" t="s">
        <v>644</v>
      </c>
      <c r="G629" t="s">
        <v>79</v>
      </c>
      <c r="H629" t="s">
        <v>80</v>
      </c>
      <c r="I629" t="s">
        <v>7</v>
      </c>
      <c r="J629" s="22">
        <v>70</v>
      </c>
      <c r="K629" t="str">
        <f t="shared" si="35"/>
        <v>mars</v>
      </c>
      <c r="L629" t="str">
        <f t="shared" si="36"/>
        <v>Recettes</v>
      </c>
    </row>
    <row r="630" spans="1:12" ht="15" customHeight="1" x14ac:dyDescent="0.2">
      <c r="A630" t="s">
        <v>69</v>
      </c>
      <c r="B630" s="4" t="s">
        <v>70</v>
      </c>
      <c r="C630" s="7" t="s">
        <v>546</v>
      </c>
      <c r="D630" s="2">
        <v>43555</v>
      </c>
      <c r="E630" s="2">
        <f t="shared" si="38"/>
        <v>43555</v>
      </c>
      <c r="F630" t="s">
        <v>327</v>
      </c>
      <c r="G630" t="s">
        <v>328</v>
      </c>
      <c r="H630" t="s">
        <v>329</v>
      </c>
      <c r="I630" t="s">
        <v>7</v>
      </c>
      <c r="J630" s="22">
        <v>-12</v>
      </c>
      <c r="K630" t="str">
        <f t="shared" si="35"/>
        <v>mars</v>
      </c>
      <c r="L630" t="str">
        <f t="shared" si="36"/>
        <v>Dépenses</v>
      </c>
    </row>
    <row r="631" spans="1:12" ht="15" customHeight="1" x14ac:dyDescent="0.2">
      <c r="A631" t="s">
        <v>2</v>
      </c>
      <c r="B631" t="s">
        <v>8</v>
      </c>
      <c r="D631" s="2">
        <v>43556</v>
      </c>
      <c r="E631" s="2">
        <f t="shared" si="38"/>
        <v>43596</v>
      </c>
      <c r="F631" t="s">
        <v>654</v>
      </c>
      <c r="G631" t="s">
        <v>16</v>
      </c>
      <c r="H631" t="s">
        <v>655</v>
      </c>
      <c r="I631" t="s">
        <v>487</v>
      </c>
      <c r="J631" s="22">
        <v>-86.4</v>
      </c>
      <c r="K631" t="str">
        <f t="shared" si="35"/>
        <v>avril</v>
      </c>
      <c r="L631" t="str">
        <f t="shared" si="36"/>
        <v>Dépenses</v>
      </c>
    </row>
    <row r="632" spans="1:12" ht="15" customHeight="1" x14ac:dyDescent="0.2">
      <c r="A632" t="s">
        <v>2</v>
      </c>
      <c r="B632" t="s">
        <v>8</v>
      </c>
      <c r="D632" s="2">
        <v>43556</v>
      </c>
      <c r="E632" s="2">
        <f t="shared" si="38"/>
        <v>43596</v>
      </c>
      <c r="F632" t="s">
        <v>656</v>
      </c>
      <c r="G632" t="s">
        <v>16</v>
      </c>
      <c r="H632" t="s">
        <v>657</v>
      </c>
      <c r="I632" t="s">
        <v>487</v>
      </c>
      <c r="J632" s="22">
        <f>-3*20.5-14.5</f>
        <v>-76</v>
      </c>
      <c r="K632" t="str">
        <f t="shared" si="35"/>
        <v>avril</v>
      </c>
      <c r="L632" t="str">
        <f t="shared" si="36"/>
        <v>Dépenses</v>
      </c>
    </row>
    <row r="633" spans="1:12" ht="15" customHeight="1" x14ac:dyDescent="0.2">
      <c r="A633" t="s">
        <v>2</v>
      </c>
      <c r="B633" t="s">
        <v>3</v>
      </c>
      <c r="C633" s="1" t="s">
        <v>646</v>
      </c>
      <c r="D633" s="2">
        <v>43556</v>
      </c>
      <c r="E633" s="2">
        <f t="shared" si="38"/>
        <v>43596</v>
      </c>
      <c r="F633" t="s">
        <v>5</v>
      </c>
      <c r="G633" t="s">
        <v>5</v>
      </c>
      <c r="H633" t="s">
        <v>23</v>
      </c>
      <c r="I633" t="s">
        <v>487</v>
      </c>
      <c r="J633" s="22">
        <v>-32.270000000000003</v>
      </c>
      <c r="K633" t="str">
        <f t="shared" si="35"/>
        <v>avril</v>
      </c>
      <c r="L633" t="str">
        <f t="shared" si="36"/>
        <v>Dépenses</v>
      </c>
    </row>
    <row r="634" spans="1:12" ht="15" customHeight="1" x14ac:dyDescent="0.2">
      <c r="A634" t="s">
        <v>108</v>
      </c>
      <c r="B634" t="s">
        <v>109</v>
      </c>
      <c r="D634" s="2">
        <v>43556</v>
      </c>
      <c r="E634" s="2">
        <f t="shared" si="38"/>
        <v>43556</v>
      </c>
      <c r="F634" t="s">
        <v>136</v>
      </c>
      <c r="G634" t="s">
        <v>5</v>
      </c>
      <c r="H634" t="s">
        <v>604</v>
      </c>
      <c r="I634" t="s">
        <v>7</v>
      </c>
      <c r="J634" s="22">
        <v>-9.35</v>
      </c>
      <c r="K634" t="str">
        <f t="shared" si="35"/>
        <v>avril</v>
      </c>
      <c r="L634" t="str">
        <f t="shared" si="36"/>
        <v>Dépenses</v>
      </c>
    </row>
    <row r="635" spans="1:12" ht="11.25" customHeight="1" x14ac:dyDescent="0.2">
      <c r="A635" t="s">
        <v>108</v>
      </c>
      <c r="B635" s="4" t="s">
        <v>70</v>
      </c>
      <c r="C635" s="7" t="s">
        <v>649</v>
      </c>
      <c r="D635" s="2">
        <v>43556</v>
      </c>
      <c r="E635" s="2">
        <f t="shared" si="38"/>
        <v>43556</v>
      </c>
      <c r="F635" t="s">
        <v>184</v>
      </c>
      <c r="G635" t="s">
        <v>106</v>
      </c>
      <c r="H635" t="s">
        <v>185</v>
      </c>
      <c r="I635" t="s">
        <v>7</v>
      </c>
      <c r="J635" s="23">
        <v>-0.99</v>
      </c>
      <c r="K635" t="str">
        <f t="shared" si="35"/>
        <v>avril</v>
      </c>
      <c r="L635" t="str">
        <f t="shared" si="36"/>
        <v>Dépenses</v>
      </c>
    </row>
    <row r="636" spans="1:12" ht="11.25" customHeight="1" x14ac:dyDescent="0.2">
      <c r="A636" t="s">
        <v>69</v>
      </c>
      <c r="B636" s="4" t="s">
        <v>70</v>
      </c>
      <c r="C636" s="5" t="s">
        <v>652</v>
      </c>
      <c r="D636" s="2">
        <v>43556</v>
      </c>
      <c r="E636" s="2">
        <f t="shared" ref="E636:E667" si="39">IF(A636="","",IF(A636&lt;&gt;"Carte Lux",D636,VLOOKUP(D636,Periode_datedebit_2019,3)))</f>
        <v>43556</v>
      </c>
      <c r="F636" t="s">
        <v>72</v>
      </c>
      <c r="G636" t="s">
        <v>73</v>
      </c>
      <c r="H636" t="s">
        <v>74</v>
      </c>
      <c r="I636" t="s">
        <v>7</v>
      </c>
      <c r="J636" s="23">
        <v>-500</v>
      </c>
      <c r="K636" t="str">
        <f t="shared" si="35"/>
        <v>avril</v>
      </c>
      <c r="L636" t="str">
        <f t="shared" si="36"/>
        <v>Dépenses</v>
      </c>
    </row>
    <row r="637" spans="1:12" ht="11.25" customHeight="1" x14ac:dyDescent="0.2">
      <c r="A637" t="s">
        <v>75</v>
      </c>
      <c r="B637" s="4" t="s">
        <v>70</v>
      </c>
      <c r="C637" s="5" t="s">
        <v>652</v>
      </c>
      <c r="D637" s="2">
        <v>43556</v>
      </c>
      <c r="E637" s="2">
        <f t="shared" si="39"/>
        <v>43556</v>
      </c>
      <c r="F637" t="s">
        <v>72</v>
      </c>
      <c r="G637" t="s">
        <v>76</v>
      </c>
      <c r="H637" t="s">
        <v>74</v>
      </c>
      <c r="I637" t="s">
        <v>7</v>
      </c>
      <c r="J637" s="23">
        <v>500</v>
      </c>
      <c r="K637" t="str">
        <f t="shared" si="35"/>
        <v>avril</v>
      </c>
      <c r="L637" t="str">
        <f t="shared" si="36"/>
        <v>Recettes</v>
      </c>
    </row>
    <row r="638" spans="1:12" ht="14.25" x14ac:dyDescent="0.2">
      <c r="A638" t="s">
        <v>75</v>
      </c>
      <c r="B638" s="4" t="s">
        <v>70</v>
      </c>
      <c r="C638" s="5" t="s">
        <v>652</v>
      </c>
      <c r="D638" s="2">
        <v>43556</v>
      </c>
      <c r="E638" s="2">
        <f t="shared" si="39"/>
        <v>43556</v>
      </c>
      <c r="F638" s="9" t="s">
        <v>653</v>
      </c>
      <c r="G638" t="s">
        <v>86</v>
      </c>
      <c r="H638" t="s">
        <v>74</v>
      </c>
      <c r="I638" t="s">
        <v>7</v>
      </c>
      <c r="J638" s="23">
        <v>-30.69</v>
      </c>
      <c r="K638" t="str">
        <f t="shared" si="35"/>
        <v>avril</v>
      </c>
      <c r="L638" t="str">
        <f t="shared" si="36"/>
        <v>Dépenses</v>
      </c>
    </row>
    <row r="639" spans="1:12" ht="15" customHeight="1" x14ac:dyDescent="0.2">
      <c r="A639" t="s">
        <v>658</v>
      </c>
      <c r="B639" t="s">
        <v>70</v>
      </c>
      <c r="D639" s="2">
        <v>43556</v>
      </c>
      <c r="E639" s="2">
        <f t="shared" si="39"/>
        <v>43556</v>
      </c>
      <c r="F639" t="s">
        <v>659</v>
      </c>
      <c r="G639" t="s">
        <v>76</v>
      </c>
      <c r="H639" t="s">
        <v>87</v>
      </c>
      <c r="I639" t="s">
        <v>487</v>
      </c>
      <c r="J639" s="22">
        <v>-15</v>
      </c>
      <c r="K639" t="str">
        <f t="shared" si="35"/>
        <v>avril</v>
      </c>
      <c r="L639" t="str">
        <f t="shared" si="36"/>
        <v>Dépenses</v>
      </c>
    </row>
    <row r="640" spans="1:12" ht="15" customHeight="1" x14ac:dyDescent="0.2">
      <c r="A640" t="s">
        <v>660</v>
      </c>
      <c r="B640" t="s">
        <v>70</v>
      </c>
      <c r="D640" s="2">
        <v>43556</v>
      </c>
      <c r="E640" s="2">
        <f t="shared" si="39"/>
        <v>43556</v>
      </c>
      <c r="F640" t="s">
        <v>661</v>
      </c>
      <c r="G640" t="s">
        <v>76</v>
      </c>
      <c r="H640" t="s">
        <v>87</v>
      </c>
      <c r="I640" t="s">
        <v>487</v>
      </c>
      <c r="J640" s="22">
        <v>-15</v>
      </c>
      <c r="K640" t="str">
        <f t="shared" si="35"/>
        <v>avril</v>
      </c>
      <c r="L640" t="str">
        <f t="shared" si="36"/>
        <v>Dépenses</v>
      </c>
    </row>
    <row r="641" spans="1:12" ht="15" customHeight="1" x14ac:dyDescent="0.2">
      <c r="A641" t="s">
        <v>94</v>
      </c>
      <c r="B641" t="s">
        <v>84</v>
      </c>
      <c r="D641" s="2">
        <v>43556</v>
      </c>
      <c r="E641" s="2">
        <f t="shared" si="39"/>
        <v>43556</v>
      </c>
      <c r="F641" t="s">
        <v>650</v>
      </c>
      <c r="G641" t="s">
        <v>39</v>
      </c>
      <c r="H641" t="s">
        <v>651</v>
      </c>
      <c r="I641" t="s">
        <v>487</v>
      </c>
      <c r="J641" s="22">
        <v>-2063.7800000000002</v>
      </c>
      <c r="K641" t="str">
        <f t="shared" si="35"/>
        <v>avril</v>
      </c>
      <c r="L641" t="str">
        <f t="shared" si="36"/>
        <v>Dépenses</v>
      </c>
    </row>
    <row r="642" spans="1:12" ht="15" customHeight="1" x14ac:dyDescent="0.2">
      <c r="A642" t="s">
        <v>108</v>
      </c>
      <c r="D642" s="2">
        <v>43556</v>
      </c>
      <c r="E642" s="2">
        <f t="shared" si="39"/>
        <v>43556</v>
      </c>
      <c r="F642" t="s">
        <v>647</v>
      </c>
      <c r="G642" t="s">
        <v>118</v>
      </c>
      <c r="H642" t="s">
        <v>648</v>
      </c>
      <c r="I642" t="s">
        <v>7</v>
      </c>
      <c r="J642" s="22">
        <v>-19.899999999999999</v>
      </c>
      <c r="K642" t="str">
        <f t="shared" ref="K642:K705" si="40">IF(D642="","",TEXT(D642,"Mmmm"))</f>
        <v>avril</v>
      </c>
      <c r="L642" t="str">
        <f t="shared" ref="L642:L705" si="41">IF(J642="","",IF(J642&lt;0,"Dépenses","Recettes"))</f>
        <v>Dépenses</v>
      </c>
    </row>
    <row r="643" spans="1:12" ht="15" customHeight="1" x14ac:dyDescent="0.2">
      <c r="A643" t="s">
        <v>2</v>
      </c>
      <c r="B643" t="s">
        <v>8</v>
      </c>
      <c r="D643" s="2">
        <v>43557</v>
      </c>
      <c r="E643" s="2">
        <f t="shared" si="39"/>
        <v>43596</v>
      </c>
      <c r="F643" t="s">
        <v>286</v>
      </c>
      <c r="G643" t="s">
        <v>13</v>
      </c>
      <c r="H643" t="s">
        <v>114</v>
      </c>
      <c r="I643" t="s">
        <v>7</v>
      </c>
      <c r="J643" s="22">
        <v>-20</v>
      </c>
      <c r="K643" t="str">
        <f t="shared" si="40"/>
        <v>avril</v>
      </c>
      <c r="L643" t="str">
        <f t="shared" si="41"/>
        <v>Dépenses</v>
      </c>
    </row>
    <row r="644" spans="1:12" ht="11.25" customHeight="1" x14ac:dyDescent="0.2">
      <c r="A644" t="s">
        <v>2</v>
      </c>
      <c r="B644" t="s">
        <v>8</v>
      </c>
      <c r="C644" t="s">
        <v>669</v>
      </c>
      <c r="D644" s="2">
        <v>43557</v>
      </c>
      <c r="E644" s="2">
        <f t="shared" si="39"/>
        <v>43596</v>
      </c>
      <c r="F644" t="s">
        <v>32</v>
      </c>
      <c r="G644" t="s">
        <v>5</v>
      </c>
      <c r="H644" t="s">
        <v>348</v>
      </c>
      <c r="I644" t="s">
        <v>487</v>
      </c>
      <c r="J644" s="22">
        <v>-1.1499999999999999</v>
      </c>
      <c r="K644" t="str">
        <f t="shared" si="40"/>
        <v>avril</v>
      </c>
      <c r="L644" t="str">
        <f t="shared" si="41"/>
        <v>Dépenses</v>
      </c>
    </row>
    <row r="645" spans="1:12" ht="15" customHeight="1" x14ac:dyDescent="0.2">
      <c r="A645" t="s">
        <v>2</v>
      </c>
      <c r="B645" t="s">
        <v>8</v>
      </c>
      <c r="C645" t="s">
        <v>669</v>
      </c>
      <c r="D645" s="2">
        <v>43557</v>
      </c>
      <c r="E645" s="2">
        <f t="shared" si="39"/>
        <v>43596</v>
      </c>
      <c r="F645" t="s">
        <v>670</v>
      </c>
      <c r="G645" t="s">
        <v>457</v>
      </c>
      <c r="H645" t="s">
        <v>348</v>
      </c>
      <c r="I645" t="s">
        <v>7</v>
      </c>
      <c r="J645" s="22">
        <v>-1.28</v>
      </c>
      <c r="K645" t="str">
        <f t="shared" si="40"/>
        <v>avril</v>
      </c>
      <c r="L645" t="str">
        <f t="shared" si="41"/>
        <v>Dépenses</v>
      </c>
    </row>
    <row r="646" spans="1:12" ht="11.25" customHeight="1" x14ac:dyDescent="0.2">
      <c r="A646" t="s">
        <v>2</v>
      </c>
      <c r="B646" t="s">
        <v>3</v>
      </c>
      <c r="D646" s="2">
        <v>43557</v>
      </c>
      <c r="E646" s="2">
        <f t="shared" si="39"/>
        <v>43596</v>
      </c>
      <c r="F646" t="s">
        <v>177</v>
      </c>
      <c r="G646" t="s">
        <v>111</v>
      </c>
      <c r="H646" t="s">
        <v>178</v>
      </c>
      <c r="I646" t="s">
        <v>7</v>
      </c>
      <c r="J646" s="22">
        <v>-38</v>
      </c>
      <c r="K646" t="str">
        <f t="shared" si="40"/>
        <v>avril</v>
      </c>
      <c r="L646" t="str">
        <f t="shared" si="41"/>
        <v>Dépenses</v>
      </c>
    </row>
    <row r="647" spans="1:12" ht="15" customHeight="1" x14ac:dyDescent="0.2">
      <c r="A647" t="s">
        <v>108</v>
      </c>
      <c r="B647" t="s">
        <v>109</v>
      </c>
      <c r="C647" t="s">
        <v>662</v>
      </c>
      <c r="D647" s="2">
        <v>43557</v>
      </c>
      <c r="E647" s="2">
        <f t="shared" si="39"/>
        <v>43557</v>
      </c>
      <c r="F647" t="s">
        <v>21</v>
      </c>
      <c r="G647" t="s">
        <v>21</v>
      </c>
      <c r="H647" t="s">
        <v>64</v>
      </c>
      <c r="I647" t="s">
        <v>7</v>
      </c>
      <c r="J647" s="22">
        <v>-14.7</v>
      </c>
      <c r="K647" t="str">
        <f t="shared" si="40"/>
        <v>avril</v>
      </c>
      <c r="L647" t="str">
        <f t="shared" si="41"/>
        <v>Dépenses</v>
      </c>
    </row>
    <row r="648" spans="1:12" ht="15" customHeight="1" x14ac:dyDescent="0.2">
      <c r="A648" t="s">
        <v>108</v>
      </c>
      <c r="B648" t="s">
        <v>109</v>
      </c>
      <c r="C648" t="s">
        <v>662</v>
      </c>
      <c r="D648" s="2">
        <v>43557</v>
      </c>
      <c r="E648" s="2">
        <f t="shared" si="39"/>
        <v>43557</v>
      </c>
      <c r="F648" t="s">
        <v>338</v>
      </c>
      <c r="G648" t="s">
        <v>63</v>
      </c>
      <c r="H648" t="s">
        <v>64</v>
      </c>
      <c r="I648" t="s">
        <v>7</v>
      </c>
      <c r="J648" s="22">
        <f>-44.7--14.7</f>
        <v>-30.000000000000004</v>
      </c>
      <c r="K648" t="str">
        <f t="shared" si="40"/>
        <v>avril</v>
      </c>
      <c r="L648" t="str">
        <f t="shared" si="41"/>
        <v>Dépenses</v>
      </c>
    </row>
    <row r="649" spans="1:12" x14ac:dyDescent="0.2">
      <c r="A649" t="s">
        <v>108</v>
      </c>
      <c r="B649" t="s">
        <v>109</v>
      </c>
      <c r="D649" s="2">
        <v>43557</v>
      </c>
      <c r="E649" s="2">
        <f t="shared" si="39"/>
        <v>43557</v>
      </c>
      <c r="F649" t="s">
        <v>5</v>
      </c>
      <c r="G649" t="s">
        <v>5</v>
      </c>
      <c r="H649" t="s">
        <v>23</v>
      </c>
      <c r="I649" t="s">
        <v>7</v>
      </c>
      <c r="J649" s="22">
        <v>-15.07</v>
      </c>
      <c r="K649" t="str">
        <f t="shared" si="40"/>
        <v>avril</v>
      </c>
      <c r="L649" t="str">
        <f t="shared" si="41"/>
        <v>Dépenses</v>
      </c>
    </row>
    <row r="650" spans="1:12" ht="11.25" customHeight="1" x14ac:dyDescent="0.2">
      <c r="A650" t="s">
        <v>108</v>
      </c>
      <c r="B650" s="4" t="s">
        <v>70</v>
      </c>
      <c r="C650" s="5" t="s">
        <v>663</v>
      </c>
      <c r="D650" s="2">
        <v>43557</v>
      </c>
      <c r="E650" s="2">
        <f t="shared" si="39"/>
        <v>43557</v>
      </c>
      <c r="F650" t="s">
        <v>664</v>
      </c>
      <c r="G650" t="s">
        <v>86</v>
      </c>
      <c r="H650" t="s">
        <v>87</v>
      </c>
      <c r="I650" t="s">
        <v>7</v>
      </c>
      <c r="J650" s="22">
        <v>-6.72</v>
      </c>
      <c r="K650" t="str">
        <f t="shared" si="40"/>
        <v>avril</v>
      </c>
      <c r="L650" t="str">
        <f t="shared" si="41"/>
        <v>Dépenses</v>
      </c>
    </row>
    <row r="651" spans="1:12" ht="11.25" customHeight="1" x14ac:dyDescent="0.2">
      <c r="A651" t="s">
        <v>108</v>
      </c>
      <c r="B651" s="4" t="s">
        <v>70</v>
      </c>
      <c r="C651" s="5" t="s">
        <v>663</v>
      </c>
      <c r="D651" s="2">
        <v>43557</v>
      </c>
      <c r="E651" s="2">
        <f t="shared" si="39"/>
        <v>43557</v>
      </c>
      <c r="F651" t="s">
        <v>96</v>
      </c>
      <c r="G651" t="s">
        <v>86</v>
      </c>
      <c r="H651" t="s">
        <v>87</v>
      </c>
      <c r="I651" t="s">
        <v>7</v>
      </c>
      <c r="J651" s="22">
        <v>-6.72</v>
      </c>
      <c r="K651" t="str">
        <f t="shared" si="40"/>
        <v>avril</v>
      </c>
      <c r="L651" t="str">
        <f t="shared" si="41"/>
        <v>Dépenses</v>
      </c>
    </row>
    <row r="652" spans="1:12" ht="11.25" customHeight="1" x14ac:dyDescent="0.2">
      <c r="A652" t="s">
        <v>94</v>
      </c>
      <c r="B652" s="4" t="s">
        <v>70</v>
      </c>
      <c r="C652" s="5" t="s">
        <v>665</v>
      </c>
      <c r="D652" s="2">
        <v>43557</v>
      </c>
      <c r="E652" s="2">
        <f t="shared" si="39"/>
        <v>43557</v>
      </c>
      <c r="F652" t="s">
        <v>96</v>
      </c>
      <c r="G652" t="s">
        <v>86</v>
      </c>
      <c r="H652" t="s">
        <v>87</v>
      </c>
      <c r="I652" t="s">
        <v>7</v>
      </c>
      <c r="J652" s="22">
        <v>-6.72</v>
      </c>
      <c r="K652" t="str">
        <f t="shared" si="40"/>
        <v>avril</v>
      </c>
      <c r="L652" t="str">
        <f t="shared" si="41"/>
        <v>Dépenses</v>
      </c>
    </row>
    <row r="653" spans="1:12" ht="11.25" customHeight="1" x14ac:dyDescent="0.2">
      <c r="A653" t="s">
        <v>94</v>
      </c>
      <c r="B653" s="4" t="s">
        <v>70</v>
      </c>
      <c r="C653" s="7" t="s">
        <v>666</v>
      </c>
      <c r="D653" s="2">
        <v>43557</v>
      </c>
      <c r="E653" s="2">
        <f t="shared" si="39"/>
        <v>43557</v>
      </c>
      <c r="F653" t="s">
        <v>135</v>
      </c>
      <c r="G653" t="s">
        <v>103</v>
      </c>
      <c r="H653" t="s">
        <v>69</v>
      </c>
      <c r="I653" t="s">
        <v>7</v>
      </c>
      <c r="J653" s="23">
        <v>600</v>
      </c>
      <c r="K653" t="str">
        <f t="shared" si="40"/>
        <v>avril</v>
      </c>
      <c r="L653" t="str">
        <f t="shared" si="41"/>
        <v>Recettes</v>
      </c>
    </row>
    <row r="654" spans="1:12" ht="11.25" customHeight="1" x14ac:dyDescent="0.2">
      <c r="A654" t="s">
        <v>69</v>
      </c>
      <c r="B654" s="4" t="s">
        <v>70</v>
      </c>
      <c r="C654" s="7" t="s">
        <v>667</v>
      </c>
      <c r="D654" s="2">
        <v>43557</v>
      </c>
      <c r="E654" s="2">
        <f t="shared" si="39"/>
        <v>43557</v>
      </c>
      <c r="F654" t="s">
        <v>98</v>
      </c>
      <c r="G654" t="s">
        <v>73</v>
      </c>
      <c r="H654" t="s">
        <v>74</v>
      </c>
      <c r="I654" t="s">
        <v>487</v>
      </c>
      <c r="J654" s="23">
        <v>-597</v>
      </c>
      <c r="K654" t="str">
        <f t="shared" si="40"/>
        <v>avril</v>
      </c>
      <c r="L654" t="str">
        <f t="shared" si="41"/>
        <v>Dépenses</v>
      </c>
    </row>
    <row r="655" spans="1:12" ht="11.25" customHeight="1" x14ac:dyDescent="0.2">
      <c r="A655" t="s">
        <v>69</v>
      </c>
      <c r="B655" s="4" t="s">
        <v>70</v>
      </c>
      <c r="C655" s="7" t="s">
        <v>668</v>
      </c>
      <c r="D655" s="2">
        <v>43557</v>
      </c>
      <c r="E655" s="2">
        <f t="shared" si="39"/>
        <v>43557</v>
      </c>
      <c r="F655" t="s">
        <v>100</v>
      </c>
      <c r="G655" t="s">
        <v>73</v>
      </c>
      <c r="H655" t="s">
        <v>74</v>
      </c>
      <c r="I655" t="s">
        <v>7</v>
      </c>
      <c r="J655" s="23">
        <v>-120</v>
      </c>
      <c r="K655" t="str">
        <f t="shared" si="40"/>
        <v>avril</v>
      </c>
      <c r="L655" t="str">
        <f t="shared" si="41"/>
        <v>Dépenses</v>
      </c>
    </row>
    <row r="656" spans="1:12" ht="11.25" customHeight="1" x14ac:dyDescent="0.2">
      <c r="A656" t="s">
        <v>69</v>
      </c>
      <c r="B656" s="4" t="s">
        <v>70</v>
      </c>
      <c r="C656" s="7" t="s">
        <v>666</v>
      </c>
      <c r="D656" s="2">
        <v>43557</v>
      </c>
      <c r="E656" s="2">
        <f t="shared" si="39"/>
        <v>43557</v>
      </c>
      <c r="F656" t="s">
        <v>102</v>
      </c>
      <c r="G656" t="s">
        <v>103</v>
      </c>
      <c r="H656" t="s">
        <v>94</v>
      </c>
      <c r="I656" t="s">
        <v>7</v>
      </c>
      <c r="J656" s="23">
        <v>-600</v>
      </c>
      <c r="K656" t="str">
        <f t="shared" si="40"/>
        <v>avril</v>
      </c>
      <c r="L656" t="str">
        <f t="shared" si="41"/>
        <v>Dépenses</v>
      </c>
    </row>
    <row r="657" spans="1:12" x14ac:dyDescent="0.2">
      <c r="A657" t="s">
        <v>2</v>
      </c>
      <c r="B657" t="s">
        <v>8</v>
      </c>
      <c r="D657" s="2">
        <v>43558</v>
      </c>
      <c r="E657" s="2">
        <f t="shared" si="39"/>
        <v>43596</v>
      </c>
      <c r="F657" t="s">
        <v>630</v>
      </c>
      <c r="G657" t="s">
        <v>5</v>
      </c>
      <c r="H657" t="s">
        <v>22</v>
      </c>
      <c r="I657" t="s">
        <v>7</v>
      </c>
      <c r="J657" s="22">
        <v>-12.85</v>
      </c>
      <c r="K657" t="str">
        <f t="shared" si="40"/>
        <v>avril</v>
      </c>
      <c r="L657" t="str">
        <f t="shared" si="41"/>
        <v>Dépenses</v>
      </c>
    </row>
    <row r="658" spans="1:12" x14ac:dyDescent="0.2">
      <c r="A658" t="s">
        <v>2</v>
      </c>
      <c r="B658" t="s">
        <v>3</v>
      </c>
      <c r="C658" s="1" t="s">
        <v>673</v>
      </c>
      <c r="D658" s="2">
        <v>43558</v>
      </c>
      <c r="E658" s="2">
        <f t="shared" si="39"/>
        <v>43596</v>
      </c>
      <c r="F658" t="s">
        <v>281</v>
      </c>
      <c r="G658" t="s">
        <v>49</v>
      </c>
      <c r="H658" t="s">
        <v>517</v>
      </c>
      <c r="I658" t="s">
        <v>7</v>
      </c>
      <c r="J658" s="22">
        <v>-5.15</v>
      </c>
      <c r="K658" t="str">
        <f t="shared" si="40"/>
        <v>avril</v>
      </c>
      <c r="L658" t="str">
        <f t="shared" si="41"/>
        <v>Dépenses</v>
      </c>
    </row>
    <row r="659" spans="1:12" x14ac:dyDescent="0.2">
      <c r="A659" t="s">
        <v>2</v>
      </c>
      <c r="B659" t="s">
        <v>3</v>
      </c>
      <c r="C659" s="1" t="s">
        <v>673</v>
      </c>
      <c r="D659" s="2">
        <v>43558</v>
      </c>
      <c r="E659" s="2">
        <f t="shared" si="39"/>
        <v>43596</v>
      </c>
      <c r="F659" t="s">
        <v>5</v>
      </c>
      <c r="G659" t="s">
        <v>5</v>
      </c>
      <c r="H659" t="s">
        <v>517</v>
      </c>
      <c r="I659" t="s">
        <v>7</v>
      </c>
      <c r="J659" s="22">
        <f>-55.86--5.15</f>
        <v>-50.71</v>
      </c>
      <c r="K659" t="str">
        <f t="shared" si="40"/>
        <v>avril</v>
      </c>
      <c r="L659" t="str">
        <f t="shared" si="41"/>
        <v>Dépenses</v>
      </c>
    </row>
    <row r="660" spans="1:12" ht="15" customHeight="1" x14ac:dyDescent="0.2">
      <c r="A660" t="s">
        <v>108</v>
      </c>
      <c r="B660" t="s">
        <v>109</v>
      </c>
      <c r="D660" s="2">
        <v>43558</v>
      </c>
      <c r="E660" s="2">
        <f t="shared" si="39"/>
        <v>43558</v>
      </c>
      <c r="F660" t="s">
        <v>5</v>
      </c>
      <c r="G660" t="s">
        <v>5</v>
      </c>
      <c r="H660" t="s">
        <v>23</v>
      </c>
      <c r="I660" t="s">
        <v>7</v>
      </c>
      <c r="J660" s="22">
        <v>-3.25</v>
      </c>
      <c r="K660" t="str">
        <f t="shared" si="40"/>
        <v>avril</v>
      </c>
      <c r="L660" t="str">
        <f t="shared" si="41"/>
        <v>Dépenses</v>
      </c>
    </row>
    <row r="661" spans="1:12" ht="11.25" customHeight="1" x14ac:dyDescent="0.2">
      <c r="A661" t="s">
        <v>108</v>
      </c>
      <c r="B661" t="s">
        <v>109</v>
      </c>
      <c r="C661" s="7"/>
      <c r="D661" s="2">
        <v>43558</v>
      </c>
      <c r="E661" s="2">
        <f t="shared" si="39"/>
        <v>43558</v>
      </c>
      <c r="F661" t="s">
        <v>5</v>
      </c>
      <c r="G661" t="s">
        <v>5</v>
      </c>
      <c r="H661" t="s">
        <v>23</v>
      </c>
      <c r="I661" t="s">
        <v>7</v>
      </c>
      <c r="J661" s="23">
        <v>-1.25</v>
      </c>
      <c r="K661" t="str">
        <f t="shared" si="40"/>
        <v>avril</v>
      </c>
      <c r="L661" t="str">
        <f t="shared" si="41"/>
        <v>Dépenses</v>
      </c>
    </row>
    <row r="662" spans="1:12" x14ac:dyDescent="0.2">
      <c r="A662" t="s">
        <v>108</v>
      </c>
      <c r="B662" t="s">
        <v>287</v>
      </c>
      <c r="C662" t="s">
        <v>671</v>
      </c>
      <c r="D662" s="2">
        <v>43558</v>
      </c>
      <c r="E662" s="2">
        <f t="shared" si="39"/>
        <v>43558</v>
      </c>
      <c r="F662" t="s">
        <v>123</v>
      </c>
      <c r="G662" t="s">
        <v>25</v>
      </c>
      <c r="H662" t="s">
        <v>124</v>
      </c>
      <c r="I662" t="s">
        <v>7</v>
      </c>
      <c r="J662" s="22">
        <v>-37.5</v>
      </c>
      <c r="K662" t="str">
        <f t="shared" si="40"/>
        <v>avril</v>
      </c>
      <c r="L662" t="str">
        <f t="shared" si="41"/>
        <v>Dépenses</v>
      </c>
    </row>
    <row r="663" spans="1:12" ht="15" customHeight="1" x14ac:dyDescent="0.2">
      <c r="A663" t="s">
        <v>94</v>
      </c>
      <c r="B663" s="4" t="s">
        <v>70</v>
      </c>
      <c r="C663" s="7" t="s">
        <v>672</v>
      </c>
      <c r="D663" s="2">
        <v>43558</v>
      </c>
      <c r="E663" s="2">
        <f t="shared" si="39"/>
        <v>43558</v>
      </c>
      <c r="F663" t="s">
        <v>175</v>
      </c>
      <c r="G663" t="s">
        <v>172</v>
      </c>
      <c r="H663" t="s">
        <v>176</v>
      </c>
      <c r="I663" t="s">
        <v>7</v>
      </c>
      <c r="J663" s="23">
        <v>-23.99</v>
      </c>
      <c r="K663" t="str">
        <f t="shared" si="40"/>
        <v>avril</v>
      </c>
      <c r="L663" t="str">
        <f t="shared" si="41"/>
        <v>Dépenses</v>
      </c>
    </row>
    <row r="664" spans="1:12" ht="15" customHeight="1" x14ac:dyDescent="0.2">
      <c r="A664" t="s">
        <v>2</v>
      </c>
      <c r="B664" t="s">
        <v>8</v>
      </c>
      <c r="D664" s="2">
        <v>43559</v>
      </c>
      <c r="E664" s="2">
        <f t="shared" si="39"/>
        <v>43596</v>
      </c>
      <c r="F664" t="s">
        <v>21</v>
      </c>
      <c r="G664" t="s">
        <v>21</v>
      </c>
      <c r="H664" t="s">
        <v>675</v>
      </c>
      <c r="I664" t="s">
        <v>7</v>
      </c>
      <c r="J664" s="22">
        <v>-7.39</v>
      </c>
      <c r="K664" t="str">
        <f t="shared" si="40"/>
        <v>avril</v>
      </c>
      <c r="L664" t="str">
        <f t="shared" si="41"/>
        <v>Dépenses</v>
      </c>
    </row>
    <row r="665" spans="1:12" ht="15" customHeight="1" x14ac:dyDescent="0.2">
      <c r="A665" t="s">
        <v>2</v>
      </c>
      <c r="B665" t="s">
        <v>8</v>
      </c>
      <c r="D665" s="2">
        <v>43559</v>
      </c>
      <c r="E665" s="2">
        <f t="shared" si="39"/>
        <v>43596</v>
      </c>
      <c r="F665" t="s">
        <v>286</v>
      </c>
      <c r="G665" t="s">
        <v>13</v>
      </c>
      <c r="H665" t="s">
        <v>114</v>
      </c>
      <c r="I665" t="s">
        <v>7</v>
      </c>
      <c r="J665" s="22">
        <v>-26</v>
      </c>
      <c r="K665" t="str">
        <f t="shared" si="40"/>
        <v>avril</v>
      </c>
      <c r="L665" t="str">
        <f t="shared" si="41"/>
        <v>Dépenses</v>
      </c>
    </row>
    <row r="666" spans="1:12" x14ac:dyDescent="0.2">
      <c r="A666" t="s">
        <v>2</v>
      </c>
      <c r="B666" t="s">
        <v>8</v>
      </c>
      <c r="C666" s="1" t="s">
        <v>676</v>
      </c>
      <c r="D666" s="2">
        <v>43559</v>
      </c>
      <c r="E666" s="2">
        <f t="shared" si="39"/>
        <v>43596</v>
      </c>
      <c r="F666" t="s">
        <v>677</v>
      </c>
      <c r="G666" t="s">
        <v>16</v>
      </c>
      <c r="H666" t="s">
        <v>678</v>
      </c>
      <c r="I666" t="s">
        <v>7</v>
      </c>
      <c r="J666" s="22">
        <v>-50</v>
      </c>
      <c r="K666" t="str">
        <f t="shared" si="40"/>
        <v>avril</v>
      </c>
      <c r="L666" t="str">
        <f t="shared" si="41"/>
        <v>Dépenses</v>
      </c>
    </row>
    <row r="667" spans="1:12" x14ac:dyDescent="0.2">
      <c r="A667" t="s">
        <v>2</v>
      </c>
      <c r="B667" t="s">
        <v>8</v>
      </c>
      <c r="C667" s="1" t="s">
        <v>679</v>
      </c>
      <c r="D667" s="2">
        <v>43559</v>
      </c>
      <c r="E667" s="2">
        <f t="shared" si="39"/>
        <v>43596</v>
      </c>
      <c r="F667" t="s">
        <v>680</v>
      </c>
      <c r="G667" t="s">
        <v>39</v>
      </c>
      <c r="H667" t="s">
        <v>570</v>
      </c>
      <c r="I667" t="s">
        <v>7</v>
      </c>
      <c r="J667" s="22">
        <v>-195</v>
      </c>
      <c r="K667" t="str">
        <f t="shared" si="40"/>
        <v>avril</v>
      </c>
      <c r="L667" t="str">
        <f t="shared" si="41"/>
        <v>Dépenses</v>
      </c>
    </row>
    <row r="668" spans="1:12" ht="11.25" customHeight="1" x14ac:dyDescent="0.2">
      <c r="A668" t="s">
        <v>2</v>
      </c>
      <c r="B668" t="s">
        <v>8</v>
      </c>
      <c r="D668" s="2">
        <v>43559</v>
      </c>
      <c r="E668" s="2">
        <f t="shared" ref="E668:E699" si="42">IF(A668="","",IF(A668&lt;&gt;"Carte Lux",D668,VLOOKUP(D668,Periode_datedebit_2019,3)))</f>
        <v>43596</v>
      </c>
      <c r="F668" t="s">
        <v>5</v>
      </c>
      <c r="G668" t="s">
        <v>5</v>
      </c>
      <c r="H668" t="s">
        <v>517</v>
      </c>
      <c r="I668" t="s">
        <v>7</v>
      </c>
      <c r="J668" s="22">
        <v>-46.87</v>
      </c>
      <c r="K668" t="str">
        <f t="shared" si="40"/>
        <v>avril</v>
      </c>
      <c r="L668" t="str">
        <f t="shared" si="41"/>
        <v>Dépenses</v>
      </c>
    </row>
    <row r="669" spans="1:12" ht="15" customHeight="1" x14ac:dyDescent="0.2">
      <c r="A669" t="s">
        <v>2</v>
      </c>
      <c r="B669" t="s">
        <v>3</v>
      </c>
      <c r="D669" s="2">
        <v>43559</v>
      </c>
      <c r="E669" s="2">
        <f t="shared" si="42"/>
        <v>43596</v>
      </c>
      <c r="F669" t="s">
        <v>473</v>
      </c>
      <c r="G669" t="s">
        <v>118</v>
      </c>
      <c r="H669" t="s">
        <v>474</v>
      </c>
      <c r="I669" t="s">
        <v>7</v>
      </c>
      <c r="J669" s="22">
        <v>-80.5</v>
      </c>
      <c r="K669" t="str">
        <f t="shared" si="40"/>
        <v>avril</v>
      </c>
      <c r="L669" t="str">
        <f t="shared" si="41"/>
        <v>Dépenses</v>
      </c>
    </row>
    <row r="670" spans="1:12" ht="15" customHeight="1" x14ac:dyDescent="0.2">
      <c r="A670" t="s">
        <v>108</v>
      </c>
      <c r="B670" t="s">
        <v>109</v>
      </c>
      <c r="D670" s="2">
        <v>43559</v>
      </c>
      <c r="E670" s="2">
        <f t="shared" si="42"/>
        <v>43559</v>
      </c>
      <c r="F670" t="s">
        <v>681</v>
      </c>
      <c r="G670" t="s">
        <v>28</v>
      </c>
      <c r="H670" t="s">
        <v>682</v>
      </c>
      <c r="I670" t="s">
        <v>7</v>
      </c>
      <c r="J670" s="22">
        <v>-30</v>
      </c>
      <c r="K670" t="str">
        <f t="shared" si="40"/>
        <v>avril</v>
      </c>
      <c r="L670" t="str">
        <f t="shared" si="41"/>
        <v>Dépenses</v>
      </c>
    </row>
    <row r="671" spans="1:12" ht="15" customHeight="1" x14ac:dyDescent="0.2">
      <c r="A671" t="s">
        <v>69</v>
      </c>
      <c r="B671" s="4" t="s">
        <v>70</v>
      </c>
      <c r="C671" s="7" t="s">
        <v>674</v>
      </c>
      <c r="D671" s="2">
        <v>43559</v>
      </c>
      <c r="E671" s="2">
        <f t="shared" si="42"/>
        <v>43559</v>
      </c>
      <c r="F671" t="s">
        <v>105</v>
      </c>
      <c r="G671" t="s">
        <v>106</v>
      </c>
      <c r="H671" t="s">
        <v>107</v>
      </c>
      <c r="I671" t="s">
        <v>7</v>
      </c>
      <c r="J671" s="23">
        <v>-10.99</v>
      </c>
      <c r="K671" t="str">
        <f t="shared" si="40"/>
        <v>avril</v>
      </c>
      <c r="L671" t="str">
        <f t="shared" si="41"/>
        <v>Dépenses</v>
      </c>
    </row>
    <row r="672" spans="1:12" x14ac:dyDescent="0.2">
      <c r="A672" t="s">
        <v>94</v>
      </c>
      <c r="B672" t="s">
        <v>84</v>
      </c>
      <c r="D672" s="2">
        <v>43559</v>
      </c>
      <c r="E672" s="2">
        <f t="shared" si="42"/>
        <v>43559</v>
      </c>
      <c r="F672" t="s">
        <v>644</v>
      </c>
      <c r="G672" t="s">
        <v>79</v>
      </c>
      <c r="H672" t="s">
        <v>570</v>
      </c>
      <c r="I672" t="s">
        <v>7</v>
      </c>
      <c r="J672" s="22">
        <v>70</v>
      </c>
      <c r="K672" t="str">
        <f t="shared" si="40"/>
        <v>avril</v>
      </c>
      <c r="L672" t="str">
        <f t="shared" si="41"/>
        <v>Recettes</v>
      </c>
    </row>
    <row r="673" spans="1:12" ht="15" customHeight="1" x14ac:dyDescent="0.2">
      <c r="A673" t="s">
        <v>2</v>
      </c>
      <c r="B673" t="s">
        <v>8</v>
      </c>
      <c r="D673" s="2">
        <v>43560</v>
      </c>
      <c r="E673" s="2">
        <f t="shared" si="42"/>
        <v>43596</v>
      </c>
      <c r="F673" t="s">
        <v>32</v>
      </c>
      <c r="G673" t="s">
        <v>5</v>
      </c>
      <c r="H673" t="s">
        <v>33</v>
      </c>
      <c r="I673" t="s">
        <v>7</v>
      </c>
      <c r="J673" s="22">
        <v>-2.2000000000000002</v>
      </c>
      <c r="K673" t="str">
        <f t="shared" si="40"/>
        <v>avril</v>
      </c>
      <c r="L673" t="str">
        <f t="shared" si="41"/>
        <v>Dépenses</v>
      </c>
    </row>
    <row r="674" spans="1:12" ht="15" customHeight="1" x14ac:dyDescent="0.2">
      <c r="A674" t="s">
        <v>2</v>
      </c>
      <c r="B674" t="s">
        <v>8</v>
      </c>
      <c r="D674" s="2">
        <v>43560</v>
      </c>
      <c r="E674" s="2">
        <f t="shared" si="42"/>
        <v>43596</v>
      </c>
      <c r="F674" t="s">
        <v>688</v>
      </c>
      <c r="G674" t="s">
        <v>336</v>
      </c>
      <c r="H674" t="s">
        <v>689</v>
      </c>
      <c r="I674" t="s">
        <v>7</v>
      </c>
      <c r="J674" s="22">
        <v>-217.5</v>
      </c>
      <c r="K674" t="str">
        <f t="shared" si="40"/>
        <v>avril</v>
      </c>
      <c r="L674" t="str">
        <f t="shared" si="41"/>
        <v>Dépenses</v>
      </c>
    </row>
    <row r="675" spans="1:12" ht="15" customHeight="1" x14ac:dyDescent="0.2">
      <c r="A675" t="s">
        <v>2</v>
      </c>
      <c r="B675" t="s">
        <v>3</v>
      </c>
      <c r="C675" s="1" t="s">
        <v>690</v>
      </c>
      <c r="D675" s="2">
        <v>43560</v>
      </c>
      <c r="E675" s="2">
        <f t="shared" si="42"/>
        <v>43596</v>
      </c>
      <c r="F675" t="s">
        <v>691</v>
      </c>
      <c r="G675" t="s">
        <v>49</v>
      </c>
      <c r="H675" t="s">
        <v>6</v>
      </c>
      <c r="I675" t="s">
        <v>487</v>
      </c>
      <c r="J675" s="22">
        <f>-5.8-5.98-6.9-5.75</f>
        <v>-24.43</v>
      </c>
      <c r="K675" t="str">
        <f t="shared" si="40"/>
        <v>avril</v>
      </c>
      <c r="L675" t="str">
        <f t="shared" si="41"/>
        <v>Dépenses</v>
      </c>
    </row>
    <row r="676" spans="1:12" ht="15" customHeight="1" x14ac:dyDescent="0.2">
      <c r="A676" t="s">
        <v>2</v>
      </c>
      <c r="B676" t="s">
        <v>3</v>
      </c>
      <c r="C676" s="1" t="s">
        <v>690</v>
      </c>
      <c r="D676" s="2">
        <v>43560</v>
      </c>
      <c r="E676" s="2">
        <f t="shared" si="42"/>
        <v>43596</v>
      </c>
      <c r="F676" t="s">
        <v>5</v>
      </c>
      <c r="G676" t="s">
        <v>5</v>
      </c>
      <c r="H676" t="s">
        <v>6</v>
      </c>
      <c r="I676" t="s">
        <v>7</v>
      </c>
      <c r="J676" s="22">
        <f>-76.17--24.43</f>
        <v>-51.74</v>
      </c>
      <c r="K676" t="str">
        <f t="shared" si="40"/>
        <v>avril</v>
      </c>
      <c r="L676" t="str">
        <f t="shared" si="41"/>
        <v>Dépenses</v>
      </c>
    </row>
    <row r="677" spans="1:12" ht="15" customHeight="1" x14ac:dyDescent="0.2">
      <c r="A677" t="s">
        <v>108</v>
      </c>
      <c r="B677" t="s">
        <v>109</v>
      </c>
      <c r="D677" s="2">
        <v>43560</v>
      </c>
      <c r="E677" s="2">
        <f t="shared" si="42"/>
        <v>43560</v>
      </c>
      <c r="F677" t="s">
        <v>692</v>
      </c>
      <c r="G677" t="s">
        <v>5</v>
      </c>
      <c r="H677" t="s">
        <v>550</v>
      </c>
      <c r="I677" t="s">
        <v>7</v>
      </c>
      <c r="J677" s="22">
        <v>-8.3000000000000007</v>
      </c>
      <c r="K677" t="str">
        <f t="shared" si="40"/>
        <v>avril</v>
      </c>
      <c r="L677" t="str">
        <f t="shared" si="41"/>
        <v>Dépenses</v>
      </c>
    </row>
    <row r="678" spans="1:12" ht="11.25" customHeight="1" x14ac:dyDescent="0.2">
      <c r="A678" t="s">
        <v>108</v>
      </c>
      <c r="B678" t="s">
        <v>109</v>
      </c>
      <c r="D678" s="2">
        <v>43560</v>
      </c>
      <c r="E678" s="2">
        <f t="shared" si="42"/>
        <v>43560</v>
      </c>
      <c r="F678" t="s">
        <v>692</v>
      </c>
      <c r="G678" t="s">
        <v>5</v>
      </c>
      <c r="H678" t="s">
        <v>550</v>
      </c>
      <c r="I678" t="s">
        <v>7</v>
      </c>
      <c r="J678" s="22">
        <v>-2.8</v>
      </c>
      <c r="K678" t="str">
        <f t="shared" si="40"/>
        <v>avril</v>
      </c>
      <c r="L678" t="str">
        <f t="shared" si="41"/>
        <v>Dépenses</v>
      </c>
    </row>
    <row r="679" spans="1:12" ht="15" customHeight="1" x14ac:dyDescent="0.2">
      <c r="A679" t="s">
        <v>77</v>
      </c>
      <c r="B679" t="s">
        <v>77</v>
      </c>
      <c r="D679" s="2">
        <v>43560</v>
      </c>
      <c r="E679" s="2">
        <f t="shared" si="42"/>
        <v>43560</v>
      </c>
      <c r="F679" t="s">
        <v>686</v>
      </c>
      <c r="G679" t="s">
        <v>111</v>
      </c>
      <c r="H679" t="s">
        <v>687</v>
      </c>
      <c r="I679" t="s">
        <v>7</v>
      </c>
      <c r="J679" s="22">
        <v>-25</v>
      </c>
      <c r="K679" t="str">
        <f t="shared" si="40"/>
        <v>avril</v>
      </c>
      <c r="L679" t="str">
        <f t="shared" si="41"/>
        <v>Dépenses</v>
      </c>
    </row>
    <row r="680" spans="1:12" x14ac:dyDescent="0.2">
      <c r="A680" t="s">
        <v>94</v>
      </c>
      <c r="B680" s="4" t="s">
        <v>70</v>
      </c>
      <c r="C680" s="7" t="s">
        <v>683</v>
      </c>
      <c r="D680" s="2">
        <v>43560</v>
      </c>
      <c r="E680" s="2">
        <f t="shared" si="42"/>
        <v>43560</v>
      </c>
      <c r="F680" t="s">
        <v>161</v>
      </c>
      <c r="G680" t="s">
        <v>162</v>
      </c>
      <c r="H680" t="s">
        <v>163</v>
      </c>
      <c r="I680" t="s">
        <v>7</v>
      </c>
      <c r="J680" s="23">
        <v>-63.37</v>
      </c>
      <c r="K680" t="str">
        <f t="shared" si="40"/>
        <v>avril</v>
      </c>
      <c r="L680" t="str">
        <f t="shared" si="41"/>
        <v>Dépenses</v>
      </c>
    </row>
    <row r="681" spans="1:12" x14ac:dyDescent="0.2">
      <c r="A681" t="s">
        <v>94</v>
      </c>
      <c r="B681" s="4" t="s">
        <v>70</v>
      </c>
      <c r="C681" s="7" t="s">
        <v>684</v>
      </c>
      <c r="D681" s="2">
        <v>43560</v>
      </c>
      <c r="E681" s="2">
        <f t="shared" si="42"/>
        <v>43560</v>
      </c>
      <c r="F681" t="s">
        <v>143</v>
      </c>
      <c r="G681" t="s">
        <v>144</v>
      </c>
      <c r="H681" t="s">
        <v>145</v>
      </c>
      <c r="I681" t="s">
        <v>7</v>
      </c>
      <c r="J681" s="23">
        <v>131.16</v>
      </c>
      <c r="K681" t="str">
        <f t="shared" si="40"/>
        <v>avril</v>
      </c>
      <c r="L681" t="str">
        <f t="shared" si="41"/>
        <v>Recettes</v>
      </c>
    </row>
    <row r="682" spans="1:12" x14ac:dyDescent="0.2">
      <c r="A682" t="s">
        <v>94</v>
      </c>
      <c r="B682" s="4" t="s">
        <v>70</v>
      </c>
      <c r="C682" s="7" t="s">
        <v>685</v>
      </c>
      <c r="D682" s="2">
        <v>43560</v>
      </c>
      <c r="E682" s="2">
        <f t="shared" si="42"/>
        <v>43560</v>
      </c>
      <c r="F682" t="s">
        <v>157</v>
      </c>
      <c r="G682" t="s">
        <v>158</v>
      </c>
      <c r="H682" t="s">
        <v>87</v>
      </c>
      <c r="I682" t="s">
        <v>7</v>
      </c>
      <c r="J682" s="23">
        <v>-7.43</v>
      </c>
      <c r="K682" t="str">
        <f t="shared" si="40"/>
        <v>avril</v>
      </c>
      <c r="L682" t="str">
        <f t="shared" si="41"/>
        <v>Dépenses</v>
      </c>
    </row>
    <row r="683" spans="1:12" ht="15" customHeight="1" x14ac:dyDescent="0.2">
      <c r="A683" t="s">
        <v>108</v>
      </c>
      <c r="B683" s="4" t="s">
        <v>70</v>
      </c>
      <c r="C683" s="7" t="s">
        <v>693</v>
      </c>
      <c r="D683" s="2">
        <v>43560</v>
      </c>
      <c r="E683" s="2">
        <f t="shared" si="42"/>
        <v>43560</v>
      </c>
      <c r="F683" t="s">
        <v>171</v>
      </c>
      <c r="G683" t="s">
        <v>172</v>
      </c>
      <c r="H683" t="s">
        <v>173</v>
      </c>
      <c r="I683" t="s">
        <v>7</v>
      </c>
      <c r="J683" s="23">
        <v>-19.989999999999998</v>
      </c>
      <c r="K683" t="str">
        <f t="shared" si="40"/>
        <v>avril</v>
      </c>
      <c r="L683" t="str">
        <f t="shared" si="41"/>
        <v>Dépenses</v>
      </c>
    </row>
    <row r="684" spans="1:12" ht="15" customHeight="1" x14ac:dyDescent="0.2">
      <c r="A684" t="s">
        <v>2</v>
      </c>
      <c r="B684" t="s">
        <v>8</v>
      </c>
      <c r="D684" s="2">
        <v>43561</v>
      </c>
      <c r="E684" s="2">
        <f t="shared" si="42"/>
        <v>43596</v>
      </c>
      <c r="F684" t="s">
        <v>32</v>
      </c>
      <c r="G684" t="s">
        <v>5</v>
      </c>
      <c r="H684" t="s">
        <v>33</v>
      </c>
      <c r="I684" t="s">
        <v>7</v>
      </c>
      <c r="J684" s="22">
        <v>-8.5</v>
      </c>
      <c r="K684" t="str">
        <f t="shared" si="40"/>
        <v>avril</v>
      </c>
      <c r="L684" t="str">
        <f t="shared" si="41"/>
        <v>Dépenses</v>
      </c>
    </row>
    <row r="685" spans="1:12" ht="15" customHeight="1" x14ac:dyDescent="0.2">
      <c r="A685" t="s">
        <v>77</v>
      </c>
      <c r="B685" t="s">
        <v>77</v>
      </c>
      <c r="D685" s="2">
        <v>43561</v>
      </c>
      <c r="E685" s="2">
        <f t="shared" si="42"/>
        <v>43561</v>
      </c>
      <c r="F685" t="s">
        <v>694</v>
      </c>
      <c r="G685" t="s">
        <v>5</v>
      </c>
      <c r="I685" t="s">
        <v>7</v>
      </c>
      <c r="J685" s="22">
        <v>-25</v>
      </c>
      <c r="K685" t="str">
        <f t="shared" si="40"/>
        <v>avril</v>
      </c>
      <c r="L685" t="str">
        <f t="shared" si="41"/>
        <v>Dépenses</v>
      </c>
    </row>
    <row r="686" spans="1:12" ht="15" customHeight="1" x14ac:dyDescent="0.2">
      <c r="A686" t="s">
        <v>2</v>
      </c>
      <c r="B686" t="s">
        <v>8</v>
      </c>
      <c r="C686" t="s">
        <v>696</v>
      </c>
      <c r="D686" s="2">
        <v>43562</v>
      </c>
      <c r="E686" s="2">
        <f t="shared" si="42"/>
        <v>43596</v>
      </c>
      <c r="F686" t="s">
        <v>559</v>
      </c>
      <c r="G686" t="s">
        <v>63</v>
      </c>
      <c r="H686" t="s">
        <v>64</v>
      </c>
      <c r="I686" t="s">
        <v>487</v>
      </c>
      <c r="J686" s="22">
        <v>-38.42</v>
      </c>
      <c r="K686" t="str">
        <f t="shared" si="40"/>
        <v>avril</v>
      </c>
      <c r="L686" t="str">
        <f t="shared" si="41"/>
        <v>Dépenses</v>
      </c>
    </row>
    <row r="687" spans="1:12" ht="15" customHeight="1" x14ac:dyDescent="0.2">
      <c r="A687" t="s">
        <v>2</v>
      </c>
      <c r="B687" t="s">
        <v>8</v>
      </c>
      <c r="C687" t="s">
        <v>696</v>
      </c>
      <c r="D687" s="2">
        <v>43562</v>
      </c>
      <c r="E687" s="2">
        <f t="shared" si="42"/>
        <v>43596</v>
      </c>
      <c r="F687" t="s">
        <v>21</v>
      </c>
      <c r="G687" t="s">
        <v>21</v>
      </c>
      <c r="H687" t="s">
        <v>64</v>
      </c>
      <c r="I687" t="s">
        <v>487</v>
      </c>
      <c r="J687" s="22">
        <f>-52.42--38.42</f>
        <v>-14</v>
      </c>
      <c r="K687" t="str">
        <f t="shared" si="40"/>
        <v>avril</v>
      </c>
      <c r="L687" t="str">
        <f t="shared" si="41"/>
        <v>Dépenses</v>
      </c>
    </row>
    <row r="688" spans="1:12" ht="15" customHeight="1" x14ac:dyDescent="0.2">
      <c r="A688" t="s">
        <v>2</v>
      </c>
      <c r="B688" t="s">
        <v>8</v>
      </c>
      <c r="D688" s="2">
        <v>43562</v>
      </c>
      <c r="E688" s="2">
        <f t="shared" si="42"/>
        <v>43596</v>
      </c>
      <c r="F688" t="s">
        <v>451</v>
      </c>
      <c r="G688" t="s">
        <v>16</v>
      </c>
      <c r="H688" t="s">
        <v>452</v>
      </c>
      <c r="I688" t="s">
        <v>487</v>
      </c>
      <c r="J688" s="22">
        <v>-20.7</v>
      </c>
      <c r="K688" t="str">
        <f t="shared" si="40"/>
        <v>avril</v>
      </c>
      <c r="L688" t="str">
        <f t="shared" si="41"/>
        <v>Dépenses</v>
      </c>
    </row>
    <row r="689" spans="1:12" ht="11.25" customHeight="1" x14ac:dyDescent="0.2">
      <c r="A689" t="s">
        <v>94</v>
      </c>
      <c r="B689" s="4" t="s">
        <v>70</v>
      </c>
      <c r="C689" s="7" t="s">
        <v>695</v>
      </c>
      <c r="D689" s="2">
        <v>43562</v>
      </c>
      <c r="E689" s="2">
        <f t="shared" si="42"/>
        <v>43562</v>
      </c>
      <c r="F689" t="s">
        <v>165</v>
      </c>
      <c r="G689" t="s">
        <v>158</v>
      </c>
      <c r="H689" t="s">
        <v>166</v>
      </c>
      <c r="I689" t="s">
        <v>487</v>
      </c>
      <c r="J689" s="23">
        <v>-25.83</v>
      </c>
      <c r="K689" t="str">
        <f t="shared" si="40"/>
        <v>avril</v>
      </c>
      <c r="L689" t="str">
        <f t="shared" si="41"/>
        <v>Dépenses</v>
      </c>
    </row>
    <row r="690" spans="1:12" ht="11.25" customHeight="1" x14ac:dyDescent="0.2">
      <c r="A690" t="s">
        <v>108</v>
      </c>
      <c r="B690" t="s">
        <v>109</v>
      </c>
      <c r="C690" s="1" t="s">
        <v>699</v>
      </c>
      <c r="D690" s="2">
        <v>43563</v>
      </c>
      <c r="E690" s="2">
        <f t="shared" si="42"/>
        <v>43563</v>
      </c>
      <c r="F690" t="s">
        <v>700</v>
      </c>
      <c r="G690" t="s">
        <v>49</v>
      </c>
      <c r="H690" t="s">
        <v>6</v>
      </c>
      <c r="I690" t="s">
        <v>7</v>
      </c>
      <c r="J690" s="22">
        <v>-10.1</v>
      </c>
      <c r="K690" t="str">
        <f t="shared" si="40"/>
        <v>avril</v>
      </c>
      <c r="L690" t="str">
        <f t="shared" si="41"/>
        <v>Dépenses</v>
      </c>
    </row>
    <row r="691" spans="1:12" ht="11.25" customHeight="1" x14ac:dyDescent="0.2">
      <c r="A691" t="s">
        <v>108</v>
      </c>
      <c r="B691" t="s">
        <v>109</v>
      </c>
      <c r="C691" s="1" t="s">
        <v>699</v>
      </c>
      <c r="D691" s="2">
        <v>43563</v>
      </c>
      <c r="E691" s="2">
        <f t="shared" si="42"/>
        <v>43563</v>
      </c>
      <c r="F691" t="s">
        <v>701</v>
      </c>
      <c r="G691" t="s">
        <v>270</v>
      </c>
      <c r="H691" t="s">
        <v>6</v>
      </c>
      <c r="I691" t="s">
        <v>7</v>
      </c>
      <c r="J691" s="22">
        <v>-14.27</v>
      </c>
      <c r="K691" t="str">
        <f t="shared" si="40"/>
        <v>avril</v>
      </c>
      <c r="L691" t="str">
        <f t="shared" si="41"/>
        <v>Dépenses</v>
      </c>
    </row>
    <row r="692" spans="1:12" ht="15" customHeight="1" x14ac:dyDescent="0.2">
      <c r="A692" t="s">
        <v>108</v>
      </c>
      <c r="B692" t="s">
        <v>109</v>
      </c>
      <c r="C692" s="1" t="s">
        <v>699</v>
      </c>
      <c r="D692" s="2">
        <v>43563</v>
      </c>
      <c r="E692" s="2">
        <f t="shared" si="42"/>
        <v>43563</v>
      </c>
      <c r="F692" t="s">
        <v>5</v>
      </c>
      <c r="G692" t="s">
        <v>5</v>
      </c>
      <c r="H692" t="s">
        <v>6</v>
      </c>
      <c r="I692" t="s">
        <v>7</v>
      </c>
      <c r="J692" s="22">
        <v>-16.740000000000002</v>
      </c>
      <c r="K692" t="str">
        <f t="shared" si="40"/>
        <v>avril</v>
      </c>
      <c r="L692" t="str">
        <f t="shared" si="41"/>
        <v>Dépenses</v>
      </c>
    </row>
    <row r="693" spans="1:12" x14ac:dyDescent="0.2">
      <c r="A693" t="s">
        <v>94</v>
      </c>
      <c r="B693" s="4" t="s">
        <v>70</v>
      </c>
      <c r="C693" s="7" t="s">
        <v>697</v>
      </c>
      <c r="D693" s="2">
        <v>43563</v>
      </c>
      <c r="E693" s="2">
        <f t="shared" si="42"/>
        <v>43563</v>
      </c>
      <c r="F693" t="s">
        <v>169</v>
      </c>
      <c r="G693" t="s">
        <v>158</v>
      </c>
      <c r="H693" t="s">
        <v>166</v>
      </c>
      <c r="I693" t="s">
        <v>7</v>
      </c>
      <c r="J693" s="23">
        <v>-41.88</v>
      </c>
      <c r="K693" t="str">
        <f t="shared" si="40"/>
        <v>avril</v>
      </c>
      <c r="L693" t="str">
        <f t="shared" si="41"/>
        <v>Dépenses</v>
      </c>
    </row>
    <row r="694" spans="1:12" ht="11.25" customHeight="1" x14ac:dyDescent="0.2">
      <c r="A694" t="s">
        <v>94</v>
      </c>
      <c r="B694" s="4" t="s">
        <v>70</v>
      </c>
      <c r="C694" s="7" t="s">
        <v>698</v>
      </c>
      <c r="D694" s="2">
        <v>43563</v>
      </c>
      <c r="E694" s="2">
        <f t="shared" si="42"/>
        <v>43563</v>
      </c>
      <c r="F694" t="s">
        <v>187</v>
      </c>
      <c r="G694" t="s">
        <v>158</v>
      </c>
      <c r="H694" t="s">
        <v>188</v>
      </c>
      <c r="I694" t="s">
        <v>7</v>
      </c>
      <c r="J694" s="23">
        <v>-8.99</v>
      </c>
      <c r="K694" t="str">
        <f t="shared" si="40"/>
        <v>avril</v>
      </c>
      <c r="L694" t="str">
        <f t="shared" si="41"/>
        <v>Dépenses</v>
      </c>
    </row>
    <row r="695" spans="1:12" ht="15" customHeight="1" x14ac:dyDescent="0.2">
      <c r="A695" t="s">
        <v>94</v>
      </c>
      <c r="B695" s="4" t="s">
        <v>70</v>
      </c>
      <c r="C695" s="7" t="s">
        <v>698</v>
      </c>
      <c r="D695" s="2">
        <v>43563</v>
      </c>
      <c r="E695" s="2">
        <f t="shared" si="42"/>
        <v>43563</v>
      </c>
      <c r="F695" t="s">
        <v>189</v>
      </c>
      <c r="G695" t="s">
        <v>158</v>
      </c>
      <c r="H695" t="s">
        <v>188</v>
      </c>
      <c r="I695" t="s">
        <v>7</v>
      </c>
      <c r="J695" s="23">
        <v>-6.99</v>
      </c>
      <c r="K695" t="str">
        <f t="shared" si="40"/>
        <v>avril</v>
      </c>
      <c r="L695" t="str">
        <f t="shared" si="41"/>
        <v>Dépenses</v>
      </c>
    </row>
    <row r="696" spans="1:12" ht="15" customHeight="1" x14ac:dyDescent="0.2">
      <c r="A696" t="s">
        <v>108</v>
      </c>
      <c r="B696" s="4" t="s">
        <v>70</v>
      </c>
      <c r="C696" s="7" t="s">
        <v>649</v>
      </c>
      <c r="D696" s="2">
        <v>43563</v>
      </c>
      <c r="E696" s="2">
        <f t="shared" si="42"/>
        <v>43563</v>
      </c>
      <c r="F696" t="s">
        <v>184</v>
      </c>
      <c r="G696" t="s">
        <v>106</v>
      </c>
      <c r="H696" t="s">
        <v>185</v>
      </c>
      <c r="I696" t="s">
        <v>7</v>
      </c>
      <c r="J696" s="23">
        <v>-0.99</v>
      </c>
      <c r="K696" t="str">
        <f t="shared" si="40"/>
        <v>avril</v>
      </c>
      <c r="L696" t="str">
        <f t="shared" si="41"/>
        <v>Dépenses</v>
      </c>
    </row>
    <row r="697" spans="1:12" ht="15" customHeight="1" x14ac:dyDescent="0.2">
      <c r="A697" t="s">
        <v>108</v>
      </c>
      <c r="B697" t="s">
        <v>84</v>
      </c>
      <c r="C697" s="1" t="s">
        <v>702</v>
      </c>
      <c r="D697" s="2">
        <v>43563</v>
      </c>
      <c r="E697" s="2">
        <f t="shared" si="42"/>
        <v>43563</v>
      </c>
      <c r="F697" t="s">
        <v>703</v>
      </c>
      <c r="G697" t="s">
        <v>111</v>
      </c>
      <c r="H697" t="s">
        <v>145</v>
      </c>
      <c r="I697" t="s">
        <v>7</v>
      </c>
      <c r="J697" s="22">
        <v>57.83</v>
      </c>
      <c r="K697" t="str">
        <f t="shared" si="40"/>
        <v>avril</v>
      </c>
      <c r="L697" t="str">
        <f t="shared" si="41"/>
        <v>Recettes</v>
      </c>
    </row>
    <row r="698" spans="1:12" ht="15" customHeight="1" x14ac:dyDescent="0.2">
      <c r="A698" t="s">
        <v>2</v>
      </c>
      <c r="B698" t="s">
        <v>8</v>
      </c>
      <c r="D698" s="2">
        <v>43564</v>
      </c>
      <c r="E698" s="2">
        <f t="shared" si="42"/>
        <v>43596</v>
      </c>
      <c r="F698" t="s">
        <v>403</v>
      </c>
      <c r="G698" t="s">
        <v>16</v>
      </c>
      <c r="H698" t="s">
        <v>705</v>
      </c>
      <c r="I698" t="s">
        <v>487</v>
      </c>
      <c r="J698" s="22">
        <v>-5.8</v>
      </c>
      <c r="K698" t="str">
        <f t="shared" si="40"/>
        <v>avril</v>
      </c>
      <c r="L698" t="str">
        <f t="shared" si="41"/>
        <v>Dépenses</v>
      </c>
    </row>
    <row r="699" spans="1:12" ht="15" customHeight="1" x14ac:dyDescent="0.2">
      <c r="A699" t="s">
        <v>2</v>
      </c>
      <c r="B699" t="s">
        <v>8</v>
      </c>
      <c r="D699" s="2">
        <v>43564</v>
      </c>
      <c r="E699" s="2">
        <f t="shared" si="42"/>
        <v>43596</v>
      </c>
      <c r="F699" t="s">
        <v>32</v>
      </c>
      <c r="G699" t="s">
        <v>5</v>
      </c>
      <c r="H699" t="s">
        <v>22</v>
      </c>
      <c r="I699" t="s">
        <v>7</v>
      </c>
      <c r="J699" s="22">
        <v>-4.2</v>
      </c>
      <c r="K699" t="str">
        <f t="shared" si="40"/>
        <v>avril</v>
      </c>
      <c r="L699" t="str">
        <f t="shared" si="41"/>
        <v>Dépenses</v>
      </c>
    </row>
    <row r="700" spans="1:12" ht="11.25" customHeight="1" x14ac:dyDescent="0.2">
      <c r="A700" t="s">
        <v>2</v>
      </c>
      <c r="B700" t="s">
        <v>8</v>
      </c>
      <c r="D700" s="2">
        <v>43564</v>
      </c>
      <c r="E700" s="2">
        <f t="shared" ref="E700:E731" si="43">IF(A700="","",IF(A700&lt;&gt;"Carte Lux",D700,VLOOKUP(D700,Periode_datedebit_2019,3)))</f>
        <v>43596</v>
      </c>
      <c r="F700" t="s">
        <v>482</v>
      </c>
      <c r="G700" t="s">
        <v>52</v>
      </c>
      <c r="H700" t="s">
        <v>706</v>
      </c>
      <c r="I700" t="s">
        <v>7</v>
      </c>
      <c r="J700" s="22">
        <v>-94.6</v>
      </c>
      <c r="K700" t="str">
        <f t="shared" si="40"/>
        <v>avril</v>
      </c>
      <c r="L700" t="str">
        <f t="shared" si="41"/>
        <v>Dépenses</v>
      </c>
    </row>
    <row r="701" spans="1:12" ht="15" customHeight="1" x14ac:dyDescent="0.2">
      <c r="A701" t="s">
        <v>2</v>
      </c>
      <c r="B701" t="s">
        <v>8</v>
      </c>
      <c r="D701" s="2">
        <v>43564</v>
      </c>
      <c r="E701" s="2">
        <f t="shared" si="43"/>
        <v>43596</v>
      </c>
      <c r="F701" t="s">
        <v>707</v>
      </c>
      <c r="G701" t="s">
        <v>25</v>
      </c>
      <c r="H701" t="s">
        <v>708</v>
      </c>
      <c r="I701" t="s">
        <v>7</v>
      </c>
      <c r="J701" s="22">
        <v>-75.599999999999994</v>
      </c>
      <c r="K701" t="str">
        <f t="shared" si="40"/>
        <v>avril</v>
      </c>
      <c r="L701" t="str">
        <f t="shared" si="41"/>
        <v>Dépenses</v>
      </c>
    </row>
    <row r="702" spans="1:12" ht="15" customHeight="1" x14ac:dyDescent="0.2">
      <c r="A702" t="s">
        <v>2</v>
      </c>
      <c r="B702" t="s">
        <v>8</v>
      </c>
      <c r="C702" s="1" t="s">
        <v>709</v>
      </c>
      <c r="D702" s="2">
        <v>43564</v>
      </c>
      <c r="E702" s="2">
        <f t="shared" si="43"/>
        <v>43596</v>
      </c>
      <c r="F702" t="s">
        <v>710</v>
      </c>
      <c r="G702" t="s">
        <v>127</v>
      </c>
      <c r="H702" t="s">
        <v>711</v>
      </c>
      <c r="I702" t="s">
        <v>487</v>
      </c>
      <c r="J702" s="22">
        <v>-69.989999999999995</v>
      </c>
      <c r="K702" t="str">
        <f t="shared" si="40"/>
        <v>avril</v>
      </c>
      <c r="L702" t="str">
        <f t="shared" si="41"/>
        <v>Dépenses</v>
      </c>
    </row>
    <row r="703" spans="1:12" ht="11.25" customHeight="1" x14ac:dyDescent="0.2">
      <c r="A703" t="s">
        <v>108</v>
      </c>
      <c r="B703" t="s">
        <v>109</v>
      </c>
      <c r="C703" s="1" t="s">
        <v>712</v>
      </c>
      <c r="D703" s="2">
        <v>43564</v>
      </c>
      <c r="E703" s="2">
        <f t="shared" si="43"/>
        <v>43564</v>
      </c>
      <c r="F703" t="s">
        <v>353</v>
      </c>
      <c r="G703" t="s">
        <v>49</v>
      </c>
      <c r="H703" t="s">
        <v>6</v>
      </c>
      <c r="I703" t="s">
        <v>7</v>
      </c>
      <c r="J703" s="22">
        <v>-5.98</v>
      </c>
      <c r="K703" t="str">
        <f t="shared" si="40"/>
        <v>avril</v>
      </c>
      <c r="L703" t="str">
        <f t="shared" si="41"/>
        <v>Dépenses</v>
      </c>
    </row>
    <row r="704" spans="1:12" ht="11.25" customHeight="1" x14ac:dyDescent="0.2">
      <c r="A704" t="s">
        <v>108</v>
      </c>
      <c r="B704" t="s">
        <v>109</v>
      </c>
      <c r="C704" s="1" t="s">
        <v>712</v>
      </c>
      <c r="D704" s="2">
        <v>43564</v>
      </c>
      <c r="E704" s="2">
        <f t="shared" si="43"/>
        <v>43564</v>
      </c>
      <c r="F704" t="s">
        <v>713</v>
      </c>
      <c r="G704" t="s">
        <v>270</v>
      </c>
      <c r="H704" t="s">
        <v>6</v>
      </c>
      <c r="I704" t="s">
        <v>7</v>
      </c>
      <c r="J704" s="22">
        <v>-25.14</v>
      </c>
      <c r="K704" t="str">
        <f t="shared" si="40"/>
        <v>avril</v>
      </c>
      <c r="L704" t="str">
        <f t="shared" si="41"/>
        <v>Dépenses</v>
      </c>
    </row>
    <row r="705" spans="1:12" ht="11.25" customHeight="1" x14ac:dyDescent="0.2">
      <c r="A705" t="s">
        <v>108</v>
      </c>
      <c r="B705" t="s">
        <v>109</v>
      </c>
      <c r="C705" s="1" t="s">
        <v>712</v>
      </c>
      <c r="D705" s="2">
        <v>43564</v>
      </c>
      <c r="E705" s="2">
        <f t="shared" si="43"/>
        <v>43564</v>
      </c>
      <c r="F705" t="s">
        <v>5</v>
      </c>
      <c r="G705" t="s">
        <v>5</v>
      </c>
      <c r="H705" t="s">
        <v>6</v>
      </c>
      <c r="I705" t="s">
        <v>7</v>
      </c>
      <c r="J705" s="22">
        <v>-44.44</v>
      </c>
      <c r="K705" t="str">
        <f t="shared" si="40"/>
        <v>avril</v>
      </c>
      <c r="L705" t="str">
        <f t="shared" si="41"/>
        <v>Dépenses</v>
      </c>
    </row>
    <row r="706" spans="1:12" ht="11.25" customHeight="1" x14ac:dyDescent="0.2">
      <c r="A706" t="s">
        <v>108</v>
      </c>
      <c r="B706" t="s">
        <v>287</v>
      </c>
      <c r="C706" t="s">
        <v>714</v>
      </c>
      <c r="D706" s="2">
        <v>43564</v>
      </c>
      <c r="E706" s="2">
        <f t="shared" si="43"/>
        <v>43564</v>
      </c>
      <c r="F706" t="s">
        <v>686</v>
      </c>
      <c r="G706" t="s">
        <v>111</v>
      </c>
      <c r="H706" t="s">
        <v>715</v>
      </c>
      <c r="I706" t="s">
        <v>7</v>
      </c>
      <c r="J706" s="22">
        <v>-64.260000000000005</v>
      </c>
      <c r="K706" t="str">
        <f t="shared" ref="K706:K769" si="44">IF(D706="","",TEXT(D706,"Mmmm"))</f>
        <v>avril</v>
      </c>
      <c r="L706" t="str">
        <f t="shared" ref="L706:L769" si="45">IF(J706="","",IF(J706&lt;0,"Dépenses","Recettes"))</f>
        <v>Dépenses</v>
      </c>
    </row>
    <row r="707" spans="1:12" ht="11.25" customHeight="1" x14ac:dyDescent="0.2">
      <c r="A707" t="s">
        <v>69</v>
      </c>
      <c r="B707" s="4" t="s">
        <v>70</v>
      </c>
      <c r="C707" s="7" t="s">
        <v>704</v>
      </c>
      <c r="D707" s="2">
        <v>43564</v>
      </c>
      <c r="E707" s="2">
        <f t="shared" si="43"/>
        <v>43564</v>
      </c>
      <c r="F707" t="s">
        <v>147</v>
      </c>
      <c r="G707" t="s">
        <v>115</v>
      </c>
      <c r="H707" t="s">
        <v>148</v>
      </c>
      <c r="I707" t="s">
        <v>7</v>
      </c>
      <c r="J707" s="23">
        <v>-10.61</v>
      </c>
      <c r="K707" t="str">
        <f t="shared" si="44"/>
        <v>avril</v>
      </c>
      <c r="L707" t="str">
        <f t="shared" si="45"/>
        <v>Dépenses</v>
      </c>
    </row>
    <row r="708" spans="1:12" x14ac:dyDescent="0.2">
      <c r="A708" t="s">
        <v>2</v>
      </c>
      <c r="B708" t="s">
        <v>8</v>
      </c>
      <c r="D708" s="2">
        <v>43565</v>
      </c>
      <c r="E708" s="2">
        <f t="shared" si="43"/>
        <v>43596</v>
      </c>
      <c r="F708" t="s">
        <v>720</v>
      </c>
      <c r="G708" t="s">
        <v>270</v>
      </c>
      <c r="H708" t="s">
        <v>721</v>
      </c>
      <c r="I708" t="s">
        <v>7</v>
      </c>
      <c r="J708" s="22">
        <v>-19.95</v>
      </c>
      <c r="K708" t="str">
        <f t="shared" si="44"/>
        <v>avril</v>
      </c>
      <c r="L708" t="str">
        <f t="shared" si="45"/>
        <v>Dépenses</v>
      </c>
    </row>
    <row r="709" spans="1:12" x14ac:dyDescent="0.2">
      <c r="A709" t="s">
        <v>2</v>
      </c>
      <c r="B709" t="s">
        <v>8</v>
      </c>
      <c r="D709" s="2">
        <v>43565</v>
      </c>
      <c r="E709" s="2">
        <f t="shared" si="43"/>
        <v>43596</v>
      </c>
      <c r="F709" t="s">
        <v>722</v>
      </c>
      <c r="G709" t="s">
        <v>111</v>
      </c>
      <c r="H709" t="s">
        <v>723</v>
      </c>
      <c r="I709" t="s">
        <v>7</v>
      </c>
      <c r="J709" s="22">
        <v>-45</v>
      </c>
      <c r="K709" t="str">
        <f t="shared" si="44"/>
        <v>avril</v>
      </c>
      <c r="L709" t="str">
        <f t="shared" si="45"/>
        <v>Dépenses</v>
      </c>
    </row>
    <row r="710" spans="1:12" x14ac:dyDescent="0.2">
      <c r="A710" t="s">
        <v>2</v>
      </c>
      <c r="B710" t="s">
        <v>8</v>
      </c>
      <c r="D710" s="2">
        <v>43565</v>
      </c>
      <c r="E710" s="2">
        <f t="shared" si="43"/>
        <v>43596</v>
      </c>
      <c r="F710" t="s">
        <v>724</v>
      </c>
      <c r="G710" t="s">
        <v>111</v>
      </c>
      <c r="H710" t="s">
        <v>725</v>
      </c>
      <c r="I710" t="s">
        <v>7</v>
      </c>
      <c r="J710" s="22">
        <v>-50</v>
      </c>
      <c r="K710" t="str">
        <f t="shared" si="44"/>
        <v>avril</v>
      </c>
      <c r="L710" t="str">
        <f t="shared" si="45"/>
        <v>Dépenses</v>
      </c>
    </row>
    <row r="711" spans="1:12" x14ac:dyDescent="0.2">
      <c r="A711" t="s">
        <v>2</v>
      </c>
      <c r="B711" t="s">
        <v>8</v>
      </c>
      <c r="D711" s="2">
        <v>43565</v>
      </c>
      <c r="E711" s="2">
        <f t="shared" si="43"/>
        <v>43596</v>
      </c>
      <c r="F711" t="s">
        <v>726</v>
      </c>
      <c r="G711" t="s">
        <v>19</v>
      </c>
      <c r="H711" t="s">
        <v>17</v>
      </c>
      <c r="I711" t="s">
        <v>7</v>
      </c>
      <c r="J711" s="22">
        <v>-20</v>
      </c>
      <c r="K711" t="str">
        <f t="shared" si="44"/>
        <v>avril</v>
      </c>
      <c r="L711" t="str">
        <f t="shared" si="45"/>
        <v>Dépenses</v>
      </c>
    </row>
    <row r="712" spans="1:12" x14ac:dyDescent="0.2">
      <c r="A712" t="s">
        <v>2</v>
      </c>
      <c r="B712" t="s">
        <v>8</v>
      </c>
      <c r="C712" s="1" t="s">
        <v>727</v>
      </c>
      <c r="D712" s="2">
        <v>43565</v>
      </c>
      <c r="E712" s="2">
        <f t="shared" si="43"/>
        <v>43596</v>
      </c>
      <c r="F712" t="s">
        <v>727</v>
      </c>
      <c r="G712" t="s">
        <v>127</v>
      </c>
      <c r="H712" t="s">
        <v>728</v>
      </c>
      <c r="I712" t="s">
        <v>7</v>
      </c>
      <c r="J712" s="22">
        <v>-196.07</v>
      </c>
      <c r="K712" t="str">
        <f t="shared" si="44"/>
        <v>avril</v>
      </c>
      <c r="L712" t="str">
        <f t="shared" si="45"/>
        <v>Dépenses</v>
      </c>
    </row>
    <row r="713" spans="1:12" x14ac:dyDescent="0.2">
      <c r="A713" t="s">
        <v>2</v>
      </c>
      <c r="B713" t="s">
        <v>8</v>
      </c>
      <c r="D713" s="2">
        <v>43565</v>
      </c>
      <c r="E713" s="2">
        <f t="shared" si="43"/>
        <v>43596</v>
      </c>
      <c r="F713" t="s">
        <v>5</v>
      </c>
      <c r="G713" t="s">
        <v>5</v>
      </c>
      <c r="H713" t="s">
        <v>260</v>
      </c>
      <c r="I713" t="s">
        <v>7</v>
      </c>
      <c r="J713" s="22">
        <v>-30.21</v>
      </c>
      <c r="K713" t="str">
        <f t="shared" si="44"/>
        <v>avril</v>
      </c>
      <c r="L713" t="str">
        <f t="shared" si="45"/>
        <v>Dépenses</v>
      </c>
    </row>
    <row r="714" spans="1:12" ht="15" customHeight="1" x14ac:dyDescent="0.2">
      <c r="A714" t="s">
        <v>108</v>
      </c>
      <c r="B714" t="s">
        <v>109</v>
      </c>
      <c r="C714" s="1" t="s">
        <v>730</v>
      </c>
      <c r="D714" s="2">
        <v>43565</v>
      </c>
      <c r="E714" s="2">
        <f t="shared" si="43"/>
        <v>43565</v>
      </c>
      <c r="F714" t="s">
        <v>509</v>
      </c>
      <c r="G714" t="s">
        <v>49</v>
      </c>
      <c r="H714" t="s">
        <v>37</v>
      </c>
      <c r="I714" t="s">
        <v>7</v>
      </c>
      <c r="J714" s="22">
        <v>-31.74</v>
      </c>
      <c r="K714" t="str">
        <f t="shared" si="44"/>
        <v>avril</v>
      </c>
      <c r="L714" t="str">
        <f t="shared" si="45"/>
        <v>Dépenses</v>
      </c>
    </row>
    <row r="715" spans="1:12" x14ac:dyDescent="0.2">
      <c r="A715" t="s">
        <v>108</v>
      </c>
      <c r="B715" t="s">
        <v>109</v>
      </c>
      <c r="C715" s="1" t="s">
        <v>730</v>
      </c>
      <c r="D715" s="2">
        <v>43565</v>
      </c>
      <c r="E715" s="2">
        <f t="shared" si="43"/>
        <v>43565</v>
      </c>
      <c r="F715" t="s">
        <v>731</v>
      </c>
      <c r="G715" t="s">
        <v>270</v>
      </c>
      <c r="H715" t="s">
        <v>37</v>
      </c>
      <c r="I715" t="s">
        <v>7</v>
      </c>
      <c r="J715" s="22">
        <v>-9.99</v>
      </c>
      <c r="K715" t="str">
        <f t="shared" si="44"/>
        <v>avril</v>
      </c>
      <c r="L715" t="str">
        <f t="shared" si="45"/>
        <v>Dépenses</v>
      </c>
    </row>
    <row r="716" spans="1:12" ht="15" customHeight="1" x14ac:dyDescent="0.2">
      <c r="A716" t="s">
        <v>108</v>
      </c>
      <c r="B716" t="s">
        <v>109</v>
      </c>
      <c r="C716" s="1" t="s">
        <v>730</v>
      </c>
      <c r="D716" s="2">
        <v>43565</v>
      </c>
      <c r="E716" s="2">
        <f t="shared" si="43"/>
        <v>43565</v>
      </c>
      <c r="F716" t="s">
        <v>732</v>
      </c>
      <c r="G716" t="s">
        <v>28</v>
      </c>
      <c r="H716" t="s">
        <v>37</v>
      </c>
      <c r="I716" t="s">
        <v>7</v>
      </c>
      <c r="J716" s="22">
        <v>-11.99</v>
      </c>
      <c r="K716" t="str">
        <f t="shared" si="44"/>
        <v>avril</v>
      </c>
      <c r="L716" t="str">
        <f t="shared" si="45"/>
        <v>Dépenses</v>
      </c>
    </row>
    <row r="717" spans="1:12" x14ac:dyDescent="0.2">
      <c r="A717" t="s">
        <v>108</v>
      </c>
      <c r="B717" t="s">
        <v>109</v>
      </c>
      <c r="C717" s="1" t="s">
        <v>730</v>
      </c>
      <c r="D717" s="2">
        <v>43565</v>
      </c>
      <c r="E717" s="2">
        <f t="shared" si="43"/>
        <v>43565</v>
      </c>
      <c r="F717" t="s">
        <v>5</v>
      </c>
      <c r="G717" t="s">
        <v>5</v>
      </c>
      <c r="H717" t="s">
        <v>37</v>
      </c>
      <c r="I717" t="s">
        <v>7</v>
      </c>
      <c r="J717" s="22">
        <f>-78.26--11.99--9.99--31.74</f>
        <v>-24.54000000000001</v>
      </c>
      <c r="K717" t="str">
        <f t="shared" si="44"/>
        <v>avril</v>
      </c>
      <c r="L717" t="str">
        <f t="shared" si="45"/>
        <v>Dépenses</v>
      </c>
    </row>
    <row r="718" spans="1:12" ht="15" customHeight="1" x14ac:dyDescent="0.2">
      <c r="A718" t="s">
        <v>94</v>
      </c>
      <c r="B718" s="4" t="s">
        <v>70</v>
      </c>
      <c r="C718" s="7" t="s">
        <v>716</v>
      </c>
      <c r="D718" s="2">
        <v>43565</v>
      </c>
      <c r="E718" s="2">
        <f t="shared" si="43"/>
        <v>43565</v>
      </c>
      <c r="F718" t="s">
        <v>202</v>
      </c>
      <c r="G718" t="s">
        <v>307</v>
      </c>
      <c r="H718" t="s">
        <v>658</v>
      </c>
      <c r="I718" t="s">
        <v>7</v>
      </c>
      <c r="J718" s="23">
        <v>-15</v>
      </c>
      <c r="K718" t="str">
        <f t="shared" si="44"/>
        <v>avril</v>
      </c>
      <c r="L718" t="str">
        <f t="shared" si="45"/>
        <v>Dépenses</v>
      </c>
    </row>
    <row r="719" spans="1:12" x14ac:dyDescent="0.2">
      <c r="A719" t="s">
        <v>94</v>
      </c>
      <c r="B719" s="4" t="s">
        <v>70</v>
      </c>
      <c r="C719" s="7" t="s">
        <v>717</v>
      </c>
      <c r="D719" s="2">
        <v>43565</v>
      </c>
      <c r="E719" s="2">
        <f t="shared" si="43"/>
        <v>43565</v>
      </c>
      <c r="F719" t="s">
        <v>204</v>
      </c>
      <c r="G719" t="s">
        <v>307</v>
      </c>
      <c r="H719" t="s">
        <v>660</v>
      </c>
      <c r="I719" t="s">
        <v>7</v>
      </c>
      <c r="J719" s="23">
        <v>-15</v>
      </c>
      <c r="K719" t="str">
        <f t="shared" si="44"/>
        <v>avril</v>
      </c>
      <c r="L719" t="str">
        <f t="shared" si="45"/>
        <v>Dépenses</v>
      </c>
    </row>
    <row r="720" spans="1:12" ht="11.25" customHeight="1" x14ac:dyDescent="0.2">
      <c r="A720" t="s">
        <v>108</v>
      </c>
      <c r="B720" s="4" t="s">
        <v>70</v>
      </c>
      <c r="C720" s="7" t="s">
        <v>718</v>
      </c>
      <c r="D720" s="2">
        <v>43565</v>
      </c>
      <c r="E720" s="2">
        <f t="shared" si="43"/>
        <v>43565</v>
      </c>
      <c r="F720" t="s">
        <v>719</v>
      </c>
      <c r="G720" t="s">
        <v>199</v>
      </c>
      <c r="H720" t="s">
        <v>200</v>
      </c>
      <c r="I720" t="s">
        <v>7</v>
      </c>
      <c r="J720" s="23">
        <v>1052.8499999999999</v>
      </c>
      <c r="K720" t="str">
        <f t="shared" si="44"/>
        <v>avril</v>
      </c>
      <c r="L720" t="str">
        <f t="shared" si="45"/>
        <v>Recettes</v>
      </c>
    </row>
    <row r="721" spans="1:12" ht="11.25" customHeight="1" x14ac:dyDescent="0.2">
      <c r="A721" t="s">
        <v>658</v>
      </c>
      <c r="B721" t="s">
        <v>70</v>
      </c>
      <c r="D721" s="2">
        <v>43565</v>
      </c>
      <c r="E721" s="2">
        <f t="shared" si="43"/>
        <v>43565</v>
      </c>
      <c r="F721" t="s">
        <v>659</v>
      </c>
      <c r="G721" t="s">
        <v>307</v>
      </c>
      <c r="H721" t="s">
        <v>87</v>
      </c>
      <c r="I721" t="s">
        <v>7</v>
      </c>
      <c r="J721" s="22">
        <v>15</v>
      </c>
      <c r="K721" t="str">
        <f t="shared" si="44"/>
        <v>avril</v>
      </c>
      <c r="L721" t="str">
        <f t="shared" si="45"/>
        <v>Recettes</v>
      </c>
    </row>
    <row r="722" spans="1:12" x14ac:dyDescent="0.2">
      <c r="A722" t="s">
        <v>660</v>
      </c>
      <c r="B722" t="s">
        <v>70</v>
      </c>
      <c r="D722" s="2">
        <v>43565</v>
      </c>
      <c r="E722" s="2">
        <f t="shared" si="43"/>
        <v>43565</v>
      </c>
      <c r="F722" t="s">
        <v>661</v>
      </c>
      <c r="G722" t="s">
        <v>307</v>
      </c>
      <c r="H722" t="s">
        <v>87</v>
      </c>
      <c r="I722" t="s">
        <v>7</v>
      </c>
      <c r="J722" s="22">
        <v>15</v>
      </c>
      <c r="K722" t="str">
        <f t="shared" si="44"/>
        <v>avril</v>
      </c>
      <c r="L722" t="str">
        <f t="shared" si="45"/>
        <v>Recettes</v>
      </c>
    </row>
    <row r="723" spans="1:12" ht="15" customHeight="1" x14ac:dyDescent="0.2">
      <c r="A723" t="s">
        <v>108</v>
      </c>
      <c r="B723" s="4" t="s">
        <v>70</v>
      </c>
      <c r="C723" s="7" t="s">
        <v>729</v>
      </c>
      <c r="D723" s="2">
        <v>43565</v>
      </c>
      <c r="E723" s="2">
        <f t="shared" si="43"/>
        <v>43565</v>
      </c>
      <c r="F723" t="s">
        <v>206</v>
      </c>
      <c r="G723" t="s">
        <v>111</v>
      </c>
      <c r="H723" t="s">
        <v>207</v>
      </c>
      <c r="I723" t="s">
        <v>7</v>
      </c>
      <c r="J723" s="22">
        <v>-33.44</v>
      </c>
      <c r="K723" t="str">
        <f t="shared" si="44"/>
        <v>avril</v>
      </c>
      <c r="L723" t="str">
        <f t="shared" si="45"/>
        <v>Dépenses</v>
      </c>
    </row>
    <row r="724" spans="1:12" ht="15" customHeight="1" x14ac:dyDescent="0.2">
      <c r="A724" t="s">
        <v>94</v>
      </c>
      <c r="B724" t="s">
        <v>84</v>
      </c>
      <c r="C724" t="s">
        <v>733</v>
      </c>
      <c r="D724" s="2">
        <v>43565</v>
      </c>
      <c r="E724" s="2">
        <f t="shared" si="43"/>
        <v>43565</v>
      </c>
      <c r="F724" t="s">
        <v>734</v>
      </c>
      <c r="G724" t="s">
        <v>111</v>
      </c>
      <c r="H724" t="s">
        <v>145</v>
      </c>
      <c r="I724" t="s">
        <v>7</v>
      </c>
      <c r="J724" s="22">
        <v>21</v>
      </c>
      <c r="K724" t="str">
        <f t="shared" si="44"/>
        <v>avril</v>
      </c>
      <c r="L724" t="str">
        <f t="shared" si="45"/>
        <v>Recettes</v>
      </c>
    </row>
    <row r="725" spans="1:12" ht="15" customHeight="1" x14ac:dyDescent="0.2">
      <c r="A725" t="s">
        <v>2</v>
      </c>
      <c r="B725" t="s">
        <v>8</v>
      </c>
      <c r="D725" s="2">
        <v>43566</v>
      </c>
      <c r="E725" s="2">
        <f t="shared" si="43"/>
        <v>43596</v>
      </c>
      <c r="F725" t="s">
        <v>32</v>
      </c>
      <c r="G725" t="s">
        <v>5</v>
      </c>
      <c r="H725" t="s">
        <v>737</v>
      </c>
      <c r="I725" t="s">
        <v>7</v>
      </c>
      <c r="J725" s="22">
        <v>-4.0999999999999996</v>
      </c>
      <c r="K725" t="str">
        <f t="shared" si="44"/>
        <v>avril</v>
      </c>
      <c r="L725" t="str">
        <f t="shared" si="45"/>
        <v>Dépenses</v>
      </c>
    </row>
    <row r="726" spans="1:12" x14ac:dyDescent="0.2">
      <c r="A726" t="s">
        <v>2</v>
      </c>
      <c r="B726" t="s">
        <v>8</v>
      </c>
      <c r="D726" s="2">
        <v>43566</v>
      </c>
      <c r="E726" s="2">
        <f t="shared" si="43"/>
        <v>43596</v>
      </c>
      <c r="F726" t="s">
        <v>5</v>
      </c>
      <c r="G726" t="s">
        <v>5</v>
      </c>
      <c r="H726" t="s">
        <v>348</v>
      </c>
      <c r="I726" t="s">
        <v>487</v>
      </c>
      <c r="J726" s="22">
        <v>-13.83</v>
      </c>
      <c r="K726" t="str">
        <f t="shared" si="44"/>
        <v>avril</v>
      </c>
      <c r="L726" t="str">
        <f t="shared" si="45"/>
        <v>Dépenses</v>
      </c>
    </row>
    <row r="727" spans="1:12" ht="15" customHeight="1" x14ac:dyDescent="0.2">
      <c r="A727" t="s">
        <v>2</v>
      </c>
      <c r="B727" t="s">
        <v>8</v>
      </c>
      <c r="D727" s="2">
        <v>43566</v>
      </c>
      <c r="E727" s="2">
        <f t="shared" si="43"/>
        <v>43596</v>
      </c>
      <c r="F727" t="s">
        <v>738</v>
      </c>
      <c r="G727" t="s">
        <v>111</v>
      </c>
      <c r="H727" t="s">
        <v>739</v>
      </c>
      <c r="I727" t="s">
        <v>7</v>
      </c>
      <c r="J727" s="22">
        <v>-22.05</v>
      </c>
      <c r="K727" t="str">
        <f t="shared" si="44"/>
        <v>avril</v>
      </c>
      <c r="L727" t="str">
        <f t="shared" si="45"/>
        <v>Dépenses</v>
      </c>
    </row>
    <row r="728" spans="1:12" ht="15" customHeight="1" x14ac:dyDescent="0.2">
      <c r="A728" t="s">
        <v>2</v>
      </c>
      <c r="B728" t="s">
        <v>8</v>
      </c>
      <c r="D728" s="2">
        <v>43566</v>
      </c>
      <c r="E728" s="2">
        <f t="shared" si="43"/>
        <v>43596</v>
      </c>
      <c r="F728" t="s">
        <v>740</v>
      </c>
      <c r="G728" t="s">
        <v>25</v>
      </c>
      <c r="H728" t="s">
        <v>741</v>
      </c>
      <c r="I728" t="s">
        <v>7</v>
      </c>
      <c r="J728" s="22">
        <v>-10</v>
      </c>
      <c r="K728" t="str">
        <f t="shared" si="44"/>
        <v>avril</v>
      </c>
      <c r="L728" t="str">
        <f t="shared" si="45"/>
        <v>Dépenses</v>
      </c>
    </row>
    <row r="729" spans="1:12" ht="15" customHeight="1" x14ac:dyDescent="0.2">
      <c r="A729" t="s">
        <v>69</v>
      </c>
      <c r="B729" t="s">
        <v>84</v>
      </c>
      <c r="C729" s="8" t="s">
        <v>735</v>
      </c>
      <c r="D729" s="2">
        <v>43566</v>
      </c>
      <c r="E729" s="2">
        <f t="shared" si="43"/>
        <v>43566</v>
      </c>
      <c r="F729" t="s">
        <v>736</v>
      </c>
      <c r="G729" t="s">
        <v>111</v>
      </c>
      <c r="H729" t="s">
        <v>194</v>
      </c>
      <c r="I729" t="s">
        <v>7</v>
      </c>
      <c r="J729" s="22">
        <v>6.43</v>
      </c>
      <c r="K729" t="str">
        <f t="shared" si="44"/>
        <v>avril</v>
      </c>
      <c r="L729" t="str">
        <f t="shared" si="45"/>
        <v>Recettes</v>
      </c>
    </row>
    <row r="730" spans="1:12" ht="15" customHeight="1" x14ac:dyDescent="0.2">
      <c r="A730" t="s">
        <v>2</v>
      </c>
      <c r="B730" t="s">
        <v>8</v>
      </c>
      <c r="C730" s="1" t="s">
        <v>743</v>
      </c>
      <c r="D730" s="2">
        <v>43567</v>
      </c>
      <c r="E730" s="2">
        <f t="shared" si="43"/>
        <v>43596</v>
      </c>
      <c r="F730" t="s">
        <v>303</v>
      </c>
      <c r="G730" t="s">
        <v>49</v>
      </c>
      <c r="H730" t="s">
        <v>23</v>
      </c>
      <c r="I730" t="s">
        <v>7</v>
      </c>
      <c r="J730" s="22">
        <f>-5.98-1.64-6.1-5.98-6.1-2.36</f>
        <v>-28.159999999999997</v>
      </c>
      <c r="K730" t="str">
        <f t="shared" si="44"/>
        <v>avril</v>
      </c>
      <c r="L730" t="str">
        <f t="shared" si="45"/>
        <v>Dépenses</v>
      </c>
    </row>
    <row r="731" spans="1:12" ht="15" customHeight="1" x14ac:dyDescent="0.2">
      <c r="A731" t="s">
        <v>2</v>
      </c>
      <c r="B731" t="s">
        <v>8</v>
      </c>
      <c r="C731" s="1" t="s">
        <v>743</v>
      </c>
      <c r="D731" s="2">
        <v>43567</v>
      </c>
      <c r="E731" s="2">
        <f t="shared" si="43"/>
        <v>43596</v>
      </c>
      <c r="F731" t="s">
        <v>744</v>
      </c>
      <c r="G731" t="s">
        <v>270</v>
      </c>
      <c r="H731" t="s">
        <v>23</v>
      </c>
      <c r="I731" t="s">
        <v>7</v>
      </c>
      <c r="J731" s="22">
        <v>-1.99</v>
      </c>
      <c r="K731" t="str">
        <f t="shared" si="44"/>
        <v>avril</v>
      </c>
      <c r="L731" t="str">
        <f t="shared" si="45"/>
        <v>Dépenses</v>
      </c>
    </row>
    <row r="732" spans="1:12" ht="11.25" customHeight="1" x14ac:dyDescent="0.2">
      <c r="A732" t="s">
        <v>2</v>
      </c>
      <c r="B732" t="s">
        <v>8</v>
      </c>
      <c r="C732" s="1" t="s">
        <v>743</v>
      </c>
      <c r="D732" s="2">
        <v>43567</v>
      </c>
      <c r="E732" s="2">
        <f t="shared" ref="E732:E763" si="46">IF(A732="","",IF(A732&lt;&gt;"Carte Lux",D732,VLOOKUP(D732,Periode_datedebit_2019,3)))</f>
        <v>43596</v>
      </c>
      <c r="F732" t="s">
        <v>5</v>
      </c>
      <c r="G732" t="s">
        <v>5</v>
      </c>
      <c r="H732" t="s">
        <v>23</v>
      </c>
      <c r="I732" t="s">
        <v>7</v>
      </c>
      <c r="J732" s="22">
        <f>-141.94--28.16--1.99</f>
        <v>-111.79</v>
      </c>
      <c r="K732" t="str">
        <f t="shared" si="44"/>
        <v>avril</v>
      </c>
      <c r="L732" t="str">
        <f t="shared" si="45"/>
        <v>Dépenses</v>
      </c>
    </row>
    <row r="733" spans="1:12" ht="15" customHeight="1" x14ac:dyDescent="0.2">
      <c r="A733" t="s">
        <v>2</v>
      </c>
      <c r="B733" t="s">
        <v>8</v>
      </c>
      <c r="D733" s="2">
        <v>43567</v>
      </c>
      <c r="E733" s="2">
        <f t="shared" si="46"/>
        <v>43596</v>
      </c>
      <c r="F733" t="s">
        <v>745</v>
      </c>
      <c r="G733" t="s">
        <v>25</v>
      </c>
      <c r="H733" t="s">
        <v>745</v>
      </c>
      <c r="I733" t="s">
        <v>7</v>
      </c>
      <c r="J733" s="22">
        <v>-16.399999999999999</v>
      </c>
      <c r="K733" t="str">
        <f t="shared" si="44"/>
        <v>avril</v>
      </c>
      <c r="L733" t="str">
        <f t="shared" si="45"/>
        <v>Dépenses</v>
      </c>
    </row>
    <row r="734" spans="1:12" ht="15" customHeight="1" x14ac:dyDescent="0.2">
      <c r="A734" t="s">
        <v>2</v>
      </c>
      <c r="B734" t="s">
        <v>8</v>
      </c>
      <c r="D734" s="2">
        <v>43567</v>
      </c>
      <c r="E734" s="2">
        <f t="shared" si="46"/>
        <v>43596</v>
      </c>
      <c r="F734" t="s">
        <v>32</v>
      </c>
      <c r="G734" t="s">
        <v>5</v>
      </c>
      <c r="H734" t="s">
        <v>737</v>
      </c>
      <c r="I734" t="s">
        <v>487</v>
      </c>
      <c r="J734" s="22">
        <v>-5.3</v>
      </c>
      <c r="K734" t="str">
        <f t="shared" si="44"/>
        <v>avril</v>
      </c>
      <c r="L734" t="str">
        <f t="shared" si="45"/>
        <v>Dépenses</v>
      </c>
    </row>
    <row r="735" spans="1:12" ht="15" customHeight="1" x14ac:dyDescent="0.2">
      <c r="A735" t="s">
        <v>108</v>
      </c>
      <c r="B735" t="s">
        <v>109</v>
      </c>
      <c r="C735" s="1" t="s">
        <v>746</v>
      </c>
      <c r="D735" s="2">
        <v>43567</v>
      </c>
      <c r="E735" s="2">
        <f t="shared" si="46"/>
        <v>43567</v>
      </c>
      <c r="F735" t="s">
        <v>303</v>
      </c>
      <c r="G735" t="s">
        <v>49</v>
      </c>
      <c r="H735" t="s">
        <v>6</v>
      </c>
      <c r="I735" t="s">
        <v>487</v>
      </c>
      <c r="J735" s="22">
        <f>-8.65-2.65</f>
        <v>-11.3</v>
      </c>
      <c r="K735" t="str">
        <f t="shared" si="44"/>
        <v>avril</v>
      </c>
      <c r="L735" t="str">
        <f t="shared" si="45"/>
        <v>Dépenses</v>
      </c>
    </row>
    <row r="736" spans="1:12" ht="15" customHeight="1" x14ac:dyDescent="0.2">
      <c r="A736" t="s">
        <v>108</v>
      </c>
      <c r="B736" t="s">
        <v>109</v>
      </c>
      <c r="C736" s="1" t="s">
        <v>746</v>
      </c>
      <c r="D736" s="2">
        <v>43567</v>
      </c>
      <c r="E736" s="2">
        <f t="shared" si="46"/>
        <v>43567</v>
      </c>
      <c r="F736" t="s">
        <v>747</v>
      </c>
      <c r="G736" t="s">
        <v>127</v>
      </c>
      <c r="H736" t="s">
        <v>6</v>
      </c>
      <c r="I736" t="s">
        <v>487</v>
      </c>
      <c r="J736" s="22">
        <v>-3.6</v>
      </c>
      <c r="K736" t="str">
        <f t="shared" si="44"/>
        <v>avril</v>
      </c>
      <c r="L736" t="str">
        <f t="shared" si="45"/>
        <v>Dépenses</v>
      </c>
    </row>
    <row r="737" spans="1:12" ht="15" customHeight="1" x14ac:dyDescent="0.2">
      <c r="A737" t="s">
        <v>108</v>
      </c>
      <c r="B737" t="s">
        <v>109</v>
      </c>
      <c r="C737" s="1" t="s">
        <v>746</v>
      </c>
      <c r="D737" s="2">
        <v>43567</v>
      </c>
      <c r="E737" s="2">
        <f t="shared" si="46"/>
        <v>43567</v>
      </c>
      <c r="F737" t="s">
        <v>5</v>
      </c>
      <c r="G737" t="s">
        <v>5</v>
      </c>
      <c r="H737" t="s">
        <v>6</v>
      </c>
      <c r="I737" t="s">
        <v>487</v>
      </c>
      <c r="J737" s="22">
        <f>-39.72--3.6--11.3</f>
        <v>-24.819999999999997</v>
      </c>
      <c r="K737" t="str">
        <f t="shared" si="44"/>
        <v>avril</v>
      </c>
      <c r="L737" t="str">
        <f t="shared" si="45"/>
        <v>Dépenses</v>
      </c>
    </row>
    <row r="738" spans="1:12" ht="15" customHeight="1" x14ac:dyDescent="0.2">
      <c r="A738" t="s">
        <v>108</v>
      </c>
      <c r="B738" t="s">
        <v>109</v>
      </c>
      <c r="D738" s="2">
        <v>43567</v>
      </c>
      <c r="E738" s="2">
        <f t="shared" si="46"/>
        <v>43567</v>
      </c>
      <c r="F738" t="s">
        <v>21</v>
      </c>
      <c r="G738" t="s">
        <v>21</v>
      </c>
      <c r="H738" t="s">
        <v>64</v>
      </c>
      <c r="I738" t="s">
        <v>7</v>
      </c>
      <c r="J738" s="22">
        <v>-9.6</v>
      </c>
      <c r="K738" t="str">
        <f t="shared" si="44"/>
        <v>avril</v>
      </c>
      <c r="L738" t="str">
        <f t="shared" si="45"/>
        <v>Dépenses</v>
      </c>
    </row>
    <row r="739" spans="1:12" ht="15" customHeight="1" x14ac:dyDescent="0.2">
      <c r="A739" t="s">
        <v>108</v>
      </c>
      <c r="B739" t="s">
        <v>109</v>
      </c>
      <c r="D739" s="2">
        <v>43567</v>
      </c>
      <c r="E739" s="2">
        <f t="shared" si="46"/>
        <v>43567</v>
      </c>
      <c r="F739" t="s">
        <v>265</v>
      </c>
      <c r="G739" t="s">
        <v>63</v>
      </c>
      <c r="H739" t="s">
        <v>64</v>
      </c>
      <c r="I739" t="s">
        <v>7</v>
      </c>
      <c r="J739" s="22">
        <f>-51.05--9.6</f>
        <v>-41.449999999999996</v>
      </c>
      <c r="K739" t="str">
        <f t="shared" si="44"/>
        <v>avril</v>
      </c>
      <c r="L739" t="str">
        <f t="shared" si="45"/>
        <v>Dépenses</v>
      </c>
    </row>
    <row r="740" spans="1:12" ht="15" customHeight="1" x14ac:dyDescent="0.2">
      <c r="A740" t="s">
        <v>108</v>
      </c>
      <c r="B740" t="s">
        <v>109</v>
      </c>
      <c r="D740" s="2">
        <v>43567</v>
      </c>
      <c r="E740" s="2">
        <f t="shared" si="46"/>
        <v>43567</v>
      </c>
      <c r="F740" t="s">
        <v>748</v>
      </c>
      <c r="G740" t="s">
        <v>5</v>
      </c>
      <c r="H740" t="s">
        <v>23</v>
      </c>
      <c r="I740" t="s">
        <v>7</v>
      </c>
      <c r="J740" s="22">
        <v>-1.25</v>
      </c>
      <c r="K740" t="str">
        <f t="shared" si="44"/>
        <v>avril</v>
      </c>
      <c r="L740" t="str">
        <f t="shared" si="45"/>
        <v>Dépenses</v>
      </c>
    </row>
    <row r="741" spans="1:12" ht="15" customHeight="1" x14ac:dyDescent="0.2">
      <c r="A741" t="s">
        <v>108</v>
      </c>
      <c r="B741" t="s">
        <v>84</v>
      </c>
      <c r="C741" s="1" t="s">
        <v>742</v>
      </c>
      <c r="D741" s="2">
        <v>43567</v>
      </c>
      <c r="E741" s="2">
        <f t="shared" si="46"/>
        <v>43567</v>
      </c>
      <c r="F741" t="s">
        <v>703</v>
      </c>
      <c r="G741" t="s">
        <v>111</v>
      </c>
      <c r="H741" t="s">
        <v>145</v>
      </c>
      <c r="I741" t="s">
        <v>7</v>
      </c>
      <c r="J741" s="22">
        <v>69.12</v>
      </c>
      <c r="K741" t="str">
        <f t="shared" si="44"/>
        <v>avril</v>
      </c>
      <c r="L741" t="str">
        <f t="shared" si="45"/>
        <v>Recettes</v>
      </c>
    </row>
    <row r="742" spans="1:12" ht="15" customHeight="1" x14ac:dyDescent="0.2">
      <c r="A742" t="s">
        <v>108</v>
      </c>
      <c r="B742" t="s">
        <v>109</v>
      </c>
      <c r="C742" s="1" t="s">
        <v>750</v>
      </c>
      <c r="D742" s="2">
        <v>43570</v>
      </c>
      <c r="E742" s="2">
        <f t="shared" si="46"/>
        <v>43570</v>
      </c>
      <c r="F742" t="s">
        <v>5</v>
      </c>
      <c r="G742" t="s">
        <v>5</v>
      </c>
      <c r="H742" t="s">
        <v>23</v>
      </c>
      <c r="I742" t="s">
        <v>7</v>
      </c>
      <c r="J742" s="22">
        <v>-17.48</v>
      </c>
      <c r="K742" t="str">
        <f t="shared" si="44"/>
        <v>avril</v>
      </c>
      <c r="L742" t="str">
        <f t="shared" si="45"/>
        <v>Dépenses</v>
      </c>
    </row>
    <row r="743" spans="1:12" ht="11.25" customHeight="1" x14ac:dyDescent="0.2">
      <c r="A743" t="s">
        <v>108</v>
      </c>
      <c r="B743" t="s">
        <v>109</v>
      </c>
      <c r="C743" s="1"/>
      <c r="D743" s="2">
        <v>43570</v>
      </c>
      <c r="E743" s="2">
        <f t="shared" si="46"/>
        <v>43570</v>
      </c>
      <c r="F743" t="s">
        <v>5</v>
      </c>
      <c r="G743" t="s">
        <v>5</v>
      </c>
      <c r="H743" t="s">
        <v>23</v>
      </c>
      <c r="I743" t="s">
        <v>7</v>
      </c>
      <c r="J743" s="22">
        <v>-1.25</v>
      </c>
      <c r="K743" t="str">
        <f t="shared" si="44"/>
        <v>avril</v>
      </c>
      <c r="L743" t="str">
        <f t="shared" si="45"/>
        <v>Dépenses</v>
      </c>
    </row>
    <row r="744" spans="1:12" ht="11.25" customHeight="1" x14ac:dyDescent="0.2">
      <c r="A744" t="s">
        <v>94</v>
      </c>
      <c r="B744" t="s">
        <v>122</v>
      </c>
      <c r="C744">
        <v>8748456</v>
      </c>
      <c r="D744" s="2">
        <v>43570</v>
      </c>
      <c r="E744" s="2">
        <f t="shared" si="46"/>
        <v>43570</v>
      </c>
      <c r="F744" t="s">
        <v>751</v>
      </c>
      <c r="G744" t="s">
        <v>118</v>
      </c>
      <c r="H744" t="s">
        <v>414</v>
      </c>
      <c r="I744" t="s">
        <v>7</v>
      </c>
      <c r="J744" s="22">
        <v>-38</v>
      </c>
      <c r="K744" t="str">
        <f t="shared" si="44"/>
        <v>avril</v>
      </c>
      <c r="L744" t="str">
        <f t="shared" si="45"/>
        <v>Dépenses</v>
      </c>
    </row>
    <row r="745" spans="1:12" ht="11.25" customHeight="1" x14ac:dyDescent="0.2">
      <c r="A745" t="s">
        <v>94</v>
      </c>
      <c r="B745" s="4" t="s">
        <v>70</v>
      </c>
      <c r="C745" s="7" t="s">
        <v>749</v>
      </c>
      <c r="D745" s="2">
        <v>43570</v>
      </c>
      <c r="E745" s="2">
        <f t="shared" si="46"/>
        <v>43570</v>
      </c>
      <c r="F745" s="4" t="s">
        <v>232</v>
      </c>
      <c r="G745" s="4" t="s">
        <v>79</v>
      </c>
      <c r="H745" s="4" t="s">
        <v>233</v>
      </c>
      <c r="I745" t="s">
        <v>7</v>
      </c>
      <c r="J745" s="23">
        <v>-22.1</v>
      </c>
      <c r="K745" t="str">
        <f t="shared" si="44"/>
        <v>avril</v>
      </c>
      <c r="L745" t="str">
        <f t="shared" si="45"/>
        <v>Dépenses</v>
      </c>
    </row>
    <row r="746" spans="1:12" ht="15" customHeight="1" x14ac:dyDescent="0.2">
      <c r="A746" t="s">
        <v>77</v>
      </c>
      <c r="B746" t="s">
        <v>113</v>
      </c>
      <c r="D746" s="2">
        <v>43570</v>
      </c>
      <c r="E746" s="2">
        <f t="shared" si="46"/>
        <v>43570</v>
      </c>
      <c r="F746" t="s">
        <v>752</v>
      </c>
      <c r="G746" t="s">
        <v>115</v>
      </c>
      <c r="H746" t="s">
        <v>114</v>
      </c>
      <c r="I746" t="s">
        <v>7</v>
      </c>
      <c r="J746" s="22">
        <v>-15</v>
      </c>
      <c r="K746" t="str">
        <f t="shared" si="44"/>
        <v>avril</v>
      </c>
      <c r="L746" t="str">
        <f t="shared" si="45"/>
        <v>Dépenses</v>
      </c>
    </row>
    <row r="747" spans="1:12" ht="15" customHeight="1" x14ac:dyDescent="0.2">
      <c r="A747" t="s">
        <v>2</v>
      </c>
      <c r="B747" t="s">
        <v>3</v>
      </c>
      <c r="C747" s="1" t="s">
        <v>757</v>
      </c>
      <c r="D747" s="2">
        <v>43571</v>
      </c>
      <c r="E747" s="2">
        <f t="shared" si="46"/>
        <v>43596</v>
      </c>
      <c r="F747" t="s">
        <v>344</v>
      </c>
      <c r="G747" t="s">
        <v>49</v>
      </c>
      <c r="H747" t="s">
        <v>6</v>
      </c>
      <c r="I747" t="s">
        <v>7</v>
      </c>
      <c r="J747" s="22">
        <f>-2.85-4.3</f>
        <v>-7.15</v>
      </c>
      <c r="K747" t="str">
        <f t="shared" si="44"/>
        <v>avril</v>
      </c>
      <c r="L747" t="str">
        <f t="shared" si="45"/>
        <v>Dépenses</v>
      </c>
    </row>
    <row r="748" spans="1:12" ht="15" customHeight="1" x14ac:dyDescent="0.2">
      <c r="A748" t="s">
        <v>2</v>
      </c>
      <c r="B748" t="s">
        <v>3</v>
      </c>
      <c r="C748" s="1" t="s">
        <v>757</v>
      </c>
      <c r="D748" s="2">
        <v>43571</v>
      </c>
      <c r="E748" s="2">
        <f t="shared" si="46"/>
        <v>43596</v>
      </c>
      <c r="F748" t="s">
        <v>5</v>
      </c>
      <c r="G748" t="s">
        <v>5</v>
      </c>
      <c r="H748" t="s">
        <v>6</v>
      </c>
      <c r="I748" t="s">
        <v>7</v>
      </c>
      <c r="J748" s="22">
        <f>-30.51--7.15</f>
        <v>-23.36</v>
      </c>
      <c r="K748" t="str">
        <f t="shared" si="44"/>
        <v>avril</v>
      </c>
      <c r="L748" t="str">
        <f t="shared" si="45"/>
        <v>Dépenses</v>
      </c>
    </row>
    <row r="749" spans="1:12" ht="15" customHeight="1" x14ac:dyDescent="0.2">
      <c r="A749" t="s">
        <v>108</v>
      </c>
      <c r="B749" t="s">
        <v>109</v>
      </c>
      <c r="C749" s="1" t="s">
        <v>759</v>
      </c>
      <c r="D749" s="2">
        <v>43571</v>
      </c>
      <c r="E749" s="2">
        <f t="shared" si="46"/>
        <v>43571</v>
      </c>
      <c r="F749" t="s">
        <v>5</v>
      </c>
      <c r="G749" t="s">
        <v>5</v>
      </c>
      <c r="H749" t="s">
        <v>23</v>
      </c>
      <c r="I749" t="s">
        <v>7</v>
      </c>
      <c r="J749" s="22">
        <v>-1.25</v>
      </c>
      <c r="K749" t="str">
        <f t="shared" si="44"/>
        <v>avril</v>
      </c>
      <c r="L749" t="str">
        <f t="shared" si="45"/>
        <v>Dépenses</v>
      </c>
    </row>
    <row r="750" spans="1:12" ht="15" customHeight="1" x14ac:dyDescent="0.2">
      <c r="A750" t="s">
        <v>108</v>
      </c>
      <c r="B750" t="s">
        <v>287</v>
      </c>
      <c r="C750">
        <v>1155081</v>
      </c>
      <c r="D750" s="2">
        <v>43571</v>
      </c>
      <c r="E750" s="2">
        <f t="shared" si="46"/>
        <v>43571</v>
      </c>
      <c r="F750" t="s">
        <v>760</v>
      </c>
      <c r="I750" t="s">
        <v>7</v>
      </c>
      <c r="J750" s="22">
        <v>-59</v>
      </c>
      <c r="K750" t="str">
        <f t="shared" si="44"/>
        <v>avril</v>
      </c>
      <c r="L750" t="str">
        <f t="shared" si="45"/>
        <v>Dépenses</v>
      </c>
    </row>
    <row r="751" spans="1:12" ht="15" customHeight="1" x14ac:dyDescent="0.2">
      <c r="A751" t="s">
        <v>108</v>
      </c>
      <c r="B751" t="s">
        <v>287</v>
      </c>
      <c r="C751">
        <v>1155080</v>
      </c>
      <c r="D751" s="2">
        <v>43571</v>
      </c>
      <c r="E751" s="2">
        <f t="shared" si="46"/>
        <v>43571</v>
      </c>
      <c r="F751" t="s">
        <v>761</v>
      </c>
      <c r="G751" t="s">
        <v>111</v>
      </c>
      <c r="H751" t="s">
        <v>762</v>
      </c>
      <c r="I751" t="s">
        <v>7</v>
      </c>
      <c r="J751" s="22">
        <v>-76.8</v>
      </c>
      <c r="K751" t="str">
        <f t="shared" si="44"/>
        <v>avril</v>
      </c>
      <c r="L751" t="str">
        <f t="shared" si="45"/>
        <v>Dépenses</v>
      </c>
    </row>
    <row r="752" spans="1:12" ht="11.25" customHeight="1" x14ac:dyDescent="0.2">
      <c r="A752" t="s">
        <v>94</v>
      </c>
      <c r="B752" s="4" t="s">
        <v>70</v>
      </c>
      <c r="C752" s="7" t="s">
        <v>753</v>
      </c>
      <c r="D752" s="2">
        <v>43571</v>
      </c>
      <c r="E752" s="2">
        <f t="shared" si="46"/>
        <v>43571</v>
      </c>
      <c r="F752" s="4" t="s">
        <v>240</v>
      </c>
      <c r="G752" s="4" t="s">
        <v>73</v>
      </c>
      <c r="H752" s="4" t="s">
        <v>241</v>
      </c>
      <c r="I752" t="s">
        <v>7</v>
      </c>
      <c r="J752" s="23">
        <v>-164.14</v>
      </c>
      <c r="K752" t="str">
        <f t="shared" si="44"/>
        <v>avril</v>
      </c>
      <c r="L752" t="str">
        <f t="shared" si="45"/>
        <v>Dépenses</v>
      </c>
    </row>
    <row r="753" spans="1:12" x14ac:dyDescent="0.2">
      <c r="A753" t="s">
        <v>94</v>
      </c>
      <c r="B753" s="4" t="s">
        <v>70</v>
      </c>
      <c r="C753" s="8" t="s">
        <v>754</v>
      </c>
      <c r="D753" s="2">
        <v>43571</v>
      </c>
      <c r="E753" s="2">
        <f t="shared" si="46"/>
        <v>43571</v>
      </c>
      <c r="F753" t="s">
        <v>243</v>
      </c>
      <c r="G753" t="s">
        <v>244</v>
      </c>
      <c r="H753" t="s">
        <v>245</v>
      </c>
      <c r="I753" t="s">
        <v>7</v>
      </c>
      <c r="J753" s="23">
        <v>-34.950000000000003</v>
      </c>
      <c r="K753" t="str">
        <f t="shared" si="44"/>
        <v>avril</v>
      </c>
      <c r="L753" t="str">
        <f t="shared" si="45"/>
        <v>Dépenses</v>
      </c>
    </row>
    <row r="754" spans="1:12" ht="11.25" customHeight="1" x14ac:dyDescent="0.2">
      <c r="A754" t="s">
        <v>94</v>
      </c>
      <c r="B754" s="4" t="s">
        <v>70</v>
      </c>
      <c r="C754" s="7" t="s">
        <v>755</v>
      </c>
      <c r="D754" s="2">
        <v>43571</v>
      </c>
      <c r="E754" s="2">
        <f t="shared" si="46"/>
        <v>43571</v>
      </c>
      <c r="F754" t="s">
        <v>247</v>
      </c>
      <c r="G754" t="s">
        <v>134</v>
      </c>
      <c r="H754" t="s">
        <v>319</v>
      </c>
      <c r="I754" t="s">
        <v>7</v>
      </c>
      <c r="J754" s="23">
        <v>-38</v>
      </c>
      <c r="K754" t="str">
        <f t="shared" si="44"/>
        <v>avril</v>
      </c>
      <c r="L754" t="str">
        <f t="shared" si="45"/>
        <v>Dépenses</v>
      </c>
    </row>
    <row r="755" spans="1:12" x14ac:dyDescent="0.2">
      <c r="A755" t="s">
        <v>94</v>
      </c>
      <c r="B755" s="4" t="s">
        <v>70</v>
      </c>
      <c r="C755" s="7" t="s">
        <v>756</v>
      </c>
      <c r="D755" s="2">
        <v>43571</v>
      </c>
      <c r="E755" s="2">
        <f t="shared" si="46"/>
        <v>43571</v>
      </c>
      <c r="F755" t="s">
        <v>249</v>
      </c>
      <c r="G755" t="s">
        <v>134</v>
      </c>
      <c r="H755" t="s">
        <v>319</v>
      </c>
      <c r="I755" t="s">
        <v>7</v>
      </c>
      <c r="J755" s="23">
        <v>-32</v>
      </c>
      <c r="K755" t="str">
        <f t="shared" si="44"/>
        <v>avril</v>
      </c>
      <c r="L755" t="str">
        <f t="shared" si="45"/>
        <v>Dépenses</v>
      </c>
    </row>
    <row r="756" spans="1:12" ht="15" customHeight="1" x14ac:dyDescent="0.2">
      <c r="A756" t="s">
        <v>77</v>
      </c>
      <c r="B756" t="s">
        <v>113</v>
      </c>
      <c r="D756" s="2">
        <v>43571</v>
      </c>
      <c r="E756" s="2">
        <f t="shared" si="46"/>
        <v>43571</v>
      </c>
      <c r="F756" t="s">
        <v>752</v>
      </c>
      <c r="G756" t="s">
        <v>115</v>
      </c>
      <c r="H756" t="s">
        <v>114</v>
      </c>
      <c r="I756" t="s">
        <v>7</v>
      </c>
      <c r="J756" s="22">
        <v>-20</v>
      </c>
      <c r="K756" t="str">
        <f t="shared" si="44"/>
        <v>avril</v>
      </c>
      <c r="L756" t="str">
        <f t="shared" si="45"/>
        <v>Dépenses</v>
      </c>
    </row>
    <row r="757" spans="1:12" x14ac:dyDescent="0.2">
      <c r="A757" t="s">
        <v>108</v>
      </c>
      <c r="B757" t="s">
        <v>84</v>
      </c>
      <c r="C757" s="1" t="s">
        <v>758</v>
      </c>
      <c r="D757" s="2">
        <v>43571</v>
      </c>
      <c r="E757" s="2">
        <f t="shared" si="46"/>
        <v>43571</v>
      </c>
      <c r="F757" t="s">
        <v>515</v>
      </c>
      <c r="G757" t="s">
        <v>111</v>
      </c>
      <c r="H757" t="s">
        <v>145</v>
      </c>
      <c r="I757" t="s">
        <v>7</v>
      </c>
      <c r="J757" s="22">
        <v>24.79</v>
      </c>
      <c r="K757" t="str">
        <f t="shared" si="44"/>
        <v>avril</v>
      </c>
      <c r="L757" t="str">
        <f t="shared" si="45"/>
        <v>Recettes</v>
      </c>
    </row>
    <row r="758" spans="1:12" ht="11.25" customHeight="1" x14ac:dyDescent="0.2">
      <c r="A758" t="s">
        <v>2</v>
      </c>
      <c r="B758" t="s">
        <v>8</v>
      </c>
      <c r="C758" t="s">
        <v>763</v>
      </c>
      <c r="D758" s="2">
        <v>43572</v>
      </c>
      <c r="E758" s="2">
        <f t="shared" si="46"/>
        <v>43596</v>
      </c>
      <c r="F758" t="s">
        <v>764</v>
      </c>
      <c r="G758" t="s">
        <v>19</v>
      </c>
      <c r="H758" t="s">
        <v>14</v>
      </c>
      <c r="I758" t="s">
        <v>7</v>
      </c>
      <c r="J758" s="22">
        <v>-6.87</v>
      </c>
      <c r="K758" t="str">
        <f t="shared" si="44"/>
        <v>avril</v>
      </c>
      <c r="L758" t="str">
        <f t="shared" si="45"/>
        <v>Dépenses</v>
      </c>
    </row>
    <row r="759" spans="1:12" ht="11.25" customHeight="1" x14ac:dyDescent="0.2">
      <c r="A759" t="s">
        <v>2</v>
      </c>
      <c r="B759" t="s">
        <v>8</v>
      </c>
      <c r="C759" t="s">
        <v>763</v>
      </c>
      <c r="D759" s="2">
        <v>43572</v>
      </c>
      <c r="E759" s="2">
        <f t="shared" si="46"/>
        <v>43596</v>
      </c>
      <c r="F759" t="s">
        <v>765</v>
      </c>
      <c r="G759" t="s">
        <v>115</v>
      </c>
      <c r="H759" t="s">
        <v>14</v>
      </c>
      <c r="I759" t="s">
        <v>7</v>
      </c>
      <c r="J759" s="22">
        <f>-14.16--6.87</f>
        <v>-7.29</v>
      </c>
      <c r="K759" t="str">
        <f t="shared" si="44"/>
        <v>avril</v>
      </c>
      <c r="L759" t="str">
        <f t="shared" si="45"/>
        <v>Dépenses</v>
      </c>
    </row>
    <row r="760" spans="1:12" ht="11.25" customHeight="1" x14ac:dyDescent="0.2">
      <c r="A760" t="s">
        <v>2</v>
      </c>
      <c r="B760" t="s">
        <v>8</v>
      </c>
      <c r="C760" t="s">
        <v>766</v>
      </c>
      <c r="D760" s="2">
        <v>43572</v>
      </c>
      <c r="E760" s="2">
        <f t="shared" si="46"/>
        <v>43596</v>
      </c>
      <c r="F760" t="s">
        <v>767</v>
      </c>
      <c r="G760" t="s">
        <v>115</v>
      </c>
      <c r="H760" t="s">
        <v>22</v>
      </c>
      <c r="I760" t="s">
        <v>7</v>
      </c>
      <c r="J760" s="22">
        <f>-4.15-2.5</f>
        <v>-6.65</v>
      </c>
      <c r="K760" t="str">
        <f t="shared" si="44"/>
        <v>avril</v>
      </c>
      <c r="L760" t="str">
        <f t="shared" si="45"/>
        <v>Dépenses</v>
      </c>
    </row>
    <row r="761" spans="1:12" x14ac:dyDescent="0.2">
      <c r="A761" t="s">
        <v>2</v>
      </c>
      <c r="B761" t="s">
        <v>8</v>
      </c>
      <c r="C761" t="s">
        <v>766</v>
      </c>
      <c r="D761" s="2">
        <v>43572</v>
      </c>
      <c r="E761" s="2">
        <f t="shared" si="46"/>
        <v>43596</v>
      </c>
      <c r="F761" t="s">
        <v>398</v>
      </c>
      <c r="G761" t="s">
        <v>5</v>
      </c>
      <c r="H761" t="s">
        <v>22</v>
      </c>
      <c r="I761" t="s">
        <v>7</v>
      </c>
      <c r="J761" s="22">
        <f>-12.25--6.65</f>
        <v>-5.6</v>
      </c>
      <c r="K761" t="str">
        <f t="shared" si="44"/>
        <v>avril</v>
      </c>
      <c r="L761" t="str">
        <f t="shared" si="45"/>
        <v>Dépenses</v>
      </c>
    </row>
    <row r="762" spans="1:12" x14ac:dyDescent="0.2">
      <c r="A762" t="s">
        <v>2</v>
      </c>
      <c r="B762" t="s">
        <v>8</v>
      </c>
      <c r="C762" s="1" t="s">
        <v>768</v>
      </c>
      <c r="D762" s="2">
        <v>43572</v>
      </c>
      <c r="E762" s="2">
        <f t="shared" si="46"/>
        <v>43596</v>
      </c>
      <c r="F762" t="s">
        <v>769</v>
      </c>
      <c r="G762" t="s">
        <v>533</v>
      </c>
      <c r="H762" t="s">
        <v>657</v>
      </c>
      <c r="I762" t="s">
        <v>7</v>
      </c>
      <c r="J762" s="22">
        <f>-23.75*2</f>
        <v>-47.5</v>
      </c>
      <c r="K762" t="str">
        <f t="shared" si="44"/>
        <v>avril</v>
      </c>
      <c r="L762" t="str">
        <f t="shared" si="45"/>
        <v>Dépenses</v>
      </c>
    </row>
    <row r="763" spans="1:12" x14ac:dyDescent="0.2">
      <c r="A763" t="s">
        <v>77</v>
      </c>
      <c r="B763" t="s">
        <v>774</v>
      </c>
      <c r="C763" t="s">
        <v>775</v>
      </c>
      <c r="D763" s="2">
        <v>43573</v>
      </c>
      <c r="E763" s="2">
        <f t="shared" si="46"/>
        <v>43573</v>
      </c>
      <c r="F763" t="s">
        <v>769</v>
      </c>
      <c r="G763" t="s">
        <v>533</v>
      </c>
      <c r="H763" t="s">
        <v>657</v>
      </c>
      <c r="I763" t="s">
        <v>7</v>
      </c>
      <c r="J763" s="22">
        <v>47.5</v>
      </c>
      <c r="K763" t="str">
        <f t="shared" si="44"/>
        <v>avril</v>
      </c>
      <c r="L763" t="str">
        <f t="shared" si="45"/>
        <v>Recettes</v>
      </c>
    </row>
    <row r="764" spans="1:12" x14ac:dyDescent="0.2">
      <c r="A764" t="s">
        <v>2</v>
      </c>
      <c r="B764" t="s">
        <v>8</v>
      </c>
      <c r="C764" s="1" t="s">
        <v>772</v>
      </c>
      <c r="D764" s="2">
        <v>43573</v>
      </c>
      <c r="E764" s="2">
        <f t="shared" ref="E764:E795" si="47">IF(A764="","",IF(A764&lt;&gt;"Carte Lux",D764,VLOOKUP(D764,Periode_datedebit_2019,3)))</f>
        <v>43596</v>
      </c>
      <c r="F764" t="s">
        <v>444</v>
      </c>
      <c r="G764" t="s">
        <v>19</v>
      </c>
      <c r="H764" t="s">
        <v>773</v>
      </c>
      <c r="I764" t="s">
        <v>7</v>
      </c>
      <c r="J764" s="22">
        <v>-49.99</v>
      </c>
      <c r="K764" t="str">
        <f t="shared" si="44"/>
        <v>avril</v>
      </c>
      <c r="L764" t="str">
        <f t="shared" si="45"/>
        <v>Dépenses</v>
      </c>
    </row>
    <row r="765" spans="1:12" x14ac:dyDescent="0.2">
      <c r="A765" t="s">
        <v>108</v>
      </c>
      <c r="B765" t="s">
        <v>109</v>
      </c>
      <c r="C765" s="1"/>
      <c r="D765" s="2">
        <v>43573</v>
      </c>
      <c r="E765" s="2">
        <f t="shared" si="47"/>
        <v>43573</v>
      </c>
      <c r="F765" t="s">
        <v>5</v>
      </c>
      <c r="G765" t="s">
        <v>5</v>
      </c>
      <c r="H765" t="s">
        <v>23</v>
      </c>
      <c r="I765" t="s">
        <v>7</v>
      </c>
      <c r="J765" s="22">
        <v>-1.25</v>
      </c>
      <c r="K765" t="str">
        <f t="shared" si="44"/>
        <v>avril</v>
      </c>
      <c r="L765" t="str">
        <f t="shared" si="45"/>
        <v>Dépenses</v>
      </c>
    </row>
    <row r="766" spans="1:12" x14ac:dyDescent="0.2">
      <c r="A766" t="s">
        <v>108</v>
      </c>
      <c r="B766" t="s">
        <v>109</v>
      </c>
      <c r="C766" s="1" t="s">
        <v>770</v>
      </c>
      <c r="D766" s="2">
        <v>43573</v>
      </c>
      <c r="E766" s="2">
        <f t="shared" si="47"/>
        <v>43573</v>
      </c>
      <c r="F766" t="s">
        <v>771</v>
      </c>
      <c r="G766" t="s">
        <v>270</v>
      </c>
      <c r="H766" t="s">
        <v>399</v>
      </c>
      <c r="I766" t="s">
        <v>7</v>
      </c>
      <c r="J766" s="22">
        <v>-23</v>
      </c>
      <c r="K766" t="str">
        <f t="shared" si="44"/>
        <v>avril</v>
      </c>
      <c r="L766" t="str">
        <f t="shared" si="45"/>
        <v>Dépenses</v>
      </c>
    </row>
    <row r="767" spans="1:12" x14ac:dyDescent="0.2">
      <c r="A767" t="s">
        <v>108</v>
      </c>
      <c r="B767" t="s">
        <v>109</v>
      </c>
      <c r="C767" s="1" t="s">
        <v>776</v>
      </c>
      <c r="D767" s="2">
        <v>43574</v>
      </c>
      <c r="E767" s="2">
        <f t="shared" si="47"/>
        <v>43574</v>
      </c>
      <c r="F767" t="s">
        <v>21</v>
      </c>
      <c r="G767" t="s">
        <v>21</v>
      </c>
      <c r="H767" t="s">
        <v>777</v>
      </c>
      <c r="I767" t="s">
        <v>487</v>
      </c>
      <c r="J767" s="22">
        <v>-9.8000000000000007</v>
      </c>
      <c r="K767" t="str">
        <f t="shared" si="44"/>
        <v>avril</v>
      </c>
      <c r="L767" t="str">
        <f t="shared" si="45"/>
        <v>Dépenses</v>
      </c>
    </row>
    <row r="768" spans="1:12" ht="15" customHeight="1" x14ac:dyDescent="0.2">
      <c r="A768" t="s">
        <v>108</v>
      </c>
      <c r="B768" t="s">
        <v>109</v>
      </c>
      <c r="C768" s="1" t="s">
        <v>781</v>
      </c>
      <c r="D768" s="2">
        <v>43574</v>
      </c>
      <c r="E768" s="2">
        <f t="shared" si="47"/>
        <v>43574</v>
      </c>
      <c r="F768" t="s">
        <v>426</v>
      </c>
      <c r="G768" t="s">
        <v>63</v>
      </c>
      <c r="H768" t="s">
        <v>64</v>
      </c>
      <c r="I768" t="s">
        <v>7</v>
      </c>
      <c r="J768" s="22">
        <v>-30.1</v>
      </c>
      <c r="K768" t="str">
        <f t="shared" si="44"/>
        <v>avril</v>
      </c>
      <c r="L768" t="str">
        <f t="shared" si="45"/>
        <v>Dépenses</v>
      </c>
    </row>
    <row r="769" spans="1:12" x14ac:dyDescent="0.2">
      <c r="A769" t="s">
        <v>108</v>
      </c>
      <c r="B769" t="s">
        <v>109</v>
      </c>
      <c r="C769" s="1" t="s">
        <v>781</v>
      </c>
      <c r="D769" s="2">
        <v>43574</v>
      </c>
      <c r="E769" s="2">
        <f t="shared" si="47"/>
        <v>43574</v>
      </c>
      <c r="F769" t="s">
        <v>21</v>
      </c>
      <c r="G769" t="s">
        <v>21</v>
      </c>
      <c r="H769" t="s">
        <v>64</v>
      </c>
      <c r="I769" t="s">
        <v>7</v>
      </c>
      <c r="J769" s="22">
        <v>-4.9000000000000004</v>
      </c>
      <c r="K769" t="str">
        <f t="shared" si="44"/>
        <v>avril</v>
      </c>
      <c r="L769" t="str">
        <f t="shared" si="45"/>
        <v>Dépenses</v>
      </c>
    </row>
    <row r="770" spans="1:12" ht="15" customHeight="1" x14ac:dyDescent="0.2">
      <c r="A770" t="s">
        <v>94</v>
      </c>
      <c r="B770" t="s">
        <v>122</v>
      </c>
      <c r="C770" t="s">
        <v>782</v>
      </c>
      <c r="D770" s="2">
        <v>43574</v>
      </c>
      <c r="E770" s="2">
        <f t="shared" si="47"/>
        <v>43574</v>
      </c>
      <c r="F770" t="s">
        <v>123</v>
      </c>
      <c r="G770" t="s">
        <v>25</v>
      </c>
      <c r="H770" t="s">
        <v>124</v>
      </c>
      <c r="I770" t="s">
        <v>7</v>
      </c>
      <c r="J770" s="22">
        <v>-34</v>
      </c>
      <c r="K770" t="str">
        <f t="shared" ref="K770:K833" si="48">IF(D770="","",TEXT(D770,"Mmmm"))</f>
        <v>avril</v>
      </c>
      <c r="L770" t="str">
        <f t="shared" ref="L770:L833" si="49">IF(J770="","",IF(J770&lt;0,"Dépenses","Recettes"))</f>
        <v>Dépenses</v>
      </c>
    </row>
    <row r="771" spans="1:12" x14ac:dyDescent="0.2">
      <c r="A771" t="s">
        <v>77</v>
      </c>
      <c r="B771" t="s">
        <v>113</v>
      </c>
      <c r="C771" s="1" t="s">
        <v>778</v>
      </c>
      <c r="D771" s="2">
        <v>43574</v>
      </c>
      <c r="E771" s="2">
        <f t="shared" si="47"/>
        <v>43574</v>
      </c>
      <c r="F771" t="s">
        <v>5</v>
      </c>
      <c r="G771" t="s">
        <v>5</v>
      </c>
      <c r="H771" t="s">
        <v>50</v>
      </c>
      <c r="I771" t="s">
        <v>7</v>
      </c>
      <c r="J771" s="22">
        <v>-59.08</v>
      </c>
      <c r="K771" t="str">
        <f t="shared" si="48"/>
        <v>avril</v>
      </c>
      <c r="L771" t="str">
        <f t="shared" si="49"/>
        <v>Dépenses</v>
      </c>
    </row>
    <row r="772" spans="1:12" ht="15" customHeight="1" x14ac:dyDescent="0.2">
      <c r="A772" t="s">
        <v>69</v>
      </c>
      <c r="B772" t="s">
        <v>84</v>
      </c>
      <c r="C772" s="1" t="s">
        <v>779</v>
      </c>
      <c r="D772" s="2">
        <v>43574</v>
      </c>
      <c r="E772" s="2">
        <f t="shared" si="47"/>
        <v>43574</v>
      </c>
      <c r="F772" t="s">
        <v>780</v>
      </c>
      <c r="G772" t="s">
        <v>111</v>
      </c>
      <c r="H772" t="s">
        <v>194</v>
      </c>
      <c r="I772" t="s">
        <v>7</v>
      </c>
      <c r="J772" s="22">
        <f>20.21+7.68</f>
        <v>27.89</v>
      </c>
      <c r="K772" t="str">
        <f t="shared" si="48"/>
        <v>avril</v>
      </c>
      <c r="L772" t="str">
        <f t="shared" si="49"/>
        <v>Recettes</v>
      </c>
    </row>
    <row r="773" spans="1:12" ht="15" customHeight="1" x14ac:dyDescent="0.2">
      <c r="A773" t="s">
        <v>2</v>
      </c>
      <c r="B773" t="s">
        <v>8</v>
      </c>
      <c r="C773" t="s">
        <v>786</v>
      </c>
      <c r="D773" s="2">
        <v>43575</v>
      </c>
      <c r="E773" s="2">
        <f t="shared" si="47"/>
        <v>43627</v>
      </c>
      <c r="F773" t="s">
        <v>131</v>
      </c>
      <c r="G773" t="s">
        <v>132</v>
      </c>
      <c r="H773" t="s">
        <v>64</v>
      </c>
      <c r="I773" t="s">
        <v>487</v>
      </c>
      <c r="J773" s="22">
        <v>-41.84</v>
      </c>
      <c r="K773" t="str">
        <f t="shared" si="48"/>
        <v>avril</v>
      </c>
      <c r="L773" t="str">
        <f t="shared" si="49"/>
        <v>Dépenses</v>
      </c>
    </row>
    <row r="774" spans="1:12" x14ac:dyDescent="0.2">
      <c r="A774" t="s">
        <v>2</v>
      </c>
      <c r="B774" t="s">
        <v>8</v>
      </c>
      <c r="C774" t="s">
        <v>787</v>
      </c>
      <c r="D774" s="2">
        <v>43575</v>
      </c>
      <c r="E774" s="2">
        <f t="shared" si="47"/>
        <v>43627</v>
      </c>
      <c r="F774" t="s">
        <v>788</v>
      </c>
      <c r="G774" t="s">
        <v>115</v>
      </c>
      <c r="H774" t="s">
        <v>64</v>
      </c>
      <c r="I774" t="s">
        <v>7</v>
      </c>
      <c r="J774" s="22">
        <v>-1.75</v>
      </c>
      <c r="K774" t="str">
        <f t="shared" si="48"/>
        <v>avril</v>
      </c>
      <c r="L774" t="str">
        <f t="shared" si="49"/>
        <v>Dépenses</v>
      </c>
    </row>
    <row r="775" spans="1:12" ht="11.25" customHeight="1" x14ac:dyDescent="0.2">
      <c r="A775" t="s">
        <v>2</v>
      </c>
      <c r="B775" t="s">
        <v>8</v>
      </c>
      <c r="C775" t="s">
        <v>787</v>
      </c>
      <c r="D775" s="2">
        <v>43575</v>
      </c>
      <c r="E775" s="2">
        <f t="shared" si="47"/>
        <v>43627</v>
      </c>
      <c r="F775" t="s">
        <v>559</v>
      </c>
      <c r="G775" t="s">
        <v>63</v>
      </c>
      <c r="H775" t="s">
        <v>64</v>
      </c>
      <c r="I775" t="s">
        <v>7</v>
      </c>
      <c r="J775" s="22">
        <v>-42.11</v>
      </c>
      <c r="K775" t="str">
        <f t="shared" si="48"/>
        <v>avril</v>
      </c>
      <c r="L775" t="str">
        <f t="shared" si="49"/>
        <v>Dépenses</v>
      </c>
    </row>
    <row r="776" spans="1:12" x14ac:dyDescent="0.2">
      <c r="A776" t="s">
        <v>2</v>
      </c>
      <c r="B776" t="s">
        <v>8</v>
      </c>
      <c r="C776" t="s">
        <v>789</v>
      </c>
      <c r="D776" s="2">
        <v>43575</v>
      </c>
      <c r="E776" s="2">
        <f t="shared" si="47"/>
        <v>43627</v>
      </c>
      <c r="F776" t="s">
        <v>790</v>
      </c>
      <c r="G776" t="s">
        <v>19</v>
      </c>
      <c r="H776" t="s">
        <v>791</v>
      </c>
      <c r="I776" t="s">
        <v>487</v>
      </c>
      <c r="J776" s="22">
        <v>-16</v>
      </c>
      <c r="K776" t="str">
        <f t="shared" si="48"/>
        <v>avril</v>
      </c>
      <c r="L776" t="str">
        <f t="shared" si="49"/>
        <v>Dépenses</v>
      </c>
    </row>
    <row r="777" spans="1:12" ht="15" customHeight="1" x14ac:dyDescent="0.2">
      <c r="A777" t="s">
        <v>2</v>
      </c>
      <c r="B777" t="s">
        <v>8</v>
      </c>
      <c r="C777" t="s">
        <v>793</v>
      </c>
      <c r="D777" s="2">
        <v>43575</v>
      </c>
      <c r="E777" s="2">
        <f t="shared" si="47"/>
        <v>43627</v>
      </c>
      <c r="F777" t="s">
        <v>794</v>
      </c>
      <c r="G777" t="s">
        <v>5</v>
      </c>
      <c r="H777" t="s">
        <v>33</v>
      </c>
      <c r="I777" t="s">
        <v>7</v>
      </c>
      <c r="J777" s="22">
        <v>-5.15</v>
      </c>
      <c r="K777" t="str">
        <f t="shared" si="48"/>
        <v>avril</v>
      </c>
      <c r="L777" t="str">
        <f t="shared" si="49"/>
        <v>Dépenses</v>
      </c>
    </row>
    <row r="778" spans="1:12" ht="15" customHeight="1" x14ac:dyDescent="0.2">
      <c r="A778" t="s">
        <v>108</v>
      </c>
      <c r="B778" t="s">
        <v>109</v>
      </c>
      <c r="C778" s="1" t="s">
        <v>783</v>
      </c>
      <c r="D778" s="2">
        <v>43575</v>
      </c>
      <c r="E778" s="2">
        <f t="shared" si="47"/>
        <v>43575</v>
      </c>
      <c r="F778" t="s">
        <v>784</v>
      </c>
      <c r="G778" t="s">
        <v>111</v>
      </c>
      <c r="H778" t="s">
        <v>785</v>
      </c>
      <c r="I778" t="s">
        <v>7</v>
      </c>
      <c r="J778" s="22">
        <v>-15.98</v>
      </c>
      <c r="K778" t="str">
        <f t="shared" si="48"/>
        <v>avril</v>
      </c>
      <c r="L778" t="str">
        <f t="shared" si="49"/>
        <v>Dépenses</v>
      </c>
    </row>
    <row r="779" spans="1:12" ht="15" customHeight="1" x14ac:dyDescent="0.2">
      <c r="A779" t="s">
        <v>108</v>
      </c>
      <c r="B779" t="s">
        <v>109</v>
      </c>
      <c r="C779" s="7"/>
      <c r="D779" s="2">
        <v>43575</v>
      </c>
      <c r="F779" t="s">
        <v>792</v>
      </c>
      <c r="G779" t="s">
        <v>52</v>
      </c>
      <c r="H779" t="s">
        <v>526</v>
      </c>
      <c r="I779" t="s">
        <v>7</v>
      </c>
      <c r="J779" s="23">
        <v>-19.95</v>
      </c>
      <c r="K779" t="str">
        <f t="shared" si="48"/>
        <v>avril</v>
      </c>
      <c r="L779" t="str">
        <f t="shared" si="49"/>
        <v>Dépenses</v>
      </c>
    </row>
    <row r="780" spans="1:12" x14ac:dyDescent="0.2">
      <c r="A780" t="s">
        <v>2</v>
      </c>
      <c r="B780" t="s">
        <v>8</v>
      </c>
      <c r="D780" s="2">
        <v>43576</v>
      </c>
      <c r="E780" s="2">
        <f t="shared" ref="E780:E843" si="50">IF(A780="","",IF(A780&lt;&gt;"Carte Lux",D780,VLOOKUP(D780,Periode_datedebit_2019,3)))</f>
        <v>43627</v>
      </c>
      <c r="F780" t="s">
        <v>795</v>
      </c>
      <c r="G780" t="s">
        <v>5</v>
      </c>
      <c r="H780" t="s">
        <v>737</v>
      </c>
      <c r="I780" t="s">
        <v>7</v>
      </c>
      <c r="J780" s="22">
        <v>-8.4</v>
      </c>
      <c r="K780" t="str">
        <f t="shared" si="48"/>
        <v>avril</v>
      </c>
      <c r="L780" t="str">
        <f t="shared" si="49"/>
        <v>Dépenses</v>
      </c>
    </row>
    <row r="781" spans="1:12" ht="15" customHeight="1" x14ac:dyDescent="0.2">
      <c r="A781" t="s">
        <v>2</v>
      </c>
      <c r="B781" t="s">
        <v>8</v>
      </c>
      <c r="D781" s="2">
        <v>43576</v>
      </c>
      <c r="E781" s="2">
        <f t="shared" si="50"/>
        <v>43627</v>
      </c>
      <c r="F781" t="s">
        <v>5</v>
      </c>
      <c r="G781" t="s">
        <v>5</v>
      </c>
      <c r="H781" t="s">
        <v>50</v>
      </c>
      <c r="I781" t="s">
        <v>7</v>
      </c>
      <c r="J781" s="22">
        <v>-10.63</v>
      </c>
      <c r="K781" t="str">
        <f t="shared" si="48"/>
        <v>avril</v>
      </c>
      <c r="L781" t="str">
        <f t="shared" si="49"/>
        <v>Dépenses</v>
      </c>
    </row>
    <row r="782" spans="1:12" ht="15" customHeight="1" x14ac:dyDescent="0.2">
      <c r="A782" t="s">
        <v>2</v>
      </c>
      <c r="B782" t="s">
        <v>8</v>
      </c>
      <c r="D782" s="2">
        <v>43577</v>
      </c>
      <c r="E782" s="2">
        <f t="shared" si="50"/>
        <v>43627</v>
      </c>
      <c r="F782" t="s">
        <v>123</v>
      </c>
      <c r="G782" t="s">
        <v>25</v>
      </c>
      <c r="H782" t="s">
        <v>796</v>
      </c>
      <c r="I782" t="s">
        <v>7</v>
      </c>
      <c r="J782" s="22">
        <v>-31.9</v>
      </c>
      <c r="K782" t="str">
        <f t="shared" si="48"/>
        <v>avril</v>
      </c>
      <c r="L782" t="str">
        <f t="shared" si="49"/>
        <v>Dépenses</v>
      </c>
    </row>
    <row r="783" spans="1:12" ht="15" customHeight="1" x14ac:dyDescent="0.2">
      <c r="A783" t="s">
        <v>77</v>
      </c>
      <c r="B783" t="s">
        <v>113</v>
      </c>
      <c r="D783" s="2">
        <v>43577</v>
      </c>
      <c r="E783" s="2">
        <f t="shared" si="50"/>
        <v>43577</v>
      </c>
      <c r="F783" t="s">
        <v>295</v>
      </c>
      <c r="G783" t="s">
        <v>5</v>
      </c>
      <c r="H783" t="s">
        <v>22</v>
      </c>
      <c r="I783" t="s">
        <v>7</v>
      </c>
      <c r="J783" s="22">
        <v>-15.55</v>
      </c>
      <c r="K783" t="str">
        <f t="shared" si="48"/>
        <v>avril</v>
      </c>
      <c r="L783" t="str">
        <f t="shared" si="49"/>
        <v>Dépenses</v>
      </c>
    </row>
    <row r="784" spans="1:12" ht="15" customHeight="1" x14ac:dyDescent="0.2">
      <c r="A784" t="s">
        <v>2</v>
      </c>
      <c r="B784" t="s">
        <v>8</v>
      </c>
      <c r="D784" s="2">
        <v>43578</v>
      </c>
      <c r="E784" s="2">
        <f t="shared" si="50"/>
        <v>43627</v>
      </c>
      <c r="F784" t="s">
        <v>21</v>
      </c>
      <c r="G784" t="s">
        <v>21</v>
      </c>
      <c r="H784" t="s">
        <v>50</v>
      </c>
      <c r="I784" t="s">
        <v>7</v>
      </c>
      <c r="J784" s="22">
        <v>-15.1</v>
      </c>
      <c r="K784" t="str">
        <f t="shared" si="48"/>
        <v>avril</v>
      </c>
      <c r="L784" t="str">
        <f t="shared" si="49"/>
        <v>Dépenses</v>
      </c>
    </row>
    <row r="785" spans="1:12" ht="15" customHeight="1" x14ac:dyDescent="0.2">
      <c r="A785" t="s">
        <v>2</v>
      </c>
      <c r="B785" t="s">
        <v>3</v>
      </c>
      <c r="C785" s="1" t="s">
        <v>799</v>
      </c>
      <c r="D785" s="2">
        <v>43578</v>
      </c>
      <c r="E785" s="2">
        <f t="shared" si="50"/>
        <v>43627</v>
      </c>
      <c r="F785" t="s">
        <v>5</v>
      </c>
      <c r="G785" t="s">
        <v>5</v>
      </c>
      <c r="H785" t="s">
        <v>23</v>
      </c>
      <c r="I785" t="s">
        <v>7</v>
      </c>
      <c r="J785" s="22">
        <v>-82.07</v>
      </c>
      <c r="K785" t="str">
        <f t="shared" si="48"/>
        <v>avril</v>
      </c>
      <c r="L785" t="str">
        <f t="shared" si="49"/>
        <v>Dépenses</v>
      </c>
    </row>
    <row r="786" spans="1:12" ht="11.25" customHeight="1" x14ac:dyDescent="0.2">
      <c r="A786" t="s">
        <v>2</v>
      </c>
      <c r="B786" t="s">
        <v>3</v>
      </c>
      <c r="C786" s="1" t="s">
        <v>800</v>
      </c>
      <c r="D786" s="2">
        <v>43578</v>
      </c>
      <c r="E786" s="2">
        <f t="shared" si="50"/>
        <v>43627</v>
      </c>
      <c r="F786" t="s">
        <v>182</v>
      </c>
      <c r="G786" t="s">
        <v>49</v>
      </c>
      <c r="H786" t="s">
        <v>801</v>
      </c>
      <c r="I786" t="s">
        <v>7</v>
      </c>
      <c r="J786" s="22">
        <f>-4.3-3.35</f>
        <v>-7.65</v>
      </c>
      <c r="K786" t="str">
        <f t="shared" si="48"/>
        <v>avril</v>
      </c>
      <c r="L786" t="str">
        <f t="shared" si="49"/>
        <v>Dépenses</v>
      </c>
    </row>
    <row r="787" spans="1:12" ht="15" customHeight="1" x14ac:dyDescent="0.2">
      <c r="A787" t="s">
        <v>2</v>
      </c>
      <c r="B787" t="s">
        <v>3</v>
      </c>
      <c r="C787" s="1" t="s">
        <v>800</v>
      </c>
      <c r="D787" s="2">
        <v>43578</v>
      </c>
      <c r="E787" s="2">
        <f t="shared" si="50"/>
        <v>43627</v>
      </c>
      <c r="F787" t="s">
        <v>802</v>
      </c>
      <c r="G787" t="s">
        <v>270</v>
      </c>
      <c r="H787" t="s">
        <v>801</v>
      </c>
      <c r="I787" t="s">
        <v>7</v>
      </c>
      <c r="J787" s="22">
        <v>-4.99</v>
      </c>
      <c r="K787" t="str">
        <f t="shared" si="48"/>
        <v>avril</v>
      </c>
      <c r="L787" t="str">
        <f t="shared" si="49"/>
        <v>Dépenses</v>
      </c>
    </row>
    <row r="788" spans="1:12" ht="15" customHeight="1" x14ac:dyDescent="0.2">
      <c r="A788" t="s">
        <v>2</v>
      </c>
      <c r="B788" t="s">
        <v>3</v>
      </c>
      <c r="C788" s="1" t="s">
        <v>800</v>
      </c>
      <c r="D788" s="2">
        <v>43578</v>
      </c>
      <c r="E788" s="2">
        <f t="shared" si="50"/>
        <v>43627</v>
      </c>
      <c r="F788" t="s">
        <v>5</v>
      </c>
      <c r="G788" t="s">
        <v>5</v>
      </c>
      <c r="H788" t="s">
        <v>801</v>
      </c>
      <c r="I788" t="s">
        <v>7</v>
      </c>
      <c r="J788" s="22">
        <f>-75.85--7.65--4.99</f>
        <v>-63.209999999999987</v>
      </c>
      <c r="K788" t="str">
        <f t="shared" si="48"/>
        <v>avril</v>
      </c>
      <c r="L788" t="str">
        <f t="shared" si="49"/>
        <v>Dépenses</v>
      </c>
    </row>
    <row r="789" spans="1:12" ht="15" customHeight="1" x14ac:dyDescent="0.2">
      <c r="A789" t="s">
        <v>2</v>
      </c>
      <c r="B789" t="s">
        <v>3</v>
      </c>
      <c r="C789" s="1" t="s">
        <v>803</v>
      </c>
      <c r="D789" s="2">
        <v>43578</v>
      </c>
      <c r="E789" s="2">
        <f t="shared" si="50"/>
        <v>43627</v>
      </c>
      <c r="F789" t="s">
        <v>804</v>
      </c>
      <c r="G789" t="s">
        <v>19</v>
      </c>
      <c r="H789" t="s">
        <v>805</v>
      </c>
      <c r="I789" t="s">
        <v>487</v>
      </c>
      <c r="J789" s="22">
        <v>-33.299999999999997</v>
      </c>
      <c r="K789" t="str">
        <f t="shared" si="48"/>
        <v>avril</v>
      </c>
      <c r="L789" t="str">
        <f t="shared" si="49"/>
        <v>Dépenses</v>
      </c>
    </row>
    <row r="790" spans="1:12" ht="15" customHeight="1" x14ac:dyDescent="0.2">
      <c r="A790" t="s">
        <v>2</v>
      </c>
      <c r="B790" t="s">
        <v>3</v>
      </c>
      <c r="C790" s="1" t="s">
        <v>806</v>
      </c>
      <c r="D790" s="2">
        <v>43578</v>
      </c>
      <c r="E790" s="2">
        <f t="shared" si="50"/>
        <v>43627</v>
      </c>
      <c r="F790" t="s">
        <v>5</v>
      </c>
      <c r="G790" t="s">
        <v>5</v>
      </c>
      <c r="H790" t="s">
        <v>6</v>
      </c>
      <c r="I790" t="s">
        <v>7</v>
      </c>
      <c r="J790" s="22">
        <v>-23.67</v>
      </c>
      <c r="K790" t="str">
        <f t="shared" si="48"/>
        <v>avril</v>
      </c>
      <c r="L790" t="str">
        <f t="shared" si="49"/>
        <v>Dépenses</v>
      </c>
    </row>
    <row r="791" spans="1:12" ht="15" customHeight="1" x14ac:dyDescent="0.2">
      <c r="A791" t="s">
        <v>108</v>
      </c>
      <c r="B791" t="s">
        <v>109</v>
      </c>
      <c r="C791" s="1" t="s">
        <v>797</v>
      </c>
      <c r="D791" s="2">
        <v>43578</v>
      </c>
      <c r="E791" s="2">
        <f t="shared" si="50"/>
        <v>43578</v>
      </c>
      <c r="F791" t="s">
        <v>5</v>
      </c>
      <c r="G791" t="s">
        <v>5</v>
      </c>
      <c r="H791" t="s">
        <v>23</v>
      </c>
      <c r="I791" t="s">
        <v>7</v>
      </c>
      <c r="J791" s="22">
        <v>-2</v>
      </c>
      <c r="K791" t="str">
        <f t="shared" si="48"/>
        <v>avril</v>
      </c>
      <c r="L791" t="str">
        <f t="shared" si="49"/>
        <v>Dépenses</v>
      </c>
    </row>
    <row r="792" spans="1:12" ht="15" customHeight="1" x14ac:dyDescent="0.2">
      <c r="A792" t="s">
        <v>77</v>
      </c>
      <c r="B792" t="s">
        <v>77</v>
      </c>
      <c r="D792" s="2">
        <v>43578</v>
      </c>
      <c r="E792" s="2">
        <f t="shared" si="50"/>
        <v>43578</v>
      </c>
      <c r="F792" t="s">
        <v>644</v>
      </c>
      <c r="G792" t="s">
        <v>79</v>
      </c>
      <c r="H792" t="s">
        <v>798</v>
      </c>
      <c r="I792" t="s">
        <v>7</v>
      </c>
      <c r="J792" s="22">
        <v>70</v>
      </c>
      <c r="K792" t="str">
        <f t="shared" si="48"/>
        <v>avril</v>
      </c>
      <c r="L792" t="str">
        <f t="shared" si="49"/>
        <v>Recettes</v>
      </c>
    </row>
    <row r="793" spans="1:12" ht="15" customHeight="1" x14ac:dyDescent="0.2">
      <c r="A793" t="s">
        <v>77</v>
      </c>
      <c r="B793" t="s">
        <v>113</v>
      </c>
      <c r="C793" s="10" t="s">
        <v>807</v>
      </c>
      <c r="D793" s="2">
        <v>43578</v>
      </c>
      <c r="E793" s="2">
        <f t="shared" si="50"/>
        <v>43578</v>
      </c>
      <c r="F793" t="s">
        <v>5</v>
      </c>
      <c r="G793" t="s">
        <v>5</v>
      </c>
      <c r="H793" t="s">
        <v>50</v>
      </c>
      <c r="I793" t="s">
        <v>7</v>
      </c>
      <c r="J793" s="22">
        <v>-15.05</v>
      </c>
      <c r="K793" t="str">
        <f t="shared" si="48"/>
        <v>avril</v>
      </c>
      <c r="L793" t="str">
        <f t="shared" si="49"/>
        <v>Dépenses</v>
      </c>
    </row>
    <row r="794" spans="1:12" x14ac:dyDescent="0.2">
      <c r="A794" t="s">
        <v>69</v>
      </c>
      <c r="B794" s="4" t="s">
        <v>70</v>
      </c>
      <c r="C794" s="8" t="s">
        <v>808</v>
      </c>
      <c r="D794" s="2">
        <v>43579</v>
      </c>
      <c r="E794" s="2">
        <f t="shared" si="50"/>
        <v>43579</v>
      </c>
      <c r="F794" t="s">
        <v>285</v>
      </c>
      <c r="G794" t="s">
        <v>199</v>
      </c>
      <c r="H794" t="s">
        <v>74</v>
      </c>
      <c r="I794" t="s">
        <v>7</v>
      </c>
      <c r="J794" s="23">
        <v>3336.27</v>
      </c>
      <c r="K794" t="str">
        <f t="shared" si="48"/>
        <v>avril</v>
      </c>
      <c r="L794" t="str">
        <f t="shared" si="49"/>
        <v>Recettes</v>
      </c>
    </row>
    <row r="795" spans="1:12" ht="15" customHeight="1" x14ac:dyDescent="0.2">
      <c r="A795" t="s">
        <v>2</v>
      </c>
      <c r="B795" t="s">
        <v>8</v>
      </c>
      <c r="C795" s="11" t="s">
        <v>811</v>
      </c>
      <c r="D795" s="2">
        <v>43580</v>
      </c>
      <c r="E795" s="2">
        <f t="shared" si="50"/>
        <v>43627</v>
      </c>
      <c r="F795" t="s">
        <v>812</v>
      </c>
      <c r="G795" t="s">
        <v>19</v>
      </c>
      <c r="H795" t="s">
        <v>813</v>
      </c>
      <c r="I795" t="s">
        <v>7</v>
      </c>
      <c r="J795" s="22">
        <v>-69.900000000000006</v>
      </c>
      <c r="K795" t="str">
        <f t="shared" si="48"/>
        <v>avril</v>
      </c>
      <c r="L795" t="str">
        <f t="shared" si="49"/>
        <v>Dépenses</v>
      </c>
    </row>
    <row r="796" spans="1:12" ht="15" customHeight="1" x14ac:dyDescent="0.2">
      <c r="A796" t="s">
        <v>2</v>
      </c>
      <c r="B796" t="s">
        <v>3</v>
      </c>
      <c r="C796" s="1" t="s">
        <v>810</v>
      </c>
      <c r="D796" s="2">
        <v>43580</v>
      </c>
      <c r="E796" s="2">
        <f t="shared" si="50"/>
        <v>43627</v>
      </c>
      <c r="F796" t="s">
        <v>344</v>
      </c>
      <c r="G796" t="s">
        <v>49</v>
      </c>
      <c r="H796" t="s">
        <v>6</v>
      </c>
      <c r="I796" t="s">
        <v>7</v>
      </c>
      <c r="J796" s="22">
        <f>-4.29-2.85</f>
        <v>-7.1400000000000006</v>
      </c>
      <c r="K796" t="str">
        <f t="shared" si="48"/>
        <v>avril</v>
      </c>
      <c r="L796" t="str">
        <f t="shared" si="49"/>
        <v>Dépenses</v>
      </c>
    </row>
    <row r="797" spans="1:12" ht="11.25" customHeight="1" x14ac:dyDescent="0.2">
      <c r="A797" t="s">
        <v>2</v>
      </c>
      <c r="B797" t="s">
        <v>3</v>
      </c>
      <c r="C797" s="1" t="s">
        <v>810</v>
      </c>
      <c r="D797" s="2">
        <v>43580</v>
      </c>
      <c r="E797" s="2">
        <f t="shared" si="50"/>
        <v>43627</v>
      </c>
      <c r="F797" t="s">
        <v>5</v>
      </c>
      <c r="G797" t="s">
        <v>5</v>
      </c>
      <c r="H797" t="s">
        <v>6</v>
      </c>
      <c r="I797" t="s">
        <v>7</v>
      </c>
      <c r="J797" s="22">
        <f>-45.93--7.14</f>
        <v>-38.79</v>
      </c>
      <c r="K797" t="str">
        <f t="shared" si="48"/>
        <v>avril</v>
      </c>
      <c r="L797" t="str">
        <f t="shared" si="49"/>
        <v>Dépenses</v>
      </c>
    </row>
    <row r="798" spans="1:12" ht="11.25" customHeight="1" x14ac:dyDescent="0.2">
      <c r="A798" t="s">
        <v>108</v>
      </c>
      <c r="B798" t="s">
        <v>109</v>
      </c>
      <c r="C798" s="1"/>
      <c r="D798" s="2">
        <v>43580</v>
      </c>
      <c r="E798" s="2">
        <f t="shared" si="50"/>
        <v>43580</v>
      </c>
      <c r="F798" t="s">
        <v>5</v>
      </c>
      <c r="G798" t="s">
        <v>5</v>
      </c>
      <c r="H798" t="s">
        <v>23</v>
      </c>
      <c r="I798" t="s">
        <v>7</v>
      </c>
      <c r="J798" s="22">
        <v>-1.25</v>
      </c>
      <c r="K798" t="str">
        <f t="shared" si="48"/>
        <v>avril</v>
      </c>
      <c r="L798" t="str">
        <f t="shared" si="49"/>
        <v>Dépenses</v>
      </c>
    </row>
    <row r="799" spans="1:12" ht="11.25" customHeight="1" x14ac:dyDescent="0.2">
      <c r="A799" t="s">
        <v>94</v>
      </c>
      <c r="B799" s="4" t="s">
        <v>70</v>
      </c>
      <c r="C799" s="7" t="s">
        <v>458</v>
      </c>
      <c r="D799" s="2">
        <v>43580</v>
      </c>
      <c r="E799" s="2">
        <f t="shared" si="50"/>
        <v>43580</v>
      </c>
      <c r="F799" t="s">
        <v>135</v>
      </c>
      <c r="G799" t="s">
        <v>459</v>
      </c>
      <c r="H799" t="s">
        <v>69</v>
      </c>
      <c r="I799" t="s">
        <v>7</v>
      </c>
      <c r="J799" s="23">
        <v>860</v>
      </c>
      <c r="K799" t="str">
        <f t="shared" si="48"/>
        <v>avril</v>
      </c>
      <c r="L799" t="str">
        <f t="shared" si="49"/>
        <v>Recettes</v>
      </c>
    </row>
    <row r="800" spans="1:12" ht="15" customHeight="1" x14ac:dyDescent="0.2">
      <c r="A800" t="s">
        <v>94</v>
      </c>
      <c r="B800" t="s">
        <v>70</v>
      </c>
      <c r="D800" s="2">
        <v>43580</v>
      </c>
      <c r="E800" s="2">
        <f t="shared" si="50"/>
        <v>43580</v>
      </c>
      <c r="F800" t="s">
        <v>460</v>
      </c>
      <c r="G800" t="s">
        <v>127</v>
      </c>
      <c r="H800" t="s">
        <v>88</v>
      </c>
      <c r="I800" t="s">
        <v>7</v>
      </c>
      <c r="J800" s="22">
        <v>-70</v>
      </c>
      <c r="K800" t="str">
        <f t="shared" si="48"/>
        <v>avril</v>
      </c>
      <c r="L800" t="str">
        <f t="shared" si="49"/>
        <v>Dépenses</v>
      </c>
    </row>
    <row r="801" spans="1:12" ht="15" customHeight="1" x14ac:dyDescent="0.2">
      <c r="A801" t="s">
        <v>94</v>
      </c>
      <c r="B801" t="s">
        <v>70</v>
      </c>
      <c r="D801" s="2">
        <v>43580</v>
      </c>
      <c r="E801" s="2">
        <f t="shared" si="50"/>
        <v>43580</v>
      </c>
      <c r="F801" t="s">
        <v>461</v>
      </c>
      <c r="G801" t="s">
        <v>28</v>
      </c>
      <c r="H801" t="s">
        <v>88</v>
      </c>
      <c r="I801" t="s">
        <v>7</v>
      </c>
      <c r="J801" s="22">
        <v>-30</v>
      </c>
      <c r="K801" t="str">
        <f t="shared" si="48"/>
        <v>avril</v>
      </c>
      <c r="L801" t="str">
        <f t="shared" si="49"/>
        <v>Dépenses</v>
      </c>
    </row>
    <row r="802" spans="1:12" ht="15" customHeight="1" x14ac:dyDescent="0.2">
      <c r="A802" t="s">
        <v>94</v>
      </c>
      <c r="B802" t="s">
        <v>70</v>
      </c>
      <c r="D802" s="2">
        <v>43580</v>
      </c>
      <c r="E802" s="2">
        <f t="shared" si="50"/>
        <v>43580</v>
      </c>
      <c r="F802" t="s">
        <v>462</v>
      </c>
      <c r="G802" t="s">
        <v>254</v>
      </c>
      <c r="H802" t="s">
        <v>88</v>
      </c>
      <c r="I802" t="s">
        <v>7</v>
      </c>
      <c r="J802" s="22">
        <v>-100</v>
      </c>
      <c r="K802" t="str">
        <f t="shared" si="48"/>
        <v>avril</v>
      </c>
      <c r="L802" t="str">
        <f t="shared" si="49"/>
        <v>Dépenses</v>
      </c>
    </row>
    <row r="803" spans="1:12" ht="15" customHeight="1" x14ac:dyDescent="0.2">
      <c r="A803" t="s">
        <v>94</v>
      </c>
      <c r="B803" t="s">
        <v>70</v>
      </c>
      <c r="D803" s="2">
        <v>43580</v>
      </c>
      <c r="E803" s="2">
        <f t="shared" si="50"/>
        <v>43580</v>
      </c>
      <c r="F803" t="s">
        <v>463</v>
      </c>
      <c r="G803" t="s">
        <v>270</v>
      </c>
      <c r="H803" t="s">
        <v>88</v>
      </c>
      <c r="I803" t="s">
        <v>7</v>
      </c>
      <c r="J803" s="22">
        <v>-70</v>
      </c>
      <c r="K803" t="str">
        <f t="shared" si="48"/>
        <v>avril</v>
      </c>
      <c r="L803" t="str">
        <f t="shared" si="49"/>
        <v>Dépenses</v>
      </c>
    </row>
    <row r="804" spans="1:12" ht="15" customHeight="1" x14ac:dyDescent="0.2">
      <c r="A804" t="s">
        <v>94</v>
      </c>
      <c r="B804" t="s">
        <v>70</v>
      </c>
      <c r="D804" s="2">
        <v>43580</v>
      </c>
      <c r="E804" s="2">
        <f t="shared" si="50"/>
        <v>43580</v>
      </c>
      <c r="F804" t="s">
        <v>464</v>
      </c>
      <c r="G804" t="s">
        <v>118</v>
      </c>
      <c r="H804" t="s">
        <v>88</v>
      </c>
      <c r="I804" t="s">
        <v>7</v>
      </c>
      <c r="J804" s="22">
        <v>-150</v>
      </c>
      <c r="K804" t="str">
        <f t="shared" si="48"/>
        <v>avril</v>
      </c>
      <c r="L804" t="str">
        <f t="shared" si="49"/>
        <v>Dépenses</v>
      </c>
    </row>
    <row r="805" spans="1:12" x14ac:dyDescent="0.2">
      <c r="A805" t="s">
        <v>69</v>
      </c>
      <c r="B805" s="4" t="s">
        <v>70</v>
      </c>
      <c r="C805" s="7" t="s">
        <v>458</v>
      </c>
      <c r="D805" s="2">
        <v>43580</v>
      </c>
      <c r="E805" s="2">
        <f t="shared" si="50"/>
        <v>43580</v>
      </c>
      <c r="F805" t="s">
        <v>102</v>
      </c>
      <c r="G805" t="s">
        <v>459</v>
      </c>
      <c r="H805" t="s">
        <v>94</v>
      </c>
      <c r="I805" t="s">
        <v>7</v>
      </c>
      <c r="J805" s="23">
        <v>-860</v>
      </c>
      <c r="K805" t="str">
        <f t="shared" si="48"/>
        <v>avril</v>
      </c>
      <c r="L805" t="str">
        <f t="shared" si="49"/>
        <v>Dépenses</v>
      </c>
    </row>
    <row r="806" spans="1:12" ht="11.25" customHeight="1" x14ac:dyDescent="0.2">
      <c r="A806" t="s">
        <v>94</v>
      </c>
      <c r="B806" t="s">
        <v>70</v>
      </c>
      <c r="D806" s="2">
        <v>43580</v>
      </c>
      <c r="E806" s="2">
        <f t="shared" si="50"/>
        <v>43580</v>
      </c>
      <c r="F806" t="s">
        <v>465</v>
      </c>
      <c r="G806" t="s">
        <v>16</v>
      </c>
      <c r="H806" t="s">
        <v>88</v>
      </c>
      <c r="I806" t="s">
        <v>7</v>
      </c>
      <c r="J806" s="22">
        <v>-60</v>
      </c>
      <c r="K806" t="str">
        <f t="shared" si="48"/>
        <v>avril</v>
      </c>
      <c r="L806" t="str">
        <f t="shared" si="49"/>
        <v>Dépenses</v>
      </c>
    </row>
    <row r="807" spans="1:12" ht="15" customHeight="1" x14ac:dyDescent="0.2">
      <c r="A807" t="s">
        <v>94</v>
      </c>
      <c r="B807" t="s">
        <v>70</v>
      </c>
      <c r="D807" s="2">
        <v>43580</v>
      </c>
      <c r="E807" s="2">
        <f t="shared" si="50"/>
        <v>43580</v>
      </c>
      <c r="F807" t="s">
        <v>466</v>
      </c>
      <c r="G807" t="s">
        <v>111</v>
      </c>
      <c r="H807" t="s">
        <v>88</v>
      </c>
      <c r="I807" t="s">
        <v>7</v>
      </c>
      <c r="J807" s="22">
        <v>-120</v>
      </c>
      <c r="K807" t="str">
        <f t="shared" si="48"/>
        <v>avril</v>
      </c>
      <c r="L807" t="str">
        <f t="shared" si="49"/>
        <v>Dépenses</v>
      </c>
    </row>
    <row r="808" spans="1:12" ht="11.25" customHeight="1" x14ac:dyDescent="0.2">
      <c r="A808" t="s">
        <v>94</v>
      </c>
      <c r="B808" t="s">
        <v>70</v>
      </c>
      <c r="D808" s="2">
        <v>43580</v>
      </c>
      <c r="E808" s="2">
        <f t="shared" si="50"/>
        <v>43580</v>
      </c>
      <c r="F808" t="s">
        <v>467</v>
      </c>
      <c r="G808" t="s">
        <v>229</v>
      </c>
      <c r="H808" t="s">
        <v>88</v>
      </c>
      <c r="I808" t="s">
        <v>7</v>
      </c>
      <c r="J808" s="22">
        <v>-60</v>
      </c>
      <c r="K808" t="str">
        <f t="shared" si="48"/>
        <v>avril</v>
      </c>
      <c r="L808" t="str">
        <f t="shared" si="49"/>
        <v>Dépenses</v>
      </c>
    </row>
    <row r="809" spans="1:12" ht="15" customHeight="1" x14ac:dyDescent="0.2">
      <c r="A809" t="s">
        <v>94</v>
      </c>
      <c r="B809" t="s">
        <v>70</v>
      </c>
      <c r="D809" s="2">
        <v>43580</v>
      </c>
      <c r="E809" s="2">
        <f t="shared" si="50"/>
        <v>43580</v>
      </c>
      <c r="F809" t="s">
        <v>469</v>
      </c>
      <c r="G809" t="s">
        <v>52</v>
      </c>
      <c r="H809" t="s">
        <v>88</v>
      </c>
      <c r="I809" t="s">
        <v>7</v>
      </c>
      <c r="J809" s="22">
        <v>-100</v>
      </c>
      <c r="K809" t="str">
        <f t="shared" si="48"/>
        <v>avril</v>
      </c>
      <c r="L809" t="str">
        <f t="shared" si="49"/>
        <v>Dépenses</v>
      </c>
    </row>
    <row r="810" spans="1:12" ht="15" customHeight="1" x14ac:dyDescent="0.2">
      <c r="A810" t="s">
        <v>94</v>
      </c>
      <c r="B810" t="s">
        <v>70</v>
      </c>
      <c r="D810" s="2">
        <v>43580</v>
      </c>
      <c r="E810" s="2">
        <f t="shared" si="50"/>
        <v>43580</v>
      </c>
      <c r="F810" t="s">
        <v>470</v>
      </c>
      <c r="G810" t="s">
        <v>39</v>
      </c>
      <c r="H810" t="s">
        <v>88</v>
      </c>
      <c r="I810" t="s">
        <v>7</v>
      </c>
      <c r="J810" s="22">
        <v>-100</v>
      </c>
      <c r="K810" t="str">
        <f t="shared" si="48"/>
        <v>avril</v>
      </c>
      <c r="L810" t="str">
        <f t="shared" si="49"/>
        <v>Dépenses</v>
      </c>
    </row>
    <row r="811" spans="1:12" x14ac:dyDescent="0.2">
      <c r="A811" t="s">
        <v>88</v>
      </c>
      <c r="B811" t="s">
        <v>70</v>
      </c>
      <c r="D811" s="2">
        <v>43580</v>
      </c>
      <c r="E811" s="2">
        <f t="shared" si="50"/>
        <v>43580</v>
      </c>
      <c r="F811" t="s">
        <v>471</v>
      </c>
      <c r="G811" t="s">
        <v>76</v>
      </c>
      <c r="H811" t="s">
        <v>94</v>
      </c>
      <c r="I811" t="s">
        <v>7</v>
      </c>
      <c r="J811" s="22">
        <v>860</v>
      </c>
      <c r="K811" t="str">
        <f t="shared" si="48"/>
        <v>avril</v>
      </c>
      <c r="L811" t="str">
        <f t="shared" si="49"/>
        <v>Recettes</v>
      </c>
    </row>
    <row r="812" spans="1:12" ht="11.25" customHeight="1" x14ac:dyDescent="0.2">
      <c r="A812" t="s">
        <v>69</v>
      </c>
      <c r="B812" t="s">
        <v>137</v>
      </c>
      <c r="C812" s="8" t="s">
        <v>809</v>
      </c>
      <c r="D812" s="2">
        <v>43580</v>
      </c>
      <c r="E812" s="2">
        <f t="shared" si="50"/>
        <v>43580</v>
      </c>
      <c r="F812" t="s">
        <v>291</v>
      </c>
      <c r="G812" t="s">
        <v>79</v>
      </c>
      <c r="H812" t="s">
        <v>292</v>
      </c>
      <c r="I812" t="s">
        <v>7</v>
      </c>
      <c r="J812" s="22">
        <v>-5.99</v>
      </c>
      <c r="K812" t="str">
        <f t="shared" si="48"/>
        <v>avril</v>
      </c>
      <c r="L812" t="str">
        <f t="shared" si="49"/>
        <v>Dépenses</v>
      </c>
    </row>
    <row r="813" spans="1:12" ht="11.25" customHeight="1" x14ac:dyDescent="0.2">
      <c r="A813" t="s">
        <v>69</v>
      </c>
      <c r="B813" t="s">
        <v>137</v>
      </c>
      <c r="C813" s="8" t="s">
        <v>809</v>
      </c>
      <c r="D813" s="2">
        <v>43580</v>
      </c>
      <c r="E813" s="2">
        <f t="shared" si="50"/>
        <v>43580</v>
      </c>
      <c r="F813" t="s">
        <v>291</v>
      </c>
      <c r="G813" t="s">
        <v>79</v>
      </c>
      <c r="H813" t="s">
        <v>292</v>
      </c>
      <c r="I813" t="s">
        <v>7</v>
      </c>
      <c r="J813" s="22">
        <v>-11.99</v>
      </c>
      <c r="K813" t="str">
        <f t="shared" si="48"/>
        <v>avril</v>
      </c>
      <c r="L813" t="str">
        <f t="shared" si="49"/>
        <v>Dépenses</v>
      </c>
    </row>
    <row r="814" spans="1:12" ht="11.25" customHeight="1" x14ac:dyDescent="0.2">
      <c r="A814" t="s">
        <v>2</v>
      </c>
      <c r="B814" t="s">
        <v>8</v>
      </c>
      <c r="C814" s="1" t="s">
        <v>814</v>
      </c>
      <c r="D814" s="2">
        <v>43581</v>
      </c>
      <c r="E814" s="2">
        <f t="shared" si="50"/>
        <v>43627</v>
      </c>
      <c r="F814" t="s">
        <v>815</v>
      </c>
      <c r="G814" t="s">
        <v>79</v>
      </c>
      <c r="H814" t="s">
        <v>155</v>
      </c>
      <c r="I814" t="s">
        <v>7</v>
      </c>
      <c r="J814" s="22">
        <v>-5</v>
      </c>
      <c r="K814" t="str">
        <f t="shared" si="48"/>
        <v>avril</v>
      </c>
      <c r="L814" t="str">
        <f t="shared" si="49"/>
        <v>Dépenses</v>
      </c>
    </row>
    <row r="815" spans="1:12" x14ac:dyDescent="0.2">
      <c r="A815" t="s">
        <v>2</v>
      </c>
      <c r="B815" t="s">
        <v>8</v>
      </c>
      <c r="C815" s="1" t="s">
        <v>814</v>
      </c>
      <c r="D815" s="2">
        <v>43581</v>
      </c>
      <c r="E815" s="2">
        <f t="shared" si="50"/>
        <v>43627</v>
      </c>
      <c r="F815" t="s">
        <v>815</v>
      </c>
      <c r="G815" t="s">
        <v>79</v>
      </c>
      <c r="H815" t="s">
        <v>155</v>
      </c>
      <c r="I815" t="s">
        <v>7</v>
      </c>
      <c r="J815" s="22">
        <v>-5</v>
      </c>
      <c r="K815" t="str">
        <f t="shared" si="48"/>
        <v>avril</v>
      </c>
      <c r="L815" t="str">
        <f t="shared" si="49"/>
        <v>Dépenses</v>
      </c>
    </row>
    <row r="816" spans="1:12" x14ac:dyDescent="0.2">
      <c r="A816" t="s">
        <v>2</v>
      </c>
      <c r="B816" t="s">
        <v>8</v>
      </c>
      <c r="D816" s="2">
        <v>43581</v>
      </c>
      <c r="E816" s="2">
        <f t="shared" si="50"/>
        <v>43627</v>
      </c>
      <c r="F816" t="s">
        <v>752</v>
      </c>
      <c r="G816" t="s">
        <v>115</v>
      </c>
      <c r="H816" t="s">
        <v>114</v>
      </c>
      <c r="I816" t="s">
        <v>7</v>
      </c>
      <c r="J816" s="22">
        <v>-22.5</v>
      </c>
      <c r="K816" t="str">
        <f t="shared" si="48"/>
        <v>avril</v>
      </c>
      <c r="L816" t="str">
        <f t="shared" si="49"/>
        <v>Dépenses</v>
      </c>
    </row>
    <row r="817" spans="1:12" x14ac:dyDescent="0.2">
      <c r="A817" t="s">
        <v>2</v>
      </c>
      <c r="B817" t="s">
        <v>3</v>
      </c>
      <c r="C817" s="1" t="s">
        <v>817</v>
      </c>
      <c r="D817" s="2">
        <v>43581</v>
      </c>
      <c r="E817" s="2">
        <f t="shared" si="50"/>
        <v>43627</v>
      </c>
      <c r="F817" t="s">
        <v>818</v>
      </c>
      <c r="G817" t="s">
        <v>118</v>
      </c>
      <c r="H817" t="s">
        <v>23</v>
      </c>
      <c r="I817" t="s">
        <v>7</v>
      </c>
      <c r="J817" s="22">
        <v>-3.8</v>
      </c>
      <c r="K817" t="str">
        <f t="shared" si="48"/>
        <v>avril</v>
      </c>
      <c r="L817" t="str">
        <f t="shared" si="49"/>
        <v>Dépenses</v>
      </c>
    </row>
    <row r="818" spans="1:12" x14ac:dyDescent="0.2">
      <c r="A818" t="s">
        <v>2</v>
      </c>
      <c r="B818" t="s">
        <v>3</v>
      </c>
      <c r="C818" s="1" t="s">
        <v>817</v>
      </c>
      <c r="D818" s="2">
        <v>43581</v>
      </c>
      <c r="E818" s="2">
        <f t="shared" si="50"/>
        <v>43627</v>
      </c>
      <c r="F818" t="s">
        <v>182</v>
      </c>
      <c r="G818" t="s">
        <v>49</v>
      </c>
      <c r="H818" t="s">
        <v>23</v>
      </c>
      <c r="I818" t="s">
        <v>7</v>
      </c>
      <c r="J818" s="22">
        <v>-3.86</v>
      </c>
      <c r="K818" t="str">
        <f t="shared" si="48"/>
        <v>avril</v>
      </c>
      <c r="L818" t="str">
        <f t="shared" si="49"/>
        <v>Dépenses</v>
      </c>
    </row>
    <row r="819" spans="1:12" x14ac:dyDescent="0.2">
      <c r="A819" t="s">
        <v>2</v>
      </c>
      <c r="B819" t="s">
        <v>3</v>
      </c>
      <c r="C819" s="1" t="s">
        <v>817</v>
      </c>
      <c r="D819" s="2">
        <v>43581</v>
      </c>
      <c r="E819" s="2">
        <f t="shared" si="50"/>
        <v>43627</v>
      </c>
      <c r="F819" t="s">
        <v>5</v>
      </c>
      <c r="G819" t="s">
        <v>5</v>
      </c>
      <c r="H819" t="s">
        <v>23</v>
      </c>
      <c r="I819" t="s">
        <v>7</v>
      </c>
      <c r="J819" s="22">
        <f>-51.49--3.86--3.8</f>
        <v>-43.830000000000005</v>
      </c>
      <c r="K819" t="str">
        <f t="shared" si="48"/>
        <v>avril</v>
      </c>
      <c r="L819" t="str">
        <f t="shared" si="49"/>
        <v>Dépenses</v>
      </c>
    </row>
    <row r="820" spans="1:12" x14ac:dyDescent="0.2">
      <c r="A820" t="s">
        <v>108</v>
      </c>
      <c r="B820" t="s">
        <v>109</v>
      </c>
      <c r="C820" s="1"/>
      <c r="D820" s="2">
        <v>43581</v>
      </c>
      <c r="E820" s="2">
        <f t="shared" si="50"/>
        <v>43581</v>
      </c>
      <c r="F820" t="s">
        <v>5</v>
      </c>
      <c r="G820" t="s">
        <v>5</v>
      </c>
      <c r="H820" t="s">
        <v>23</v>
      </c>
      <c r="I820" t="s">
        <v>7</v>
      </c>
      <c r="J820" s="22">
        <v>-1.75</v>
      </c>
      <c r="K820" t="str">
        <f t="shared" si="48"/>
        <v>avril</v>
      </c>
      <c r="L820" t="str">
        <f t="shared" si="49"/>
        <v>Dépenses</v>
      </c>
    </row>
    <row r="821" spans="1:12" x14ac:dyDescent="0.2">
      <c r="A821" t="s">
        <v>108</v>
      </c>
      <c r="B821" t="s">
        <v>109</v>
      </c>
      <c r="C821" s="1"/>
      <c r="D821" s="2">
        <v>43581</v>
      </c>
      <c r="E821" s="2">
        <f t="shared" si="50"/>
        <v>43581</v>
      </c>
      <c r="F821" t="s">
        <v>426</v>
      </c>
      <c r="G821" t="s">
        <v>63</v>
      </c>
      <c r="H821" t="s">
        <v>64</v>
      </c>
      <c r="I821" t="s">
        <v>7</v>
      </c>
      <c r="J821" s="22">
        <f>-35.8--4.9</f>
        <v>-30.9</v>
      </c>
      <c r="K821" t="str">
        <f t="shared" si="48"/>
        <v>avril</v>
      </c>
      <c r="L821" t="str">
        <f t="shared" si="49"/>
        <v>Dépenses</v>
      </c>
    </row>
    <row r="822" spans="1:12" ht="15" customHeight="1" x14ac:dyDescent="0.2">
      <c r="A822" t="s">
        <v>108</v>
      </c>
      <c r="B822" t="s">
        <v>109</v>
      </c>
      <c r="C822" s="1"/>
      <c r="D822" s="2">
        <v>43581</v>
      </c>
      <c r="E822" s="2">
        <f t="shared" si="50"/>
        <v>43581</v>
      </c>
      <c r="F822" t="s">
        <v>21</v>
      </c>
      <c r="G822" t="s">
        <v>21</v>
      </c>
      <c r="H822" t="s">
        <v>64</v>
      </c>
      <c r="I822" t="s">
        <v>7</v>
      </c>
      <c r="J822" s="22">
        <v>-4.9000000000000004</v>
      </c>
      <c r="K822" t="str">
        <f t="shared" si="48"/>
        <v>avril</v>
      </c>
      <c r="L822" t="str">
        <f t="shared" si="49"/>
        <v>Dépenses</v>
      </c>
    </row>
    <row r="823" spans="1:12" x14ac:dyDescent="0.2">
      <c r="A823" t="s">
        <v>77</v>
      </c>
      <c r="B823" t="s">
        <v>77</v>
      </c>
      <c r="D823" s="2">
        <v>43581</v>
      </c>
      <c r="E823" s="2">
        <f t="shared" si="50"/>
        <v>43581</v>
      </c>
      <c r="F823" t="s">
        <v>816</v>
      </c>
      <c r="G823" t="s">
        <v>127</v>
      </c>
      <c r="I823" t="s">
        <v>7</v>
      </c>
      <c r="J823" s="22">
        <v>50</v>
      </c>
      <c r="K823" t="str">
        <f t="shared" si="48"/>
        <v>avril</v>
      </c>
      <c r="L823" t="str">
        <f t="shared" si="49"/>
        <v>Recettes</v>
      </c>
    </row>
    <row r="824" spans="1:12" x14ac:dyDescent="0.2">
      <c r="A824" t="s">
        <v>94</v>
      </c>
      <c r="B824" t="s">
        <v>84</v>
      </c>
      <c r="C824" s="1" t="s">
        <v>538</v>
      </c>
      <c r="D824" s="2">
        <v>43581</v>
      </c>
      <c r="E824" s="2">
        <f t="shared" si="50"/>
        <v>43581</v>
      </c>
      <c r="F824" t="s">
        <v>819</v>
      </c>
      <c r="G824" t="s">
        <v>254</v>
      </c>
      <c r="H824" t="s">
        <v>540</v>
      </c>
      <c r="I824" t="s">
        <v>7</v>
      </c>
      <c r="J824" s="22">
        <v>-210.98</v>
      </c>
      <c r="K824" t="str">
        <f t="shared" si="48"/>
        <v>avril</v>
      </c>
      <c r="L824" t="str">
        <f t="shared" si="49"/>
        <v>Dépenses</v>
      </c>
    </row>
    <row r="825" spans="1:12" ht="15" customHeight="1" x14ac:dyDescent="0.2">
      <c r="A825" t="s">
        <v>2</v>
      </c>
      <c r="B825" t="s">
        <v>8</v>
      </c>
      <c r="D825" s="2">
        <v>43582</v>
      </c>
      <c r="E825" s="2">
        <f t="shared" si="50"/>
        <v>43627</v>
      </c>
      <c r="F825" t="s">
        <v>820</v>
      </c>
      <c r="G825" t="s">
        <v>5</v>
      </c>
      <c r="H825" t="s">
        <v>33</v>
      </c>
      <c r="I825" t="s">
        <v>7</v>
      </c>
      <c r="J825" s="22">
        <v>-8</v>
      </c>
      <c r="K825" t="str">
        <f t="shared" si="48"/>
        <v>avril</v>
      </c>
      <c r="L825" t="str">
        <f t="shared" si="49"/>
        <v>Dépenses</v>
      </c>
    </row>
    <row r="826" spans="1:12" ht="15" customHeight="1" x14ac:dyDescent="0.2">
      <c r="A826" t="s">
        <v>2</v>
      </c>
      <c r="B826" t="s">
        <v>8</v>
      </c>
      <c r="D826" s="2">
        <v>43583</v>
      </c>
      <c r="E826" s="2">
        <f t="shared" si="50"/>
        <v>43627</v>
      </c>
      <c r="F826" t="s">
        <v>5</v>
      </c>
      <c r="G826" t="s">
        <v>5</v>
      </c>
      <c r="H826" t="s">
        <v>348</v>
      </c>
      <c r="I826" t="s">
        <v>7</v>
      </c>
      <c r="J826" s="22">
        <v>-9.0399999999999991</v>
      </c>
      <c r="K826" t="str">
        <f t="shared" si="48"/>
        <v>avril</v>
      </c>
      <c r="L826" t="str">
        <f t="shared" si="49"/>
        <v>Dépenses</v>
      </c>
    </row>
    <row r="827" spans="1:12" x14ac:dyDescent="0.2">
      <c r="A827" t="s">
        <v>69</v>
      </c>
      <c r="B827" s="4" t="s">
        <v>70</v>
      </c>
      <c r="C827" s="7" t="s">
        <v>704</v>
      </c>
      <c r="D827" s="2">
        <v>43583</v>
      </c>
      <c r="E827" s="2">
        <f t="shared" si="50"/>
        <v>43583</v>
      </c>
      <c r="F827" t="s">
        <v>147</v>
      </c>
      <c r="G827" t="s">
        <v>115</v>
      </c>
      <c r="H827" t="s">
        <v>148</v>
      </c>
      <c r="I827" t="s">
        <v>7</v>
      </c>
      <c r="J827" s="23">
        <v>-10.08</v>
      </c>
      <c r="K827" t="str">
        <f t="shared" si="48"/>
        <v>avril</v>
      </c>
      <c r="L827" t="str">
        <f t="shared" si="49"/>
        <v>Dépenses</v>
      </c>
    </row>
    <row r="828" spans="1:12" x14ac:dyDescent="0.2">
      <c r="A828" t="s">
        <v>2</v>
      </c>
      <c r="B828" t="s">
        <v>8</v>
      </c>
      <c r="C828" t="s">
        <v>829</v>
      </c>
      <c r="D828" s="2">
        <v>43584</v>
      </c>
      <c r="E828" s="2">
        <f t="shared" si="50"/>
        <v>43627</v>
      </c>
      <c r="F828" t="s">
        <v>830</v>
      </c>
      <c r="G828" t="s">
        <v>5</v>
      </c>
      <c r="H828" t="s">
        <v>22</v>
      </c>
      <c r="I828" t="s">
        <v>7</v>
      </c>
      <c r="J828" s="22">
        <f>-6.5-3.1-0.2-1.95</f>
        <v>-11.749999999999998</v>
      </c>
      <c r="K828" t="str">
        <f t="shared" si="48"/>
        <v>avril</v>
      </c>
      <c r="L828" t="str">
        <f t="shared" si="49"/>
        <v>Dépenses</v>
      </c>
    </row>
    <row r="829" spans="1:12" x14ac:dyDescent="0.2">
      <c r="A829" t="s">
        <v>2</v>
      </c>
      <c r="B829" t="s">
        <v>8</v>
      </c>
      <c r="C829" t="s">
        <v>829</v>
      </c>
      <c r="D829" s="2">
        <v>43584</v>
      </c>
      <c r="E829" s="2">
        <f t="shared" si="50"/>
        <v>43627</v>
      </c>
      <c r="F829" t="s">
        <v>12</v>
      </c>
      <c r="G829" t="s">
        <v>115</v>
      </c>
      <c r="H829" t="s">
        <v>22</v>
      </c>
      <c r="I829" t="s">
        <v>7</v>
      </c>
      <c r="J829" s="22">
        <v>-4.45</v>
      </c>
      <c r="K829" t="str">
        <f t="shared" si="48"/>
        <v>avril</v>
      </c>
      <c r="L829" t="str">
        <f t="shared" si="49"/>
        <v>Dépenses</v>
      </c>
    </row>
    <row r="830" spans="1:12" ht="11.25" customHeight="1" x14ac:dyDescent="0.2">
      <c r="A830" t="s">
        <v>2</v>
      </c>
      <c r="B830" t="s">
        <v>8</v>
      </c>
      <c r="C830" t="s">
        <v>829</v>
      </c>
      <c r="D830" s="2">
        <v>43584</v>
      </c>
      <c r="E830" s="2">
        <f t="shared" si="50"/>
        <v>43627</v>
      </c>
      <c r="F830" t="s">
        <v>831</v>
      </c>
      <c r="G830" t="s">
        <v>533</v>
      </c>
      <c r="H830" t="s">
        <v>22</v>
      </c>
      <c r="I830" t="s">
        <v>7</v>
      </c>
      <c r="J830" s="22">
        <v>-3.95</v>
      </c>
      <c r="K830" t="str">
        <f t="shared" si="48"/>
        <v>avril</v>
      </c>
      <c r="L830" t="str">
        <f t="shared" si="49"/>
        <v>Dépenses</v>
      </c>
    </row>
    <row r="831" spans="1:12" ht="15" customHeight="1" x14ac:dyDescent="0.2">
      <c r="A831" t="s">
        <v>108</v>
      </c>
      <c r="B831" t="s">
        <v>109</v>
      </c>
      <c r="C831" s="1"/>
      <c r="D831" s="2">
        <v>43584</v>
      </c>
      <c r="E831" s="2">
        <f t="shared" si="50"/>
        <v>43584</v>
      </c>
      <c r="F831" t="s">
        <v>5</v>
      </c>
      <c r="G831" t="s">
        <v>5</v>
      </c>
      <c r="H831" t="s">
        <v>23</v>
      </c>
      <c r="I831" t="s">
        <v>7</v>
      </c>
      <c r="J831" s="22">
        <v>-1.25</v>
      </c>
      <c r="K831" t="str">
        <f t="shared" si="48"/>
        <v>avril</v>
      </c>
      <c r="L831" t="str">
        <f t="shared" si="49"/>
        <v>Dépenses</v>
      </c>
    </row>
    <row r="832" spans="1:12" ht="15" customHeight="1" x14ac:dyDescent="0.2">
      <c r="A832" t="s">
        <v>108</v>
      </c>
      <c r="B832" t="s">
        <v>109</v>
      </c>
      <c r="C832" s="1" t="s">
        <v>821</v>
      </c>
      <c r="D832" s="2">
        <v>43584</v>
      </c>
      <c r="E832" s="2">
        <f t="shared" si="50"/>
        <v>43584</v>
      </c>
      <c r="F832" t="s">
        <v>48</v>
      </c>
      <c r="G832" t="s">
        <v>49</v>
      </c>
      <c r="H832" t="s">
        <v>6</v>
      </c>
      <c r="I832" t="s">
        <v>7</v>
      </c>
      <c r="J832" s="22">
        <v>-4.6500000000000004</v>
      </c>
      <c r="K832" t="str">
        <f t="shared" si="48"/>
        <v>avril</v>
      </c>
      <c r="L832" t="str">
        <f t="shared" si="49"/>
        <v>Dépenses</v>
      </c>
    </row>
    <row r="833" spans="1:12" ht="15" customHeight="1" x14ac:dyDescent="0.2">
      <c r="A833" t="s">
        <v>108</v>
      </c>
      <c r="B833" t="s">
        <v>109</v>
      </c>
      <c r="C833" s="1" t="s">
        <v>821</v>
      </c>
      <c r="D833" s="2">
        <v>43584</v>
      </c>
      <c r="E833" s="2">
        <f t="shared" si="50"/>
        <v>43584</v>
      </c>
      <c r="F833" t="s">
        <v>822</v>
      </c>
      <c r="G833" t="s">
        <v>127</v>
      </c>
      <c r="H833" t="s">
        <v>6</v>
      </c>
      <c r="I833" t="s">
        <v>7</v>
      </c>
      <c r="J833" s="22">
        <v>-6.99</v>
      </c>
      <c r="K833" t="str">
        <f t="shared" si="48"/>
        <v>avril</v>
      </c>
      <c r="L833" t="str">
        <f t="shared" si="49"/>
        <v>Dépenses</v>
      </c>
    </row>
    <row r="834" spans="1:12" x14ac:dyDescent="0.2">
      <c r="A834" t="s">
        <v>108</v>
      </c>
      <c r="B834" t="s">
        <v>109</v>
      </c>
      <c r="C834" s="1" t="s">
        <v>821</v>
      </c>
      <c r="D834" s="2">
        <v>43584</v>
      </c>
      <c r="E834" s="2">
        <f t="shared" si="50"/>
        <v>43584</v>
      </c>
      <c r="F834" t="s">
        <v>5</v>
      </c>
      <c r="G834" t="s">
        <v>5</v>
      </c>
      <c r="H834" t="s">
        <v>6</v>
      </c>
      <c r="I834" t="s">
        <v>7</v>
      </c>
      <c r="J834" s="22">
        <f>-31.74--6.99--4.65</f>
        <v>-20.100000000000001</v>
      </c>
      <c r="K834" t="str">
        <f t="shared" ref="K834:K897" si="51">IF(D834="","",TEXT(D834,"Mmmm"))</f>
        <v>avril</v>
      </c>
      <c r="L834" t="str">
        <f t="shared" ref="L834:L897" si="52">IF(J834="","",IF(J834&lt;0,"Dépenses","Recettes"))</f>
        <v>Dépenses</v>
      </c>
    </row>
    <row r="835" spans="1:12" ht="15" customHeight="1" x14ac:dyDescent="0.2">
      <c r="A835" t="s">
        <v>108</v>
      </c>
      <c r="B835" t="s">
        <v>109</v>
      </c>
      <c r="C835" s="1" t="s">
        <v>823</v>
      </c>
      <c r="D835" s="2">
        <v>43584</v>
      </c>
      <c r="E835" s="2">
        <f t="shared" si="50"/>
        <v>43584</v>
      </c>
      <c r="F835" t="s">
        <v>824</v>
      </c>
      <c r="G835" t="s">
        <v>19</v>
      </c>
      <c r="H835" t="s">
        <v>141</v>
      </c>
      <c r="I835" t="s">
        <v>7</v>
      </c>
      <c r="J835" s="22">
        <v>-39.99</v>
      </c>
      <c r="K835" t="str">
        <f t="shared" si="51"/>
        <v>avril</v>
      </c>
      <c r="L835" t="str">
        <f t="shared" si="52"/>
        <v>Dépenses</v>
      </c>
    </row>
    <row r="836" spans="1:12" ht="15" customHeight="1" x14ac:dyDescent="0.2">
      <c r="A836" t="s">
        <v>108</v>
      </c>
      <c r="B836" t="s">
        <v>109</v>
      </c>
      <c r="C836" s="1" t="s">
        <v>823</v>
      </c>
      <c r="D836" s="2">
        <v>43584</v>
      </c>
      <c r="E836" s="2">
        <f t="shared" si="50"/>
        <v>43584</v>
      </c>
      <c r="F836" t="s">
        <v>825</v>
      </c>
      <c r="G836" t="s">
        <v>457</v>
      </c>
      <c r="H836" t="s">
        <v>141</v>
      </c>
      <c r="I836" t="s">
        <v>487</v>
      </c>
      <c r="J836" s="22">
        <v>-10.99</v>
      </c>
      <c r="K836" t="str">
        <f t="shared" si="51"/>
        <v>avril</v>
      </c>
      <c r="L836" t="str">
        <f t="shared" si="52"/>
        <v>Dépenses</v>
      </c>
    </row>
    <row r="837" spans="1:12" ht="15" customHeight="1" x14ac:dyDescent="0.2">
      <c r="A837" t="s">
        <v>108</v>
      </c>
      <c r="B837" t="s">
        <v>109</v>
      </c>
      <c r="C837" s="1" t="s">
        <v>834</v>
      </c>
      <c r="D837" s="2">
        <v>43584</v>
      </c>
      <c r="E837" s="2">
        <f t="shared" si="50"/>
        <v>43584</v>
      </c>
      <c r="F837" t="s">
        <v>835</v>
      </c>
      <c r="G837" t="s">
        <v>118</v>
      </c>
      <c r="H837" t="s">
        <v>141</v>
      </c>
      <c r="I837" t="s">
        <v>7</v>
      </c>
      <c r="J837" s="22">
        <v>-14.84</v>
      </c>
      <c r="K837" t="str">
        <f t="shared" si="51"/>
        <v>avril</v>
      </c>
      <c r="L837" t="str">
        <f t="shared" si="52"/>
        <v>Dépenses</v>
      </c>
    </row>
    <row r="838" spans="1:12" ht="15" customHeight="1" x14ac:dyDescent="0.2">
      <c r="A838" t="s">
        <v>77</v>
      </c>
      <c r="B838" t="s">
        <v>113</v>
      </c>
      <c r="D838" s="2">
        <v>43584</v>
      </c>
      <c r="E838" s="2">
        <f t="shared" si="50"/>
        <v>43584</v>
      </c>
      <c r="F838" t="s">
        <v>752</v>
      </c>
      <c r="G838" t="s">
        <v>115</v>
      </c>
      <c r="H838" t="s">
        <v>114</v>
      </c>
      <c r="I838" t="s">
        <v>7</v>
      </c>
      <c r="J838" s="22">
        <v>-18.5</v>
      </c>
      <c r="K838" t="str">
        <f t="shared" si="51"/>
        <v>avril</v>
      </c>
      <c r="L838" t="str">
        <f t="shared" si="52"/>
        <v>Dépenses</v>
      </c>
    </row>
    <row r="839" spans="1:12" ht="15" customHeight="1" x14ac:dyDescent="0.2">
      <c r="A839" t="s">
        <v>77</v>
      </c>
      <c r="B839" t="s">
        <v>113</v>
      </c>
      <c r="D839" s="2">
        <v>43584</v>
      </c>
      <c r="E839" s="2">
        <f t="shared" si="50"/>
        <v>43584</v>
      </c>
      <c r="F839" t="s">
        <v>832</v>
      </c>
      <c r="G839" t="s">
        <v>533</v>
      </c>
      <c r="H839" t="s">
        <v>833</v>
      </c>
      <c r="I839" t="s">
        <v>7</v>
      </c>
      <c r="J839" s="22">
        <v>3.95</v>
      </c>
      <c r="K839" t="str">
        <f t="shared" si="51"/>
        <v>avril</v>
      </c>
      <c r="L839" t="str">
        <f t="shared" si="52"/>
        <v>Recettes</v>
      </c>
    </row>
    <row r="840" spans="1:12" ht="11.25" customHeight="1" x14ac:dyDescent="0.2">
      <c r="A840" t="s">
        <v>69</v>
      </c>
      <c r="B840" t="s">
        <v>84</v>
      </c>
      <c r="C840" s="8" t="s">
        <v>826</v>
      </c>
      <c r="D840" s="2">
        <v>43584</v>
      </c>
      <c r="E840" s="2">
        <f t="shared" si="50"/>
        <v>43584</v>
      </c>
      <c r="F840" t="s">
        <v>827</v>
      </c>
      <c r="G840" t="s">
        <v>111</v>
      </c>
      <c r="H840" t="s">
        <v>828</v>
      </c>
      <c r="I840" t="s">
        <v>487</v>
      </c>
      <c r="J840" s="22">
        <v>2.5</v>
      </c>
      <c r="K840" t="str">
        <f t="shared" si="51"/>
        <v>avril</v>
      </c>
      <c r="L840" t="str">
        <f t="shared" si="52"/>
        <v>Recettes</v>
      </c>
    </row>
    <row r="841" spans="1:12" ht="15" customHeight="1" x14ac:dyDescent="0.2">
      <c r="A841" t="s">
        <v>2</v>
      </c>
      <c r="B841" t="s">
        <v>3</v>
      </c>
      <c r="C841" s="1" t="s">
        <v>842</v>
      </c>
      <c r="D841" s="2">
        <v>43585</v>
      </c>
      <c r="E841" s="2">
        <f t="shared" si="50"/>
        <v>43627</v>
      </c>
      <c r="F841" t="s">
        <v>843</v>
      </c>
      <c r="G841" t="s">
        <v>49</v>
      </c>
      <c r="H841" t="s">
        <v>23</v>
      </c>
      <c r="I841" t="s">
        <v>7</v>
      </c>
      <c r="J841" s="22">
        <v>-17.07</v>
      </c>
      <c r="K841" t="str">
        <f t="shared" si="51"/>
        <v>avril</v>
      </c>
      <c r="L841" t="str">
        <f t="shared" si="52"/>
        <v>Dépenses</v>
      </c>
    </row>
    <row r="842" spans="1:12" ht="15" customHeight="1" x14ac:dyDescent="0.2">
      <c r="A842" t="s">
        <v>2</v>
      </c>
      <c r="B842" t="s">
        <v>3</v>
      </c>
      <c r="C842" s="1" t="s">
        <v>842</v>
      </c>
      <c r="D842" s="2">
        <v>43585</v>
      </c>
      <c r="E842" s="2">
        <f t="shared" si="50"/>
        <v>43627</v>
      </c>
      <c r="F842" t="s">
        <v>5</v>
      </c>
      <c r="G842" t="s">
        <v>5</v>
      </c>
      <c r="H842" t="s">
        <v>23</v>
      </c>
      <c r="I842" t="s">
        <v>7</v>
      </c>
      <c r="J842" s="22">
        <f>-45.03--17.07</f>
        <v>-27.96</v>
      </c>
      <c r="K842" t="str">
        <f t="shared" si="51"/>
        <v>avril</v>
      </c>
      <c r="L842" t="str">
        <f t="shared" si="52"/>
        <v>Dépenses</v>
      </c>
    </row>
    <row r="843" spans="1:12" ht="15" customHeight="1" x14ac:dyDescent="0.2">
      <c r="A843" t="s">
        <v>94</v>
      </c>
      <c r="B843" t="s">
        <v>122</v>
      </c>
      <c r="C843">
        <v>8748457</v>
      </c>
      <c r="D843" s="2">
        <v>43585</v>
      </c>
      <c r="E843" s="2">
        <f t="shared" si="50"/>
        <v>43585</v>
      </c>
      <c r="F843" t="s">
        <v>838</v>
      </c>
      <c r="G843" t="s">
        <v>25</v>
      </c>
      <c r="H843" t="s">
        <v>839</v>
      </c>
      <c r="I843" t="s">
        <v>7</v>
      </c>
      <c r="J843" s="22">
        <v>-10.5</v>
      </c>
      <c r="K843" t="str">
        <f t="shared" si="51"/>
        <v>avril</v>
      </c>
      <c r="L843" t="str">
        <f t="shared" si="52"/>
        <v>Dépenses</v>
      </c>
    </row>
    <row r="844" spans="1:12" ht="15" customHeight="1" x14ac:dyDescent="0.2">
      <c r="A844" t="s">
        <v>840</v>
      </c>
      <c r="B844" t="s">
        <v>122</v>
      </c>
      <c r="C844">
        <v>8748458</v>
      </c>
      <c r="D844" s="2">
        <v>43585</v>
      </c>
      <c r="E844" s="2">
        <f t="shared" ref="E844:E907" si="53">IF(A844="","",IF(A844&lt;&gt;"Carte Lux",D844,VLOOKUP(D844,Periode_datedebit_2019,3)))</f>
        <v>43585</v>
      </c>
      <c r="F844" t="s">
        <v>841</v>
      </c>
      <c r="G844" t="s">
        <v>25</v>
      </c>
      <c r="I844" t="s">
        <v>7</v>
      </c>
      <c r="J844" s="22">
        <v>-21</v>
      </c>
      <c r="K844" t="str">
        <f t="shared" si="51"/>
        <v>avril</v>
      </c>
      <c r="L844" t="str">
        <f t="shared" si="52"/>
        <v>Dépenses</v>
      </c>
    </row>
    <row r="845" spans="1:12" ht="15" customHeight="1" x14ac:dyDescent="0.2">
      <c r="A845" t="s">
        <v>108</v>
      </c>
      <c r="B845" s="4" t="s">
        <v>70</v>
      </c>
      <c r="C845" s="7" t="s">
        <v>836</v>
      </c>
      <c r="D845" s="2">
        <v>43585</v>
      </c>
      <c r="E845" s="2">
        <f t="shared" si="53"/>
        <v>43585</v>
      </c>
      <c r="F845" t="s">
        <v>184</v>
      </c>
      <c r="G845" t="s">
        <v>106</v>
      </c>
      <c r="H845" t="s">
        <v>185</v>
      </c>
      <c r="I845" t="s">
        <v>7</v>
      </c>
      <c r="J845" s="23">
        <v>-0.99</v>
      </c>
      <c r="K845" t="str">
        <f t="shared" si="51"/>
        <v>avril</v>
      </c>
      <c r="L845" t="str">
        <f t="shared" si="52"/>
        <v>Dépenses</v>
      </c>
    </row>
    <row r="846" spans="1:12" ht="15" customHeight="1" x14ac:dyDescent="0.2">
      <c r="A846" t="s">
        <v>94</v>
      </c>
      <c r="B846" s="4" t="s">
        <v>70</v>
      </c>
      <c r="C846" s="7" t="s">
        <v>507</v>
      </c>
      <c r="D846" s="2">
        <v>43585</v>
      </c>
      <c r="E846" s="2">
        <f t="shared" si="53"/>
        <v>43585</v>
      </c>
      <c r="F846" t="s">
        <v>317</v>
      </c>
      <c r="G846" t="s">
        <v>318</v>
      </c>
      <c r="H846" t="s">
        <v>319</v>
      </c>
      <c r="I846" t="s">
        <v>7</v>
      </c>
      <c r="J846" s="22">
        <v>-80.72</v>
      </c>
      <c r="K846" t="str">
        <f t="shared" si="51"/>
        <v>avril</v>
      </c>
      <c r="L846" t="str">
        <f t="shared" si="52"/>
        <v>Dépenses</v>
      </c>
    </row>
    <row r="847" spans="1:12" ht="15" customHeight="1" x14ac:dyDescent="0.2">
      <c r="A847" t="s">
        <v>69</v>
      </c>
      <c r="B847" s="4" t="s">
        <v>70</v>
      </c>
      <c r="C847" s="7" t="s">
        <v>837</v>
      </c>
      <c r="D847" s="2">
        <v>43585</v>
      </c>
      <c r="E847" s="2">
        <f t="shared" si="53"/>
        <v>43585</v>
      </c>
      <c r="F847" t="s">
        <v>327</v>
      </c>
      <c r="G847" t="s">
        <v>328</v>
      </c>
      <c r="H847" t="s">
        <v>329</v>
      </c>
      <c r="I847" t="s">
        <v>7</v>
      </c>
      <c r="J847" s="22">
        <v>-12</v>
      </c>
      <c r="K847" t="str">
        <f t="shared" si="51"/>
        <v>avril</v>
      </c>
      <c r="L847" t="str">
        <f t="shared" si="52"/>
        <v>Dépenses</v>
      </c>
    </row>
    <row r="848" spans="1:12" ht="15" customHeight="1" x14ac:dyDescent="0.2">
      <c r="A848" t="s">
        <v>77</v>
      </c>
      <c r="B848" t="s">
        <v>113</v>
      </c>
      <c r="D848" s="2">
        <v>43585</v>
      </c>
      <c r="E848" s="2">
        <f t="shared" si="53"/>
        <v>43585</v>
      </c>
      <c r="F848" t="s">
        <v>752</v>
      </c>
      <c r="G848" t="s">
        <v>115</v>
      </c>
      <c r="H848" t="s">
        <v>844</v>
      </c>
      <c r="I848" t="s">
        <v>7</v>
      </c>
      <c r="J848" s="22">
        <v>-21.5</v>
      </c>
      <c r="K848" t="str">
        <f t="shared" si="51"/>
        <v>avril</v>
      </c>
      <c r="L848" t="str">
        <f t="shared" si="52"/>
        <v>Dépenses</v>
      </c>
    </row>
    <row r="849" spans="1:12" x14ac:dyDescent="0.2">
      <c r="A849" t="s">
        <v>69</v>
      </c>
      <c r="B849" s="4" t="s">
        <v>70</v>
      </c>
      <c r="C849" s="5" t="s">
        <v>845</v>
      </c>
      <c r="D849" s="2">
        <v>43586</v>
      </c>
      <c r="E849" s="2">
        <f t="shared" si="53"/>
        <v>43586</v>
      </c>
      <c r="F849" t="s">
        <v>72</v>
      </c>
      <c r="G849" t="s">
        <v>73</v>
      </c>
      <c r="H849" t="s">
        <v>74</v>
      </c>
      <c r="I849" t="s">
        <v>7</v>
      </c>
      <c r="J849" s="23">
        <v>-500</v>
      </c>
      <c r="K849" t="str">
        <f t="shared" si="51"/>
        <v>mai</v>
      </c>
      <c r="L849" t="str">
        <f t="shared" si="52"/>
        <v>Dépenses</v>
      </c>
    </row>
    <row r="850" spans="1:12" x14ac:dyDescent="0.2">
      <c r="A850" t="s">
        <v>75</v>
      </c>
      <c r="B850" s="4" t="s">
        <v>70</v>
      </c>
      <c r="C850" s="5" t="s">
        <v>845</v>
      </c>
      <c r="D850" s="2">
        <v>43586</v>
      </c>
      <c r="E850" s="2">
        <f t="shared" si="53"/>
        <v>43586</v>
      </c>
      <c r="F850" t="s">
        <v>72</v>
      </c>
      <c r="G850" t="s">
        <v>76</v>
      </c>
      <c r="H850" t="s">
        <v>74</v>
      </c>
      <c r="I850" t="s">
        <v>7</v>
      </c>
      <c r="J850" s="23">
        <v>500</v>
      </c>
      <c r="K850" t="str">
        <f t="shared" si="51"/>
        <v>mai</v>
      </c>
      <c r="L850" t="str">
        <f t="shared" si="52"/>
        <v>Recettes</v>
      </c>
    </row>
    <row r="851" spans="1:12" ht="11.25" customHeight="1" x14ac:dyDescent="0.2">
      <c r="A851" t="s">
        <v>658</v>
      </c>
      <c r="B851" t="s">
        <v>70</v>
      </c>
      <c r="D851" s="2">
        <v>43586</v>
      </c>
      <c r="E851" s="2">
        <f t="shared" si="53"/>
        <v>43586</v>
      </c>
      <c r="F851" t="s">
        <v>659</v>
      </c>
      <c r="G851" t="s">
        <v>76</v>
      </c>
      <c r="H851" t="s">
        <v>87</v>
      </c>
      <c r="I851" t="s">
        <v>621</v>
      </c>
      <c r="J851" s="22">
        <v>-15</v>
      </c>
      <c r="K851" t="str">
        <f t="shared" si="51"/>
        <v>mai</v>
      </c>
      <c r="L851" t="str">
        <f t="shared" si="52"/>
        <v>Dépenses</v>
      </c>
    </row>
    <row r="852" spans="1:12" ht="11.25" customHeight="1" x14ac:dyDescent="0.2">
      <c r="A852" t="s">
        <v>660</v>
      </c>
      <c r="B852" t="s">
        <v>70</v>
      </c>
      <c r="D852" s="2">
        <v>43586</v>
      </c>
      <c r="E852" s="2">
        <f t="shared" si="53"/>
        <v>43586</v>
      </c>
      <c r="F852" t="s">
        <v>661</v>
      </c>
      <c r="G852" t="s">
        <v>76</v>
      </c>
      <c r="H852" t="s">
        <v>87</v>
      </c>
      <c r="I852" t="s">
        <v>621</v>
      </c>
      <c r="J852" s="22">
        <v>-15</v>
      </c>
      <c r="K852" t="str">
        <f t="shared" si="51"/>
        <v>mai</v>
      </c>
      <c r="L852" t="str">
        <f t="shared" si="52"/>
        <v>Dépenses</v>
      </c>
    </row>
    <row r="853" spans="1:12" ht="11.25" customHeight="1" x14ac:dyDescent="0.2">
      <c r="A853" t="s">
        <v>94</v>
      </c>
      <c r="B853" t="s">
        <v>70</v>
      </c>
      <c r="C853" s="8" t="s">
        <v>846</v>
      </c>
      <c r="D853" s="2">
        <v>43586</v>
      </c>
      <c r="E853" s="2">
        <f t="shared" si="53"/>
        <v>43586</v>
      </c>
      <c r="F853" t="s">
        <v>847</v>
      </c>
      <c r="G853" t="s">
        <v>39</v>
      </c>
      <c r="H853" t="s">
        <v>651</v>
      </c>
      <c r="I853" t="s">
        <v>7</v>
      </c>
      <c r="J853" s="22">
        <v>-302.18</v>
      </c>
      <c r="K853" t="str">
        <f t="shared" si="51"/>
        <v>mai</v>
      </c>
      <c r="L853" t="str">
        <f t="shared" si="52"/>
        <v>Dépenses</v>
      </c>
    </row>
    <row r="854" spans="1:12" ht="15" customHeight="1" x14ac:dyDescent="0.2">
      <c r="A854" t="s">
        <v>77</v>
      </c>
      <c r="B854" t="s">
        <v>113</v>
      </c>
      <c r="D854" s="2">
        <v>43586</v>
      </c>
      <c r="E854" s="2">
        <f t="shared" si="53"/>
        <v>43586</v>
      </c>
      <c r="F854" t="s">
        <v>848</v>
      </c>
      <c r="G854" t="s">
        <v>533</v>
      </c>
      <c r="H854" t="s">
        <v>87</v>
      </c>
      <c r="I854" t="s">
        <v>7</v>
      </c>
      <c r="J854" s="22">
        <f>18*8.4</f>
        <v>151.20000000000002</v>
      </c>
      <c r="K854" t="str">
        <f t="shared" si="51"/>
        <v>mai</v>
      </c>
      <c r="L854" t="str">
        <f t="shared" si="52"/>
        <v>Recettes</v>
      </c>
    </row>
    <row r="855" spans="1:12" ht="15" customHeight="1" x14ac:dyDescent="0.2">
      <c r="A855" t="s">
        <v>2</v>
      </c>
      <c r="B855" t="s">
        <v>8</v>
      </c>
      <c r="C855" t="s">
        <v>860</v>
      </c>
      <c r="D855" s="2">
        <v>43587</v>
      </c>
      <c r="E855" s="2">
        <f t="shared" si="53"/>
        <v>43627</v>
      </c>
      <c r="F855" t="s">
        <v>559</v>
      </c>
      <c r="G855" t="s">
        <v>63</v>
      </c>
      <c r="H855" t="s">
        <v>575</v>
      </c>
      <c r="I855" t="s">
        <v>7</v>
      </c>
      <c r="J855" s="22">
        <v>-29.62</v>
      </c>
      <c r="K855" t="str">
        <f t="shared" si="51"/>
        <v>mai</v>
      </c>
      <c r="L855" t="str">
        <f t="shared" si="52"/>
        <v>Dépenses</v>
      </c>
    </row>
    <row r="856" spans="1:12" x14ac:dyDescent="0.2">
      <c r="A856" t="s">
        <v>2</v>
      </c>
      <c r="B856" t="s">
        <v>8</v>
      </c>
      <c r="C856" t="s">
        <v>860</v>
      </c>
      <c r="D856" s="2">
        <v>43587</v>
      </c>
      <c r="E856" s="2">
        <f t="shared" si="53"/>
        <v>43627</v>
      </c>
      <c r="F856" t="s">
        <v>21</v>
      </c>
      <c r="G856" t="s">
        <v>21</v>
      </c>
      <c r="H856" t="s">
        <v>575</v>
      </c>
      <c r="I856" t="s">
        <v>7</v>
      </c>
      <c r="J856" s="22">
        <f>-4.9*2</f>
        <v>-9.8000000000000007</v>
      </c>
      <c r="K856" t="str">
        <f t="shared" si="51"/>
        <v>mai</v>
      </c>
      <c r="L856" t="str">
        <f t="shared" si="52"/>
        <v>Dépenses</v>
      </c>
    </row>
    <row r="857" spans="1:12" ht="15" customHeight="1" x14ac:dyDescent="0.2">
      <c r="A857" t="s">
        <v>2</v>
      </c>
      <c r="B857" t="s">
        <v>3</v>
      </c>
      <c r="C857" s="1" t="s">
        <v>856</v>
      </c>
      <c r="D857" s="2">
        <v>43587</v>
      </c>
      <c r="E857" s="2">
        <f t="shared" si="53"/>
        <v>43627</v>
      </c>
      <c r="F857" t="s">
        <v>5</v>
      </c>
      <c r="G857" t="s">
        <v>5</v>
      </c>
      <c r="H857" t="s">
        <v>23</v>
      </c>
      <c r="I857" t="s">
        <v>7</v>
      </c>
      <c r="J857" s="22">
        <v>-20.2</v>
      </c>
      <c r="K857" t="str">
        <f t="shared" si="51"/>
        <v>mai</v>
      </c>
      <c r="L857" t="str">
        <f t="shared" si="52"/>
        <v>Dépenses</v>
      </c>
    </row>
    <row r="858" spans="1:12" ht="15" customHeight="1" x14ac:dyDescent="0.2">
      <c r="A858" t="s">
        <v>108</v>
      </c>
      <c r="B858" t="s">
        <v>109</v>
      </c>
      <c r="C858" s="1" t="s">
        <v>850</v>
      </c>
      <c r="D858" s="2">
        <v>43587</v>
      </c>
      <c r="E858" s="2">
        <f t="shared" si="53"/>
        <v>43587</v>
      </c>
      <c r="F858" t="s">
        <v>824</v>
      </c>
      <c r="G858" t="s">
        <v>19</v>
      </c>
      <c r="H858" t="s">
        <v>141</v>
      </c>
      <c r="I858" t="s">
        <v>7</v>
      </c>
      <c r="J858" s="22">
        <v>-26.33</v>
      </c>
      <c r="K858" t="str">
        <f t="shared" si="51"/>
        <v>mai</v>
      </c>
      <c r="L858" t="str">
        <f t="shared" si="52"/>
        <v>Dépenses</v>
      </c>
    </row>
    <row r="859" spans="1:12" ht="15" customHeight="1" x14ac:dyDescent="0.2">
      <c r="A859" t="s">
        <v>108</v>
      </c>
      <c r="B859" t="s">
        <v>109</v>
      </c>
      <c r="C859" s="1" t="s">
        <v>855</v>
      </c>
      <c r="D859" s="2">
        <v>43587</v>
      </c>
      <c r="E859" s="2">
        <f t="shared" si="53"/>
        <v>43587</v>
      </c>
      <c r="F859" t="s">
        <v>21</v>
      </c>
      <c r="G859" t="s">
        <v>21</v>
      </c>
      <c r="H859" t="s">
        <v>777</v>
      </c>
      <c r="I859" t="s">
        <v>7</v>
      </c>
      <c r="J859" s="22">
        <v>-9.8000000000000007</v>
      </c>
      <c r="K859" t="str">
        <f t="shared" si="51"/>
        <v>mai</v>
      </c>
      <c r="L859" t="str">
        <f t="shared" si="52"/>
        <v>Dépenses</v>
      </c>
    </row>
    <row r="860" spans="1:12" ht="15" customHeight="1" x14ac:dyDescent="0.2">
      <c r="A860" t="s">
        <v>108</v>
      </c>
      <c r="B860" t="s">
        <v>109</v>
      </c>
      <c r="C860" s="1" t="s">
        <v>855</v>
      </c>
      <c r="D860" s="2">
        <v>43587</v>
      </c>
      <c r="E860" s="2">
        <f t="shared" si="53"/>
        <v>43587</v>
      </c>
      <c r="F860" t="s">
        <v>857</v>
      </c>
      <c r="G860" t="s">
        <v>16</v>
      </c>
      <c r="H860" t="s">
        <v>777</v>
      </c>
      <c r="I860" t="s">
        <v>7</v>
      </c>
      <c r="J860" s="22">
        <v>-1.95</v>
      </c>
      <c r="K860" t="str">
        <f t="shared" si="51"/>
        <v>mai</v>
      </c>
      <c r="L860" t="str">
        <f t="shared" si="52"/>
        <v>Dépenses</v>
      </c>
    </row>
    <row r="861" spans="1:12" ht="15" customHeight="1" x14ac:dyDescent="0.2">
      <c r="A861" t="s">
        <v>108</v>
      </c>
      <c r="B861" t="s">
        <v>109</v>
      </c>
      <c r="C861" s="1" t="s">
        <v>858</v>
      </c>
      <c r="D861" s="2">
        <v>43587</v>
      </c>
      <c r="E861" s="2">
        <f t="shared" si="53"/>
        <v>43587</v>
      </c>
      <c r="F861" t="s">
        <v>859</v>
      </c>
      <c r="G861" t="s">
        <v>63</v>
      </c>
      <c r="H861" t="s">
        <v>575</v>
      </c>
      <c r="I861" t="s">
        <v>7</v>
      </c>
      <c r="J861" s="22">
        <v>-25.04</v>
      </c>
      <c r="K861" t="str">
        <f t="shared" si="51"/>
        <v>mai</v>
      </c>
      <c r="L861" t="str">
        <f t="shared" si="52"/>
        <v>Dépenses</v>
      </c>
    </row>
    <row r="862" spans="1:12" ht="11.25" customHeight="1" x14ac:dyDescent="0.2">
      <c r="A862" t="s">
        <v>108</v>
      </c>
      <c r="B862" t="s">
        <v>109</v>
      </c>
      <c r="C862" s="1" t="s">
        <v>858</v>
      </c>
      <c r="D862" s="2">
        <v>43587</v>
      </c>
      <c r="E862" s="2">
        <f t="shared" si="53"/>
        <v>43587</v>
      </c>
      <c r="F862" t="s">
        <v>857</v>
      </c>
      <c r="G862" t="s">
        <v>16</v>
      </c>
      <c r="H862" t="s">
        <v>777</v>
      </c>
      <c r="I862" t="s">
        <v>7</v>
      </c>
      <c r="J862" s="22">
        <v>-2</v>
      </c>
      <c r="K862" t="str">
        <f t="shared" si="51"/>
        <v>mai</v>
      </c>
      <c r="L862" t="str">
        <f t="shared" si="52"/>
        <v>Dépenses</v>
      </c>
    </row>
    <row r="863" spans="1:12" ht="15" customHeight="1" x14ac:dyDescent="0.2">
      <c r="A863" t="s">
        <v>108</v>
      </c>
      <c r="B863" t="s">
        <v>109</v>
      </c>
      <c r="C863" s="1"/>
      <c r="D863" s="2">
        <v>43587</v>
      </c>
      <c r="E863" s="2">
        <f t="shared" si="53"/>
        <v>43587</v>
      </c>
      <c r="F863" t="s">
        <v>861</v>
      </c>
      <c r="G863" t="s">
        <v>111</v>
      </c>
      <c r="H863" t="s">
        <v>178</v>
      </c>
      <c r="I863" t="s">
        <v>7</v>
      </c>
      <c r="J863" s="22">
        <v>-5.95</v>
      </c>
      <c r="K863" t="str">
        <f t="shared" si="51"/>
        <v>mai</v>
      </c>
      <c r="L863" t="str">
        <f t="shared" si="52"/>
        <v>Dépenses</v>
      </c>
    </row>
    <row r="864" spans="1:12" ht="15" customHeight="1" x14ac:dyDescent="0.2">
      <c r="A864" t="s">
        <v>108</v>
      </c>
      <c r="B864" s="4" t="s">
        <v>70</v>
      </c>
      <c r="C864" s="5" t="s">
        <v>849</v>
      </c>
      <c r="D864" s="2">
        <v>43587</v>
      </c>
      <c r="E864" s="2">
        <f t="shared" si="53"/>
        <v>43587</v>
      </c>
      <c r="F864" t="s">
        <v>96</v>
      </c>
      <c r="G864" t="s">
        <v>86</v>
      </c>
      <c r="H864" t="s">
        <v>87</v>
      </c>
      <c r="I864" t="s">
        <v>7</v>
      </c>
      <c r="J864" s="22">
        <v>-6.72</v>
      </c>
      <c r="K864" t="str">
        <f t="shared" si="51"/>
        <v>mai</v>
      </c>
      <c r="L864" t="str">
        <f t="shared" si="52"/>
        <v>Dépenses</v>
      </c>
    </row>
    <row r="865" spans="1:12" ht="11.25" customHeight="1" x14ac:dyDescent="0.2">
      <c r="A865" t="s">
        <v>94</v>
      </c>
      <c r="B865" s="4" t="s">
        <v>70</v>
      </c>
      <c r="C865" s="5" t="s">
        <v>851</v>
      </c>
      <c r="D865" s="2">
        <v>43587</v>
      </c>
      <c r="E865" s="2">
        <f t="shared" si="53"/>
        <v>43587</v>
      </c>
      <c r="F865" t="s">
        <v>96</v>
      </c>
      <c r="G865" t="s">
        <v>86</v>
      </c>
      <c r="H865" t="s">
        <v>87</v>
      </c>
      <c r="I865" t="s">
        <v>7</v>
      </c>
      <c r="J865" s="22">
        <v>-6.72</v>
      </c>
      <c r="K865" t="str">
        <f t="shared" si="51"/>
        <v>mai</v>
      </c>
      <c r="L865" t="str">
        <f t="shared" si="52"/>
        <v>Dépenses</v>
      </c>
    </row>
    <row r="866" spans="1:12" ht="11.25" customHeight="1" x14ac:dyDescent="0.2">
      <c r="A866" t="s">
        <v>69</v>
      </c>
      <c r="B866" s="4" t="s">
        <v>70</v>
      </c>
      <c r="C866" s="7" t="s">
        <v>852</v>
      </c>
      <c r="D866" s="2">
        <v>43587</v>
      </c>
      <c r="E866" s="2">
        <f t="shared" si="53"/>
        <v>43587</v>
      </c>
      <c r="F866" t="s">
        <v>98</v>
      </c>
      <c r="G866" t="s">
        <v>73</v>
      </c>
      <c r="H866" t="s">
        <v>74</v>
      </c>
      <c r="I866" t="s">
        <v>7</v>
      </c>
      <c r="J866" s="23">
        <v>-597</v>
      </c>
      <c r="K866" t="str">
        <f t="shared" si="51"/>
        <v>mai</v>
      </c>
      <c r="L866" t="str">
        <f t="shared" si="52"/>
        <v>Dépenses</v>
      </c>
    </row>
    <row r="867" spans="1:12" ht="11.25" customHeight="1" x14ac:dyDescent="0.2">
      <c r="A867" t="s">
        <v>69</v>
      </c>
      <c r="B867" s="4" t="s">
        <v>70</v>
      </c>
      <c r="C867" s="7" t="s">
        <v>853</v>
      </c>
      <c r="D867" s="2">
        <v>43587</v>
      </c>
      <c r="E867" s="2">
        <f t="shared" si="53"/>
        <v>43587</v>
      </c>
      <c r="F867" t="s">
        <v>100</v>
      </c>
      <c r="G867" t="s">
        <v>73</v>
      </c>
      <c r="H867" t="s">
        <v>74</v>
      </c>
      <c r="I867" t="s">
        <v>7</v>
      </c>
      <c r="J867" s="23">
        <v>-120</v>
      </c>
      <c r="K867" t="str">
        <f t="shared" si="51"/>
        <v>mai</v>
      </c>
      <c r="L867" t="str">
        <f t="shared" si="52"/>
        <v>Dépenses</v>
      </c>
    </row>
    <row r="868" spans="1:12" ht="11.25" customHeight="1" x14ac:dyDescent="0.2">
      <c r="A868" t="s">
        <v>69</v>
      </c>
      <c r="B868" s="4" t="s">
        <v>70</v>
      </c>
      <c r="C868" s="7" t="s">
        <v>854</v>
      </c>
      <c r="D868" s="2">
        <v>43587</v>
      </c>
      <c r="E868" s="2">
        <f t="shared" si="53"/>
        <v>43587</v>
      </c>
      <c r="F868" t="s">
        <v>102</v>
      </c>
      <c r="G868" t="s">
        <v>103</v>
      </c>
      <c r="H868" t="s">
        <v>94</v>
      </c>
      <c r="I868" t="s">
        <v>7</v>
      </c>
      <c r="J868" s="23">
        <v>-600</v>
      </c>
      <c r="K868" t="str">
        <f t="shared" si="51"/>
        <v>mai</v>
      </c>
      <c r="L868" t="str">
        <f t="shared" si="52"/>
        <v>Dépenses</v>
      </c>
    </row>
    <row r="869" spans="1:12" x14ac:dyDescent="0.2">
      <c r="A869" t="s">
        <v>2</v>
      </c>
      <c r="B869" t="s">
        <v>8</v>
      </c>
      <c r="C869" t="s">
        <v>865</v>
      </c>
      <c r="D869" s="2">
        <v>43588</v>
      </c>
      <c r="E869" s="2">
        <f t="shared" si="53"/>
        <v>43627</v>
      </c>
      <c r="F869" t="s">
        <v>136</v>
      </c>
      <c r="G869" t="s">
        <v>5</v>
      </c>
      <c r="H869" t="s">
        <v>22</v>
      </c>
      <c r="I869" t="s">
        <v>7</v>
      </c>
      <c r="J869" s="22">
        <f>-2.9-2.25-0.2</f>
        <v>-5.3500000000000005</v>
      </c>
      <c r="K869" t="str">
        <f t="shared" si="51"/>
        <v>mai</v>
      </c>
      <c r="L869" t="str">
        <f t="shared" si="52"/>
        <v>Dépenses</v>
      </c>
    </row>
    <row r="870" spans="1:12" x14ac:dyDescent="0.2">
      <c r="A870" t="s">
        <v>2</v>
      </c>
      <c r="B870" t="s">
        <v>8</v>
      </c>
      <c r="C870" t="s">
        <v>865</v>
      </c>
      <c r="D870" s="2">
        <v>43588</v>
      </c>
      <c r="E870" s="2">
        <f t="shared" si="53"/>
        <v>43627</v>
      </c>
      <c r="F870" t="s">
        <v>866</v>
      </c>
      <c r="G870" t="s">
        <v>19</v>
      </c>
      <c r="H870" t="s">
        <v>22</v>
      </c>
      <c r="I870" t="s">
        <v>7</v>
      </c>
      <c r="J870" s="22">
        <f>-15.5--5.35</f>
        <v>-10.15</v>
      </c>
      <c r="K870" t="str">
        <f t="shared" si="51"/>
        <v>mai</v>
      </c>
      <c r="L870" t="str">
        <f t="shared" si="52"/>
        <v>Dépenses</v>
      </c>
    </row>
    <row r="871" spans="1:12" x14ac:dyDescent="0.2">
      <c r="A871" t="s">
        <v>2</v>
      </c>
      <c r="B871" t="s">
        <v>8</v>
      </c>
      <c r="C871" t="s">
        <v>867</v>
      </c>
      <c r="D871" s="2">
        <v>43588</v>
      </c>
      <c r="E871" s="2">
        <f t="shared" si="53"/>
        <v>43627</v>
      </c>
      <c r="F871" t="s">
        <v>868</v>
      </c>
      <c r="G871" t="s">
        <v>5</v>
      </c>
      <c r="H871" t="s">
        <v>6</v>
      </c>
      <c r="I871" t="s">
        <v>7</v>
      </c>
      <c r="J871" s="22">
        <v>-14.54</v>
      </c>
      <c r="K871" t="str">
        <f t="shared" si="51"/>
        <v>mai</v>
      </c>
      <c r="L871" t="str">
        <f t="shared" si="52"/>
        <v>Dépenses</v>
      </c>
    </row>
    <row r="872" spans="1:12" x14ac:dyDescent="0.2">
      <c r="A872" t="s">
        <v>2</v>
      </c>
      <c r="B872" t="s">
        <v>8</v>
      </c>
      <c r="C872" t="s">
        <v>869</v>
      </c>
      <c r="D872" s="2">
        <v>43588</v>
      </c>
      <c r="E872" s="2">
        <f t="shared" si="53"/>
        <v>43627</v>
      </c>
      <c r="F872" t="s">
        <v>870</v>
      </c>
      <c r="G872" t="s">
        <v>19</v>
      </c>
      <c r="H872" t="s">
        <v>871</v>
      </c>
      <c r="I872" t="s">
        <v>7</v>
      </c>
      <c r="J872" s="22">
        <v>-21.45</v>
      </c>
      <c r="K872" t="str">
        <f t="shared" si="51"/>
        <v>mai</v>
      </c>
      <c r="L872" t="str">
        <f t="shared" si="52"/>
        <v>Dépenses</v>
      </c>
    </row>
    <row r="873" spans="1:12" x14ac:dyDescent="0.2">
      <c r="A873" t="s">
        <v>2</v>
      </c>
      <c r="B873" t="s">
        <v>3</v>
      </c>
      <c r="C873" s="1" t="s">
        <v>863</v>
      </c>
      <c r="D873" s="2">
        <v>43588</v>
      </c>
      <c r="E873" s="2">
        <f t="shared" si="53"/>
        <v>43627</v>
      </c>
      <c r="F873" t="s">
        <v>864</v>
      </c>
      <c r="G873" t="s">
        <v>49</v>
      </c>
      <c r="H873" t="s">
        <v>23</v>
      </c>
      <c r="I873" t="s">
        <v>7</v>
      </c>
      <c r="J873" s="22">
        <f>-4.35-4.99-3.86</f>
        <v>-13.2</v>
      </c>
      <c r="K873" t="str">
        <f t="shared" si="51"/>
        <v>mai</v>
      </c>
      <c r="L873" t="str">
        <f t="shared" si="52"/>
        <v>Dépenses</v>
      </c>
    </row>
    <row r="874" spans="1:12" x14ac:dyDescent="0.2">
      <c r="A874" t="s">
        <v>2</v>
      </c>
      <c r="B874" t="s">
        <v>3</v>
      </c>
      <c r="C874" s="1" t="s">
        <v>863</v>
      </c>
      <c r="D874" s="2">
        <v>43588</v>
      </c>
      <c r="E874" s="2">
        <f t="shared" si="53"/>
        <v>43627</v>
      </c>
      <c r="F874" t="s">
        <v>5</v>
      </c>
      <c r="G874" t="s">
        <v>5</v>
      </c>
      <c r="H874" t="s">
        <v>23</v>
      </c>
      <c r="I874" t="s">
        <v>7</v>
      </c>
      <c r="J874" s="22">
        <f>-56.47--13.2</f>
        <v>-43.269999999999996</v>
      </c>
      <c r="K874" t="str">
        <f t="shared" si="51"/>
        <v>mai</v>
      </c>
      <c r="L874" t="str">
        <f t="shared" si="52"/>
        <v>Dépenses</v>
      </c>
    </row>
    <row r="875" spans="1:12" x14ac:dyDescent="0.2">
      <c r="A875" t="s">
        <v>108</v>
      </c>
      <c r="B875" t="s">
        <v>109</v>
      </c>
      <c r="C875" s="1" t="s">
        <v>862</v>
      </c>
      <c r="D875" s="2">
        <v>43588</v>
      </c>
      <c r="E875" s="2">
        <f t="shared" si="53"/>
        <v>43588</v>
      </c>
      <c r="F875" t="s">
        <v>5</v>
      </c>
      <c r="G875" t="s">
        <v>5</v>
      </c>
      <c r="H875" t="s">
        <v>23</v>
      </c>
      <c r="I875" t="s">
        <v>7</v>
      </c>
      <c r="J875" s="22">
        <v>-3.45</v>
      </c>
      <c r="K875" t="str">
        <f t="shared" si="51"/>
        <v>mai</v>
      </c>
      <c r="L875" t="str">
        <f t="shared" si="52"/>
        <v>Dépenses</v>
      </c>
    </row>
    <row r="876" spans="1:12" ht="15" customHeight="1" x14ac:dyDescent="0.2">
      <c r="A876" t="s">
        <v>77</v>
      </c>
      <c r="B876" t="s">
        <v>774</v>
      </c>
      <c r="C876" t="s">
        <v>884</v>
      </c>
      <c r="D876" s="2">
        <v>43589</v>
      </c>
      <c r="E876" s="2">
        <f t="shared" si="53"/>
        <v>43589</v>
      </c>
      <c r="F876" t="s">
        <v>5</v>
      </c>
      <c r="G876" t="s">
        <v>5</v>
      </c>
      <c r="H876" t="s">
        <v>50</v>
      </c>
      <c r="I876" t="s">
        <v>885</v>
      </c>
      <c r="J876" s="22">
        <v>-25</v>
      </c>
      <c r="K876" t="str">
        <f t="shared" si="51"/>
        <v>mai</v>
      </c>
      <c r="L876" t="str">
        <f t="shared" si="52"/>
        <v>Dépenses</v>
      </c>
    </row>
    <row r="877" spans="1:12" x14ac:dyDescent="0.2">
      <c r="A877" t="s">
        <v>2</v>
      </c>
      <c r="B877" t="s">
        <v>8</v>
      </c>
      <c r="C877" t="s">
        <v>876</v>
      </c>
      <c r="D877" s="2">
        <v>43589</v>
      </c>
      <c r="E877" s="2">
        <f t="shared" si="53"/>
        <v>43627</v>
      </c>
      <c r="F877" t="s">
        <v>877</v>
      </c>
      <c r="G877" t="s">
        <v>457</v>
      </c>
      <c r="H877" t="s">
        <v>878</v>
      </c>
      <c r="I877" t="s">
        <v>487</v>
      </c>
      <c r="J877" s="22">
        <v>-15</v>
      </c>
      <c r="K877" t="str">
        <f t="shared" si="51"/>
        <v>mai</v>
      </c>
      <c r="L877" t="str">
        <f t="shared" si="52"/>
        <v>Dépenses</v>
      </c>
    </row>
    <row r="878" spans="1:12" ht="15" customHeight="1" x14ac:dyDescent="0.2">
      <c r="A878" t="s">
        <v>2</v>
      </c>
      <c r="B878" t="s">
        <v>8</v>
      </c>
      <c r="C878" t="s">
        <v>879</v>
      </c>
      <c r="D878" s="2">
        <v>43589</v>
      </c>
      <c r="E878" s="2">
        <f t="shared" si="53"/>
        <v>43627</v>
      </c>
      <c r="F878" t="s">
        <v>5</v>
      </c>
      <c r="G878" t="s">
        <v>5</v>
      </c>
      <c r="H878" t="s">
        <v>6</v>
      </c>
      <c r="I878" t="s">
        <v>7</v>
      </c>
      <c r="J878" s="22">
        <v>-11.6</v>
      </c>
      <c r="K878" t="str">
        <f t="shared" si="51"/>
        <v>mai</v>
      </c>
      <c r="L878" t="str">
        <f t="shared" si="52"/>
        <v>Dépenses</v>
      </c>
    </row>
    <row r="879" spans="1:12" x14ac:dyDescent="0.2">
      <c r="A879" t="s">
        <v>2</v>
      </c>
      <c r="B879" t="s">
        <v>8</v>
      </c>
      <c r="C879" t="s">
        <v>880</v>
      </c>
      <c r="D879" s="2">
        <v>43589</v>
      </c>
      <c r="E879" s="2">
        <f t="shared" si="53"/>
        <v>43627</v>
      </c>
      <c r="F879" t="s">
        <v>881</v>
      </c>
      <c r="G879" t="s">
        <v>25</v>
      </c>
      <c r="H879" t="s">
        <v>881</v>
      </c>
      <c r="I879" t="s">
        <v>487</v>
      </c>
      <c r="J879" s="22">
        <v>-6.9</v>
      </c>
      <c r="K879" t="str">
        <f t="shared" si="51"/>
        <v>mai</v>
      </c>
      <c r="L879" t="str">
        <f t="shared" si="52"/>
        <v>Dépenses</v>
      </c>
    </row>
    <row r="880" spans="1:12" ht="15" customHeight="1" x14ac:dyDescent="0.2">
      <c r="A880" t="s">
        <v>2</v>
      </c>
      <c r="B880" t="s">
        <v>8</v>
      </c>
      <c r="C880" t="s">
        <v>882</v>
      </c>
      <c r="D880" s="2">
        <v>43589</v>
      </c>
      <c r="E880" s="2">
        <f t="shared" si="53"/>
        <v>43627</v>
      </c>
      <c r="F880" t="s">
        <v>25</v>
      </c>
      <c r="G880" t="s">
        <v>25</v>
      </c>
      <c r="H880" t="s">
        <v>883</v>
      </c>
      <c r="I880" t="s">
        <v>7</v>
      </c>
      <c r="J880" s="22">
        <v>-91.4</v>
      </c>
      <c r="K880" t="str">
        <f t="shared" si="51"/>
        <v>mai</v>
      </c>
      <c r="L880" t="str">
        <f t="shared" si="52"/>
        <v>Dépenses</v>
      </c>
    </row>
    <row r="881" spans="1:12" ht="15" customHeight="1" x14ac:dyDescent="0.2">
      <c r="A881" t="s">
        <v>108</v>
      </c>
      <c r="B881" t="s">
        <v>109</v>
      </c>
      <c r="C881" s="1" t="s">
        <v>872</v>
      </c>
      <c r="D881" s="2">
        <v>43589</v>
      </c>
      <c r="E881" s="2">
        <f t="shared" si="53"/>
        <v>43589</v>
      </c>
      <c r="F881" t="s">
        <v>822</v>
      </c>
      <c r="G881" t="s">
        <v>127</v>
      </c>
      <c r="H881" t="s">
        <v>23</v>
      </c>
      <c r="I881" t="s">
        <v>7</v>
      </c>
      <c r="J881" s="22">
        <v>-2.5299999999999998</v>
      </c>
      <c r="K881" t="str">
        <f t="shared" si="51"/>
        <v>mai</v>
      </c>
      <c r="L881" t="str">
        <f t="shared" si="52"/>
        <v>Dépenses</v>
      </c>
    </row>
    <row r="882" spans="1:12" x14ac:dyDescent="0.2">
      <c r="A882" t="s">
        <v>108</v>
      </c>
      <c r="B882" t="s">
        <v>109</v>
      </c>
      <c r="C882" s="1" t="s">
        <v>872</v>
      </c>
      <c r="D882" s="2">
        <v>43589</v>
      </c>
      <c r="E882" s="2">
        <f t="shared" si="53"/>
        <v>43589</v>
      </c>
      <c r="F882" t="s">
        <v>5</v>
      </c>
      <c r="G882" t="s">
        <v>5</v>
      </c>
      <c r="H882" t="s">
        <v>23</v>
      </c>
      <c r="I882" t="s">
        <v>7</v>
      </c>
      <c r="J882" s="22">
        <f>-17.7--2.53</f>
        <v>-15.17</v>
      </c>
      <c r="K882" t="str">
        <f t="shared" si="51"/>
        <v>mai</v>
      </c>
      <c r="L882" t="str">
        <f t="shared" si="52"/>
        <v>Dépenses</v>
      </c>
    </row>
    <row r="883" spans="1:12" ht="11.25" customHeight="1" x14ac:dyDescent="0.2">
      <c r="A883" t="s">
        <v>108</v>
      </c>
      <c r="B883" t="s">
        <v>109</v>
      </c>
      <c r="C883" s="1" t="s">
        <v>874</v>
      </c>
      <c r="D883" s="2">
        <v>43589</v>
      </c>
      <c r="E883" s="2">
        <f t="shared" si="53"/>
        <v>43589</v>
      </c>
      <c r="F883" t="s">
        <v>875</v>
      </c>
      <c r="G883" t="s">
        <v>127</v>
      </c>
      <c r="H883" t="s">
        <v>728</v>
      </c>
      <c r="I883" t="s">
        <v>7</v>
      </c>
      <c r="J883" s="22">
        <v>-11.65</v>
      </c>
      <c r="K883" t="str">
        <f t="shared" si="51"/>
        <v>mai</v>
      </c>
      <c r="L883" t="str">
        <f t="shared" si="52"/>
        <v>Dépenses</v>
      </c>
    </row>
    <row r="884" spans="1:12" x14ac:dyDescent="0.2">
      <c r="A884" t="s">
        <v>108</v>
      </c>
      <c r="B884" t="s">
        <v>109</v>
      </c>
      <c r="C884" s="1"/>
      <c r="D884" s="2">
        <v>43589</v>
      </c>
      <c r="E884" s="2">
        <f t="shared" si="53"/>
        <v>43589</v>
      </c>
      <c r="F884" t="s">
        <v>911</v>
      </c>
      <c r="G884" t="s">
        <v>229</v>
      </c>
      <c r="H884" t="s">
        <v>326</v>
      </c>
      <c r="I884" t="s">
        <v>7</v>
      </c>
      <c r="J884" s="22">
        <v>-11.7</v>
      </c>
      <c r="K884" t="str">
        <f t="shared" si="51"/>
        <v>mai</v>
      </c>
      <c r="L884" t="str">
        <f t="shared" si="52"/>
        <v>Dépenses</v>
      </c>
    </row>
    <row r="885" spans="1:12" ht="15" customHeight="1" x14ac:dyDescent="0.2">
      <c r="A885" t="s">
        <v>77</v>
      </c>
      <c r="B885" t="s">
        <v>77</v>
      </c>
      <c r="C885" t="s">
        <v>884</v>
      </c>
      <c r="D885" s="2">
        <v>43589</v>
      </c>
      <c r="E885" s="2">
        <f t="shared" si="53"/>
        <v>43589</v>
      </c>
      <c r="F885" t="s">
        <v>5</v>
      </c>
      <c r="G885" t="s">
        <v>5</v>
      </c>
      <c r="H885" t="s">
        <v>50</v>
      </c>
      <c r="I885" t="s">
        <v>885</v>
      </c>
      <c r="J885" s="22">
        <v>-10.48</v>
      </c>
      <c r="K885" t="str">
        <f t="shared" si="51"/>
        <v>mai</v>
      </c>
      <c r="L885" t="str">
        <f t="shared" si="52"/>
        <v>Dépenses</v>
      </c>
    </row>
    <row r="886" spans="1:12" ht="15" customHeight="1" x14ac:dyDescent="0.2">
      <c r="A886" t="s">
        <v>77</v>
      </c>
      <c r="B886" t="s">
        <v>77</v>
      </c>
      <c r="C886" t="s">
        <v>884</v>
      </c>
      <c r="D886" s="2">
        <v>43589</v>
      </c>
      <c r="E886" s="2">
        <f t="shared" si="53"/>
        <v>43589</v>
      </c>
      <c r="F886" t="s">
        <v>886</v>
      </c>
      <c r="G886" t="s">
        <v>5</v>
      </c>
      <c r="H886" t="s">
        <v>50</v>
      </c>
      <c r="I886" t="s">
        <v>885</v>
      </c>
      <c r="J886" s="22">
        <v>-5</v>
      </c>
      <c r="K886" t="str">
        <f t="shared" si="51"/>
        <v>mai</v>
      </c>
      <c r="L886" t="str">
        <f t="shared" si="52"/>
        <v>Dépenses</v>
      </c>
    </row>
    <row r="887" spans="1:12" ht="15" customHeight="1" x14ac:dyDescent="0.2">
      <c r="A887" t="s">
        <v>94</v>
      </c>
      <c r="B887" s="4" t="s">
        <v>70</v>
      </c>
      <c r="C887" s="7" t="s">
        <v>854</v>
      </c>
      <c r="D887" s="2">
        <v>43589</v>
      </c>
      <c r="E887" s="2">
        <f t="shared" si="53"/>
        <v>43589</v>
      </c>
      <c r="F887" t="s">
        <v>135</v>
      </c>
      <c r="G887" t="s">
        <v>103</v>
      </c>
      <c r="H887" t="s">
        <v>69</v>
      </c>
      <c r="I887" t="s">
        <v>7</v>
      </c>
      <c r="J887" s="23">
        <v>600</v>
      </c>
      <c r="K887" t="str">
        <f t="shared" si="51"/>
        <v>mai</v>
      </c>
      <c r="L887" t="str">
        <f t="shared" si="52"/>
        <v>Recettes</v>
      </c>
    </row>
    <row r="888" spans="1:12" ht="11.25" customHeight="1" x14ac:dyDescent="0.2">
      <c r="A888" t="s">
        <v>69</v>
      </c>
      <c r="B888" s="4" t="s">
        <v>70</v>
      </c>
      <c r="C888" s="7" t="s">
        <v>873</v>
      </c>
      <c r="D888" s="2">
        <v>43589</v>
      </c>
      <c r="E888" s="2">
        <f t="shared" si="53"/>
        <v>43589</v>
      </c>
      <c r="F888" t="s">
        <v>105</v>
      </c>
      <c r="G888" t="s">
        <v>106</v>
      </c>
      <c r="H888" t="s">
        <v>107</v>
      </c>
      <c r="I888" t="s">
        <v>7</v>
      </c>
      <c r="J888" s="23">
        <v>-10.99</v>
      </c>
      <c r="K888" t="str">
        <f t="shared" si="51"/>
        <v>mai</v>
      </c>
      <c r="L888" t="str">
        <f t="shared" si="52"/>
        <v>Dépenses</v>
      </c>
    </row>
    <row r="889" spans="1:12" ht="15" customHeight="1" x14ac:dyDescent="0.2">
      <c r="A889" t="s">
        <v>2</v>
      </c>
      <c r="B889" t="s">
        <v>8</v>
      </c>
      <c r="C889" t="s">
        <v>891</v>
      </c>
      <c r="D889" s="2">
        <v>43590</v>
      </c>
      <c r="E889" s="2">
        <f t="shared" si="53"/>
        <v>43627</v>
      </c>
      <c r="F889" t="s">
        <v>437</v>
      </c>
      <c r="G889" t="s">
        <v>5</v>
      </c>
      <c r="H889" t="s">
        <v>33</v>
      </c>
      <c r="I889" t="s">
        <v>7</v>
      </c>
      <c r="J889" s="22">
        <v>-5.05</v>
      </c>
      <c r="K889" t="str">
        <f t="shared" si="51"/>
        <v>mai</v>
      </c>
      <c r="L889" t="str">
        <f t="shared" si="52"/>
        <v>Dépenses</v>
      </c>
    </row>
    <row r="890" spans="1:12" ht="15" customHeight="1" x14ac:dyDescent="0.2">
      <c r="A890" t="s">
        <v>77</v>
      </c>
      <c r="B890" t="s">
        <v>77</v>
      </c>
      <c r="D890" s="2">
        <v>43590</v>
      </c>
      <c r="E890" s="2">
        <f t="shared" si="53"/>
        <v>43590</v>
      </c>
      <c r="F890" t="s">
        <v>441</v>
      </c>
      <c r="G890" t="s">
        <v>79</v>
      </c>
      <c r="H890" t="s">
        <v>890</v>
      </c>
      <c r="I890" t="s">
        <v>7</v>
      </c>
      <c r="J890" s="22">
        <v>35</v>
      </c>
      <c r="K890" t="str">
        <f t="shared" si="51"/>
        <v>mai</v>
      </c>
      <c r="L890" t="str">
        <f t="shared" si="52"/>
        <v>Recettes</v>
      </c>
    </row>
    <row r="891" spans="1:12" x14ac:dyDescent="0.2">
      <c r="A891" t="s">
        <v>108</v>
      </c>
      <c r="B891" s="4" t="s">
        <v>70</v>
      </c>
      <c r="C891" s="7" t="s">
        <v>887</v>
      </c>
      <c r="D891" s="2">
        <v>43590</v>
      </c>
      <c r="E891" s="2">
        <f t="shared" si="53"/>
        <v>43590</v>
      </c>
      <c r="F891" t="s">
        <v>184</v>
      </c>
      <c r="G891" t="s">
        <v>106</v>
      </c>
      <c r="H891" t="s">
        <v>185</v>
      </c>
      <c r="I891" t="s">
        <v>7</v>
      </c>
      <c r="J891" s="23">
        <v>-0.99</v>
      </c>
      <c r="K891" t="str">
        <f t="shared" si="51"/>
        <v>mai</v>
      </c>
      <c r="L891" t="str">
        <f t="shared" si="52"/>
        <v>Dépenses</v>
      </c>
    </row>
    <row r="892" spans="1:12" x14ac:dyDescent="0.2">
      <c r="A892" t="s">
        <v>94</v>
      </c>
      <c r="B892" s="4" t="s">
        <v>70</v>
      </c>
      <c r="C892" s="7" t="s">
        <v>888</v>
      </c>
      <c r="D892" s="2">
        <v>43590</v>
      </c>
      <c r="E892" s="2">
        <f t="shared" si="53"/>
        <v>43590</v>
      </c>
      <c r="F892" t="s">
        <v>143</v>
      </c>
      <c r="G892" t="s">
        <v>144</v>
      </c>
      <c r="H892" t="s">
        <v>145</v>
      </c>
      <c r="I892" t="s">
        <v>7</v>
      </c>
      <c r="J892" s="23">
        <v>131.55000000000001</v>
      </c>
      <c r="K892" t="str">
        <f t="shared" si="51"/>
        <v>mai</v>
      </c>
      <c r="L892" t="str">
        <f t="shared" si="52"/>
        <v>Recettes</v>
      </c>
    </row>
    <row r="893" spans="1:12" ht="15" customHeight="1" x14ac:dyDescent="0.2">
      <c r="A893" t="s">
        <v>69</v>
      </c>
      <c r="B893" s="4" t="s">
        <v>70</v>
      </c>
      <c r="C893" s="7" t="s">
        <v>889</v>
      </c>
      <c r="D893" s="2">
        <v>43590</v>
      </c>
      <c r="E893" s="2">
        <f t="shared" si="53"/>
        <v>43590</v>
      </c>
      <c r="F893" t="s">
        <v>147</v>
      </c>
      <c r="G893" t="s">
        <v>115</v>
      </c>
      <c r="H893" t="s">
        <v>148</v>
      </c>
      <c r="I893" t="s">
        <v>621</v>
      </c>
      <c r="J893" s="23">
        <v>-50</v>
      </c>
      <c r="K893" t="str">
        <f t="shared" si="51"/>
        <v>mai</v>
      </c>
      <c r="L893" t="str">
        <f t="shared" si="52"/>
        <v>Dépenses</v>
      </c>
    </row>
    <row r="894" spans="1:12" ht="11.25" customHeight="1" x14ac:dyDescent="0.2">
      <c r="A894" t="s">
        <v>2</v>
      </c>
      <c r="B894" t="s">
        <v>8</v>
      </c>
      <c r="C894" t="s">
        <v>897</v>
      </c>
      <c r="D894" s="2">
        <v>43591</v>
      </c>
      <c r="E894" s="2">
        <f t="shared" si="53"/>
        <v>43627</v>
      </c>
      <c r="F894" t="s">
        <v>25</v>
      </c>
      <c r="G894" t="s">
        <v>115</v>
      </c>
      <c r="H894" t="s">
        <v>114</v>
      </c>
      <c r="I894" t="s">
        <v>7</v>
      </c>
      <c r="J894" s="22">
        <v>-27</v>
      </c>
      <c r="K894" t="str">
        <f t="shared" si="51"/>
        <v>mai</v>
      </c>
      <c r="L894" t="str">
        <f t="shared" si="52"/>
        <v>Dépenses</v>
      </c>
    </row>
    <row r="895" spans="1:12" ht="15" customHeight="1" x14ac:dyDescent="0.2">
      <c r="A895" t="s">
        <v>2</v>
      </c>
      <c r="B895" t="s">
        <v>8</v>
      </c>
      <c r="C895" t="s">
        <v>898</v>
      </c>
      <c r="D895" s="2">
        <v>43591</v>
      </c>
      <c r="E895" s="2">
        <f t="shared" si="53"/>
        <v>43627</v>
      </c>
      <c r="F895" t="s">
        <v>437</v>
      </c>
      <c r="G895" t="s">
        <v>5</v>
      </c>
      <c r="H895" t="s">
        <v>22</v>
      </c>
      <c r="I895" t="s">
        <v>7</v>
      </c>
      <c r="J895" s="22">
        <v>-6</v>
      </c>
      <c r="K895" t="str">
        <f t="shared" si="51"/>
        <v>mai</v>
      </c>
      <c r="L895" t="str">
        <f t="shared" si="52"/>
        <v>Dépenses</v>
      </c>
    </row>
    <row r="896" spans="1:12" ht="15" customHeight="1" x14ac:dyDescent="0.2">
      <c r="A896" t="s">
        <v>2</v>
      </c>
      <c r="B896" t="s">
        <v>3</v>
      </c>
      <c r="C896" s="1" t="s">
        <v>896</v>
      </c>
      <c r="D896" s="2">
        <v>43591</v>
      </c>
      <c r="E896" s="2">
        <f t="shared" si="53"/>
        <v>43627</v>
      </c>
      <c r="F896" t="s">
        <v>5</v>
      </c>
      <c r="G896" t="s">
        <v>5</v>
      </c>
      <c r="H896" t="s">
        <v>23</v>
      </c>
      <c r="I896" t="s">
        <v>7</v>
      </c>
      <c r="J896" s="22">
        <v>-23.3</v>
      </c>
      <c r="K896" t="str">
        <f t="shared" si="51"/>
        <v>mai</v>
      </c>
      <c r="L896" t="str">
        <f t="shared" si="52"/>
        <v>Dépenses</v>
      </c>
    </row>
    <row r="897" spans="1:12" ht="15" customHeight="1" x14ac:dyDescent="0.2">
      <c r="A897" t="s">
        <v>108</v>
      </c>
      <c r="B897" t="s">
        <v>287</v>
      </c>
      <c r="C897">
        <v>1155082</v>
      </c>
      <c r="D897" s="2">
        <v>43591</v>
      </c>
      <c r="E897" s="2">
        <f t="shared" si="53"/>
        <v>43591</v>
      </c>
      <c r="F897" t="s">
        <v>892</v>
      </c>
      <c r="G897" t="s">
        <v>111</v>
      </c>
      <c r="H897" t="s">
        <v>893</v>
      </c>
      <c r="I897" t="s">
        <v>7</v>
      </c>
      <c r="J897" s="22">
        <v>-27</v>
      </c>
      <c r="K897" t="str">
        <f t="shared" si="51"/>
        <v>mai</v>
      </c>
      <c r="L897" t="str">
        <f t="shared" si="52"/>
        <v>Dépenses</v>
      </c>
    </row>
    <row r="898" spans="1:12" x14ac:dyDescent="0.2">
      <c r="A898" t="s">
        <v>94</v>
      </c>
      <c r="B898" s="4" t="s">
        <v>70</v>
      </c>
      <c r="C898" s="7" t="s">
        <v>894</v>
      </c>
      <c r="D898" s="2">
        <v>43591</v>
      </c>
      <c r="E898" s="2">
        <f t="shared" si="53"/>
        <v>43591</v>
      </c>
      <c r="F898" t="s">
        <v>161</v>
      </c>
      <c r="G898" t="s">
        <v>162</v>
      </c>
      <c r="H898" t="s">
        <v>163</v>
      </c>
      <c r="I898" t="s">
        <v>7</v>
      </c>
      <c r="J898" s="23">
        <v>-63.38</v>
      </c>
      <c r="K898" t="str">
        <f t="shared" ref="K898:K961" si="54">IF(D898="","",TEXT(D898,"Mmmm"))</f>
        <v>mai</v>
      </c>
      <c r="L898" t="str">
        <f t="shared" ref="L898:L961" si="55">IF(J898="","",IF(J898&lt;0,"Dépenses","Recettes"))</f>
        <v>Dépenses</v>
      </c>
    </row>
    <row r="899" spans="1:12" ht="15" customHeight="1" x14ac:dyDescent="0.2">
      <c r="A899" t="s">
        <v>94</v>
      </c>
      <c r="B899" s="4" t="s">
        <v>70</v>
      </c>
      <c r="C899" s="7" t="s">
        <v>895</v>
      </c>
      <c r="D899" s="2">
        <v>43591</v>
      </c>
      <c r="E899" s="2">
        <f t="shared" si="53"/>
        <v>43591</v>
      </c>
      <c r="F899" t="s">
        <v>157</v>
      </c>
      <c r="G899" t="s">
        <v>158</v>
      </c>
      <c r="H899" t="s">
        <v>87</v>
      </c>
      <c r="I899" t="s">
        <v>7</v>
      </c>
      <c r="J899" s="23">
        <v>-7.43</v>
      </c>
      <c r="K899" t="str">
        <f t="shared" si="54"/>
        <v>mai</v>
      </c>
      <c r="L899" t="str">
        <f t="shared" si="55"/>
        <v>Dépenses</v>
      </c>
    </row>
    <row r="900" spans="1:12" x14ac:dyDescent="0.2">
      <c r="A900" t="s">
        <v>94</v>
      </c>
      <c r="B900" s="4" t="s">
        <v>70</v>
      </c>
      <c r="C900" s="7" t="s">
        <v>899</v>
      </c>
      <c r="D900" s="2">
        <v>43591</v>
      </c>
      <c r="E900" s="2">
        <f t="shared" si="53"/>
        <v>43591</v>
      </c>
      <c r="F900" t="s">
        <v>175</v>
      </c>
      <c r="G900" t="s">
        <v>172</v>
      </c>
      <c r="H900" t="s">
        <v>176</v>
      </c>
      <c r="I900" t="s">
        <v>7</v>
      </c>
      <c r="J900" s="23">
        <v>-24.97</v>
      </c>
      <c r="K900" t="str">
        <f t="shared" si="54"/>
        <v>mai</v>
      </c>
      <c r="L900" t="str">
        <f t="shared" si="55"/>
        <v>Dépenses</v>
      </c>
    </row>
    <row r="901" spans="1:12" ht="15" customHeight="1" x14ac:dyDescent="0.2">
      <c r="A901" t="s">
        <v>2</v>
      </c>
      <c r="B901" t="s">
        <v>8</v>
      </c>
      <c r="C901" t="s">
        <v>905</v>
      </c>
      <c r="D901" s="2">
        <v>43592</v>
      </c>
      <c r="E901" s="2">
        <f t="shared" si="53"/>
        <v>43627</v>
      </c>
      <c r="F901" t="s">
        <v>437</v>
      </c>
      <c r="G901" t="s">
        <v>5</v>
      </c>
      <c r="H901" t="s">
        <v>22</v>
      </c>
      <c r="I901" t="s">
        <v>7</v>
      </c>
      <c r="J901" s="22">
        <v>-3</v>
      </c>
      <c r="K901" t="str">
        <f t="shared" si="54"/>
        <v>mai</v>
      </c>
      <c r="L901" t="str">
        <f t="shared" si="55"/>
        <v>Dépenses</v>
      </c>
    </row>
    <row r="902" spans="1:12" ht="15" customHeight="1" x14ac:dyDescent="0.2">
      <c r="A902" t="s">
        <v>2</v>
      </c>
      <c r="B902" t="s">
        <v>8</v>
      </c>
      <c r="C902" t="s">
        <v>906</v>
      </c>
      <c r="D902" s="2">
        <v>43592</v>
      </c>
      <c r="E902" s="2">
        <f t="shared" si="53"/>
        <v>43627</v>
      </c>
      <c r="F902" t="s">
        <v>132</v>
      </c>
      <c r="G902" t="s">
        <v>132</v>
      </c>
      <c r="H902" t="s">
        <v>575</v>
      </c>
      <c r="I902" t="s">
        <v>7</v>
      </c>
      <c r="J902" s="22">
        <v>-45.93</v>
      </c>
      <c r="K902" t="str">
        <f t="shared" si="54"/>
        <v>mai</v>
      </c>
      <c r="L902" t="str">
        <f t="shared" si="55"/>
        <v>Dépenses</v>
      </c>
    </row>
    <row r="903" spans="1:12" ht="15" customHeight="1" x14ac:dyDescent="0.2">
      <c r="A903" t="s">
        <v>2</v>
      </c>
      <c r="B903" t="s">
        <v>3</v>
      </c>
      <c r="C903" s="1" t="s">
        <v>903</v>
      </c>
      <c r="D903" s="2">
        <v>43592</v>
      </c>
      <c r="E903" s="2">
        <f t="shared" si="53"/>
        <v>43627</v>
      </c>
      <c r="F903" t="s">
        <v>904</v>
      </c>
      <c r="G903" t="s">
        <v>49</v>
      </c>
      <c r="H903" t="s">
        <v>6</v>
      </c>
      <c r="I903" t="s">
        <v>7</v>
      </c>
      <c r="J903" s="22">
        <f>-7.95-3.3-2.99</f>
        <v>-14.24</v>
      </c>
      <c r="K903" t="str">
        <f t="shared" si="54"/>
        <v>mai</v>
      </c>
      <c r="L903" t="str">
        <f t="shared" si="55"/>
        <v>Dépenses</v>
      </c>
    </row>
    <row r="904" spans="1:12" ht="15" customHeight="1" x14ac:dyDescent="0.2">
      <c r="A904" t="s">
        <v>2</v>
      </c>
      <c r="B904" t="s">
        <v>3</v>
      </c>
      <c r="C904" s="1" t="s">
        <v>903</v>
      </c>
      <c r="D904" s="2">
        <v>43592</v>
      </c>
      <c r="E904" s="2">
        <f t="shared" si="53"/>
        <v>43627</v>
      </c>
      <c r="F904" t="s">
        <v>5</v>
      </c>
      <c r="G904" t="s">
        <v>5</v>
      </c>
      <c r="H904" t="s">
        <v>6</v>
      </c>
      <c r="I904" t="s">
        <v>7</v>
      </c>
      <c r="J904" s="22">
        <f>-42.12--14.24</f>
        <v>-27.879999999999995</v>
      </c>
      <c r="K904" t="str">
        <f t="shared" si="54"/>
        <v>mai</v>
      </c>
      <c r="L904" t="str">
        <f t="shared" si="55"/>
        <v>Dépenses</v>
      </c>
    </row>
    <row r="905" spans="1:12" ht="11.25" customHeight="1" x14ac:dyDescent="0.2">
      <c r="A905" t="s">
        <v>94</v>
      </c>
      <c r="B905" s="4" t="s">
        <v>70</v>
      </c>
      <c r="C905" s="7" t="s">
        <v>900</v>
      </c>
      <c r="D905" s="2">
        <v>43592</v>
      </c>
      <c r="E905" s="2">
        <f t="shared" si="53"/>
        <v>43592</v>
      </c>
      <c r="F905" t="s">
        <v>165</v>
      </c>
      <c r="G905" t="s">
        <v>158</v>
      </c>
      <c r="H905" t="s">
        <v>166</v>
      </c>
      <c r="I905" t="s">
        <v>7</v>
      </c>
      <c r="J905" s="23">
        <v>-16.41</v>
      </c>
      <c r="K905" t="str">
        <f t="shared" si="54"/>
        <v>mai</v>
      </c>
      <c r="L905" t="str">
        <f t="shared" si="55"/>
        <v>Dépenses</v>
      </c>
    </row>
    <row r="906" spans="1:12" ht="11.25" customHeight="1" x14ac:dyDescent="0.2">
      <c r="A906" t="s">
        <v>94</v>
      </c>
      <c r="B906" s="4" t="s">
        <v>70</v>
      </c>
      <c r="C906" s="7" t="s">
        <v>901</v>
      </c>
      <c r="D906" s="2">
        <v>43592</v>
      </c>
      <c r="E906" s="2">
        <f t="shared" si="53"/>
        <v>43592</v>
      </c>
      <c r="F906" t="s">
        <v>165</v>
      </c>
      <c r="G906" t="s">
        <v>158</v>
      </c>
      <c r="H906" t="s">
        <v>166</v>
      </c>
      <c r="I906" t="s">
        <v>7</v>
      </c>
      <c r="J906" s="23">
        <v>-25.83</v>
      </c>
      <c r="K906" t="str">
        <f t="shared" si="54"/>
        <v>mai</v>
      </c>
      <c r="L906" t="str">
        <f t="shared" si="55"/>
        <v>Dépenses</v>
      </c>
    </row>
    <row r="907" spans="1:12" ht="11.25" customHeight="1" x14ac:dyDescent="0.2">
      <c r="A907" t="s">
        <v>94</v>
      </c>
      <c r="B907" s="4" t="s">
        <v>70</v>
      </c>
      <c r="C907" s="7" t="s">
        <v>902</v>
      </c>
      <c r="D907" s="2">
        <v>43592</v>
      </c>
      <c r="E907" s="2">
        <f t="shared" si="53"/>
        <v>43592</v>
      </c>
      <c r="F907" t="s">
        <v>169</v>
      </c>
      <c r="G907" t="s">
        <v>158</v>
      </c>
      <c r="H907" t="s">
        <v>166</v>
      </c>
      <c r="I907" t="s">
        <v>7</v>
      </c>
      <c r="J907" s="23">
        <v>-36.04</v>
      </c>
      <c r="K907" t="str">
        <f t="shared" si="54"/>
        <v>mai</v>
      </c>
      <c r="L907" t="str">
        <f t="shared" si="55"/>
        <v>Dépenses</v>
      </c>
    </row>
    <row r="908" spans="1:12" ht="15" customHeight="1" x14ac:dyDescent="0.2">
      <c r="A908" t="s">
        <v>2</v>
      </c>
      <c r="B908" t="s">
        <v>8</v>
      </c>
      <c r="D908" s="2">
        <v>43593</v>
      </c>
      <c r="E908" s="2">
        <f t="shared" ref="E908:E971" si="56">IF(A908="","",IF(A908&lt;&gt;"Carte Lux",D908,VLOOKUP(D908,Periode_datedebit_2019,3)))</f>
        <v>43627</v>
      </c>
      <c r="F908" t="s">
        <v>907</v>
      </c>
      <c r="G908" t="s">
        <v>16</v>
      </c>
      <c r="H908" t="s">
        <v>908</v>
      </c>
      <c r="I908" t="s">
        <v>7</v>
      </c>
      <c r="J908" s="22">
        <v>-72</v>
      </c>
      <c r="K908" t="str">
        <f t="shared" si="54"/>
        <v>mai</v>
      </c>
      <c r="L908" t="str">
        <f t="shared" si="55"/>
        <v>Dépenses</v>
      </c>
    </row>
    <row r="909" spans="1:12" ht="15" customHeight="1" x14ac:dyDescent="0.2">
      <c r="A909" t="s">
        <v>108</v>
      </c>
      <c r="B909" t="s">
        <v>109</v>
      </c>
      <c r="C909" s="1" t="s">
        <v>909</v>
      </c>
      <c r="D909" s="2">
        <v>43593</v>
      </c>
      <c r="E909" s="2">
        <f t="shared" si="56"/>
        <v>43593</v>
      </c>
      <c r="F909" t="s">
        <v>910</v>
      </c>
      <c r="G909" t="s">
        <v>127</v>
      </c>
      <c r="H909" t="s">
        <v>141</v>
      </c>
      <c r="I909" t="s">
        <v>7</v>
      </c>
      <c r="J909" s="22">
        <f>-25.99*2</f>
        <v>-51.98</v>
      </c>
      <c r="K909" t="str">
        <f t="shared" si="54"/>
        <v>mai</v>
      </c>
      <c r="L909" t="str">
        <f t="shared" si="55"/>
        <v>Dépenses</v>
      </c>
    </row>
    <row r="910" spans="1:12" x14ac:dyDescent="0.2">
      <c r="A910" t="s">
        <v>2</v>
      </c>
      <c r="B910" t="s">
        <v>8</v>
      </c>
      <c r="C910" t="s">
        <v>915</v>
      </c>
      <c r="D910" s="2">
        <v>43594</v>
      </c>
      <c r="E910" s="2">
        <f t="shared" si="56"/>
        <v>43627</v>
      </c>
      <c r="F910" t="s">
        <v>48</v>
      </c>
      <c r="G910" t="s">
        <v>49</v>
      </c>
      <c r="H910" t="s">
        <v>916</v>
      </c>
      <c r="I910" t="s">
        <v>7</v>
      </c>
      <c r="J910" s="22">
        <v>-9.82</v>
      </c>
      <c r="K910" t="str">
        <f t="shared" si="54"/>
        <v>mai</v>
      </c>
      <c r="L910" t="str">
        <f t="shared" si="55"/>
        <v>Dépenses</v>
      </c>
    </row>
    <row r="911" spans="1:12" ht="15" customHeight="1" x14ac:dyDescent="0.2">
      <c r="A911" t="s">
        <v>2</v>
      </c>
      <c r="B911" t="s">
        <v>8</v>
      </c>
      <c r="C911" t="s">
        <v>915</v>
      </c>
      <c r="D911" s="2">
        <v>43594</v>
      </c>
      <c r="E911" s="2">
        <f t="shared" si="56"/>
        <v>43627</v>
      </c>
      <c r="F911" t="s">
        <v>917</v>
      </c>
      <c r="G911" t="s">
        <v>5</v>
      </c>
      <c r="H911" t="s">
        <v>801</v>
      </c>
      <c r="I911" t="s">
        <v>7</v>
      </c>
      <c r="J911" s="22">
        <v>-19.5</v>
      </c>
      <c r="K911" t="str">
        <f t="shared" si="54"/>
        <v>mai</v>
      </c>
      <c r="L911" t="str">
        <f t="shared" si="55"/>
        <v>Dépenses</v>
      </c>
    </row>
    <row r="912" spans="1:12" ht="15" customHeight="1" x14ac:dyDescent="0.2">
      <c r="A912" t="s">
        <v>2</v>
      </c>
      <c r="B912" t="s">
        <v>8</v>
      </c>
      <c r="C912" t="s">
        <v>915</v>
      </c>
      <c r="D912" s="2">
        <v>43594</v>
      </c>
      <c r="E912" s="2">
        <f t="shared" si="56"/>
        <v>43627</v>
      </c>
      <c r="F912" t="s">
        <v>5</v>
      </c>
      <c r="G912" t="s">
        <v>5</v>
      </c>
      <c r="H912" t="s">
        <v>801</v>
      </c>
      <c r="I912" t="s">
        <v>7</v>
      </c>
      <c r="J912" s="22">
        <f>-122.06--19.5--9.82</f>
        <v>-92.740000000000009</v>
      </c>
      <c r="K912" t="str">
        <f t="shared" si="54"/>
        <v>mai</v>
      </c>
      <c r="L912" t="str">
        <f t="shared" si="55"/>
        <v>Dépenses</v>
      </c>
    </row>
    <row r="913" spans="1:12" ht="15" customHeight="1" x14ac:dyDescent="0.2">
      <c r="A913" t="s">
        <v>2</v>
      </c>
      <c r="B913" t="s">
        <v>8</v>
      </c>
      <c r="C913" t="s">
        <v>918</v>
      </c>
      <c r="D913" s="2">
        <v>43594</v>
      </c>
      <c r="E913" s="2">
        <f t="shared" si="56"/>
        <v>43627</v>
      </c>
      <c r="F913" t="s">
        <v>824</v>
      </c>
      <c r="G913" t="s">
        <v>19</v>
      </c>
      <c r="H913" t="s">
        <v>17</v>
      </c>
      <c r="I913" t="s">
        <v>7</v>
      </c>
      <c r="J913" s="22">
        <v>-10</v>
      </c>
      <c r="K913" t="str">
        <f t="shared" si="54"/>
        <v>mai</v>
      </c>
      <c r="L913" t="str">
        <f t="shared" si="55"/>
        <v>Dépenses</v>
      </c>
    </row>
    <row r="914" spans="1:12" ht="15" customHeight="1" x14ac:dyDescent="0.2">
      <c r="A914" t="s">
        <v>2</v>
      </c>
      <c r="B914" t="s">
        <v>8</v>
      </c>
      <c r="C914" t="s">
        <v>919</v>
      </c>
      <c r="D914" s="2">
        <v>43594</v>
      </c>
      <c r="E914" s="2">
        <f t="shared" si="56"/>
        <v>43627</v>
      </c>
      <c r="F914" t="s">
        <v>920</v>
      </c>
      <c r="G914" t="s">
        <v>25</v>
      </c>
      <c r="H914" t="s">
        <v>921</v>
      </c>
      <c r="I914" t="s">
        <v>7</v>
      </c>
      <c r="J914" s="22">
        <v>-39.9</v>
      </c>
      <c r="K914" t="str">
        <f t="shared" si="54"/>
        <v>mai</v>
      </c>
      <c r="L914" t="str">
        <f t="shared" si="55"/>
        <v>Dépenses</v>
      </c>
    </row>
    <row r="915" spans="1:12" ht="15" customHeight="1" x14ac:dyDescent="0.2">
      <c r="A915" t="s">
        <v>108</v>
      </c>
      <c r="B915" t="s">
        <v>109</v>
      </c>
      <c r="C915" s="1"/>
      <c r="D915" s="2">
        <v>43594</v>
      </c>
      <c r="E915" s="2">
        <f t="shared" si="56"/>
        <v>43594</v>
      </c>
      <c r="F915" t="s">
        <v>5</v>
      </c>
      <c r="G915" t="s">
        <v>5</v>
      </c>
      <c r="H915" t="s">
        <v>23</v>
      </c>
      <c r="I915" t="s">
        <v>7</v>
      </c>
      <c r="J915" s="22">
        <v>-2.0499999999999998</v>
      </c>
      <c r="K915" t="str">
        <f t="shared" si="54"/>
        <v>mai</v>
      </c>
      <c r="L915" t="str">
        <f t="shared" si="55"/>
        <v>Dépenses</v>
      </c>
    </row>
    <row r="916" spans="1:12" ht="11.25" customHeight="1" x14ac:dyDescent="0.2">
      <c r="A916" t="s">
        <v>94</v>
      </c>
      <c r="B916" s="4" t="s">
        <v>70</v>
      </c>
      <c r="C916" s="7" t="s">
        <v>913</v>
      </c>
      <c r="D916" s="2">
        <v>43594</v>
      </c>
      <c r="E916" s="2">
        <f t="shared" si="56"/>
        <v>43594</v>
      </c>
      <c r="F916" t="s">
        <v>187</v>
      </c>
      <c r="G916" t="s">
        <v>158</v>
      </c>
      <c r="H916" t="s">
        <v>188</v>
      </c>
      <c r="I916" t="s">
        <v>7</v>
      </c>
      <c r="J916" s="23">
        <v>-8.99</v>
      </c>
      <c r="K916" t="str">
        <f t="shared" si="54"/>
        <v>mai</v>
      </c>
      <c r="L916" t="str">
        <f t="shared" si="55"/>
        <v>Dépenses</v>
      </c>
    </row>
    <row r="917" spans="1:12" x14ac:dyDescent="0.2">
      <c r="A917" t="s">
        <v>94</v>
      </c>
      <c r="B917" s="4" t="s">
        <v>70</v>
      </c>
      <c r="C917" s="7" t="s">
        <v>913</v>
      </c>
      <c r="D917" s="2">
        <v>43594</v>
      </c>
      <c r="E917" s="2">
        <f t="shared" si="56"/>
        <v>43594</v>
      </c>
      <c r="F917" t="s">
        <v>189</v>
      </c>
      <c r="G917" t="s">
        <v>158</v>
      </c>
      <c r="H917" t="s">
        <v>188</v>
      </c>
      <c r="I917" t="s">
        <v>7</v>
      </c>
      <c r="J917" s="23">
        <v>-6.99</v>
      </c>
      <c r="K917" t="str">
        <f t="shared" si="54"/>
        <v>mai</v>
      </c>
      <c r="L917" t="str">
        <f t="shared" si="55"/>
        <v>Dépenses</v>
      </c>
    </row>
    <row r="918" spans="1:12" x14ac:dyDescent="0.2">
      <c r="A918" t="s">
        <v>108</v>
      </c>
      <c r="B918" s="4" t="s">
        <v>70</v>
      </c>
      <c r="C918" s="7" t="s">
        <v>914</v>
      </c>
      <c r="D918" s="2">
        <v>43594</v>
      </c>
      <c r="E918" s="2">
        <f t="shared" si="56"/>
        <v>43594</v>
      </c>
      <c r="F918" t="s">
        <v>171</v>
      </c>
      <c r="G918" t="s">
        <v>172</v>
      </c>
      <c r="H918" t="s">
        <v>173</v>
      </c>
      <c r="I918" t="s">
        <v>7</v>
      </c>
      <c r="J918" s="23">
        <v>-19.989999999999998</v>
      </c>
      <c r="K918" t="str">
        <f t="shared" si="54"/>
        <v>mai</v>
      </c>
      <c r="L918" t="str">
        <f t="shared" si="55"/>
        <v>Dépenses</v>
      </c>
    </row>
    <row r="919" spans="1:12" ht="11.25" customHeight="1" x14ac:dyDescent="0.2">
      <c r="A919" t="s">
        <v>2</v>
      </c>
      <c r="B919" t="s">
        <v>8</v>
      </c>
      <c r="C919" t="s">
        <v>932</v>
      </c>
      <c r="D919" s="2">
        <v>43595</v>
      </c>
      <c r="E919" s="2">
        <f t="shared" si="56"/>
        <v>43627</v>
      </c>
      <c r="F919" t="s">
        <v>32</v>
      </c>
      <c r="G919" t="s">
        <v>5</v>
      </c>
      <c r="H919" t="s">
        <v>33</v>
      </c>
      <c r="I919" t="s">
        <v>7</v>
      </c>
      <c r="J919" s="22">
        <v>-3.3</v>
      </c>
      <c r="K919" t="str">
        <f t="shared" si="54"/>
        <v>mai</v>
      </c>
      <c r="L919" t="str">
        <f t="shared" si="55"/>
        <v>Dépenses</v>
      </c>
    </row>
    <row r="920" spans="1:12" ht="11.25" customHeight="1" x14ac:dyDescent="0.2">
      <c r="A920" t="s">
        <v>2</v>
      </c>
      <c r="B920" t="s">
        <v>3</v>
      </c>
      <c r="D920" s="2">
        <v>43595</v>
      </c>
      <c r="E920" s="2">
        <f t="shared" si="56"/>
        <v>43627</v>
      </c>
      <c r="F920" t="s">
        <v>933</v>
      </c>
      <c r="G920" t="s">
        <v>111</v>
      </c>
      <c r="H920" t="s">
        <v>934</v>
      </c>
      <c r="I920" t="s">
        <v>7</v>
      </c>
      <c r="J920" s="22">
        <v>-26.8</v>
      </c>
      <c r="K920" t="str">
        <f t="shared" si="54"/>
        <v>mai</v>
      </c>
      <c r="L920" t="str">
        <f t="shared" si="55"/>
        <v>Dépenses</v>
      </c>
    </row>
    <row r="921" spans="1:12" ht="11.25" customHeight="1" x14ac:dyDescent="0.2">
      <c r="A921" t="s">
        <v>2</v>
      </c>
      <c r="B921" t="s">
        <v>3</v>
      </c>
      <c r="C921" t="s">
        <v>935</v>
      </c>
      <c r="D921" s="2">
        <v>43595</v>
      </c>
      <c r="E921" s="2">
        <f t="shared" si="56"/>
        <v>43627</v>
      </c>
      <c r="F921" t="s">
        <v>5</v>
      </c>
      <c r="G921" t="s">
        <v>5</v>
      </c>
      <c r="H921" t="s">
        <v>23</v>
      </c>
      <c r="I921" t="s">
        <v>7</v>
      </c>
      <c r="J921" s="22">
        <v>-24.2</v>
      </c>
      <c r="K921" t="str">
        <f t="shared" si="54"/>
        <v>mai</v>
      </c>
      <c r="L921" t="str">
        <f t="shared" si="55"/>
        <v>Dépenses</v>
      </c>
    </row>
    <row r="922" spans="1:12" ht="11.25" customHeight="1" x14ac:dyDescent="0.2">
      <c r="A922" t="s">
        <v>2</v>
      </c>
      <c r="B922" t="s">
        <v>3</v>
      </c>
      <c r="C922" t="s">
        <v>941</v>
      </c>
      <c r="D922" s="2">
        <v>43595</v>
      </c>
      <c r="E922" s="2">
        <f t="shared" si="56"/>
        <v>43627</v>
      </c>
      <c r="F922" t="s">
        <v>344</v>
      </c>
      <c r="G922" t="s">
        <v>49</v>
      </c>
      <c r="H922" t="s">
        <v>23</v>
      </c>
      <c r="I922" t="s">
        <v>7</v>
      </c>
      <c r="J922" s="22">
        <f>-2.9-10.19-3.78-1.57-3.15-4.63</f>
        <v>-26.22</v>
      </c>
      <c r="K922" t="str">
        <f t="shared" si="54"/>
        <v>mai</v>
      </c>
      <c r="L922" t="str">
        <f t="shared" si="55"/>
        <v>Dépenses</v>
      </c>
    </row>
    <row r="923" spans="1:12" x14ac:dyDescent="0.2">
      <c r="A923" t="s">
        <v>2</v>
      </c>
      <c r="B923" t="s">
        <v>3</v>
      </c>
      <c r="C923" t="s">
        <v>941</v>
      </c>
      <c r="D923" s="2">
        <v>43595</v>
      </c>
      <c r="E923" s="2">
        <f t="shared" si="56"/>
        <v>43627</v>
      </c>
      <c r="F923" t="s">
        <v>5</v>
      </c>
      <c r="G923" t="s">
        <v>5</v>
      </c>
      <c r="H923" t="s">
        <v>23</v>
      </c>
      <c r="I923" t="s">
        <v>7</v>
      </c>
      <c r="J923" s="22">
        <f>-60.34--26.22</f>
        <v>-34.120000000000005</v>
      </c>
      <c r="K923" t="str">
        <f t="shared" si="54"/>
        <v>mai</v>
      </c>
      <c r="L923" t="str">
        <f t="shared" si="55"/>
        <v>Dépenses</v>
      </c>
    </row>
    <row r="924" spans="1:12" x14ac:dyDescent="0.2">
      <c r="A924" t="s">
        <v>108</v>
      </c>
      <c r="B924" t="s">
        <v>109</v>
      </c>
      <c r="C924" s="1"/>
      <c r="D924" s="2">
        <v>43595</v>
      </c>
      <c r="E924" s="2">
        <f t="shared" si="56"/>
        <v>43595</v>
      </c>
      <c r="F924" t="s">
        <v>926</v>
      </c>
      <c r="G924" t="s">
        <v>52</v>
      </c>
      <c r="H924" t="s">
        <v>927</v>
      </c>
      <c r="I924" t="s">
        <v>7</v>
      </c>
      <c r="J924" s="22">
        <v>-26.85</v>
      </c>
      <c r="K924" t="str">
        <f t="shared" si="54"/>
        <v>mai</v>
      </c>
      <c r="L924" t="str">
        <f t="shared" si="55"/>
        <v>Dépenses</v>
      </c>
    </row>
    <row r="925" spans="1:12" x14ac:dyDescent="0.2">
      <c r="A925" t="s">
        <v>108</v>
      </c>
      <c r="B925" t="s">
        <v>109</v>
      </c>
      <c r="C925" s="1"/>
      <c r="D925" s="2">
        <v>43595</v>
      </c>
      <c r="E925" s="2">
        <f t="shared" si="56"/>
        <v>43595</v>
      </c>
      <c r="F925" t="s">
        <v>928</v>
      </c>
      <c r="G925" t="s">
        <v>118</v>
      </c>
      <c r="H925" t="s">
        <v>929</v>
      </c>
      <c r="I925" t="s">
        <v>7</v>
      </c>
      <c r="J925" s="22">
        <v>-20</v>
      </c>
      <c r="K925" t="str">
        <f t="shared" si="54"/>
        <v>mai</v>
      </c>
      <c r="L925" t="str">
        <f t="shared" si="55"/>
        <v>Dépenses</v>
      </c>
    </row>
    <row r="926" spans="1:12" x14ac:dyDescent="0.2">
      <c r="A926" t="s">
        <v>108</v>
      </c>
      <c r="B926" t="s">
        <v>109</v>
      </c>
      <c r="C926" t="s">
        <v>937</v>
      </c>
      <c r="D926" s="2">
        <v>43595</v>
      </c>
      <c r="E926" s="2">
        <f t="shared" si="56"/>
        <v>43595</v>
      </c>
      <c r="F926" t="s">
        <v>265</v>
      </c>
      <c r="G926" t="s">
        <v>63</v>
      </c>
      <c r="H926" t="s">
        <v>777</v>
      </c>
      <c r="I926" t="s">
        <v>487</v>
      </c>
      <c r="J926" s="22">
        <v>-30</v>
      </c>
      <c r="K926" t="str">
        <f t="shared" si="54"/>
        <v>mai</v>
      </c>
      <c r="L926" t="str">
        <f t="shared" si="55"/>
        <v>Dépenses</v>
      </c>
    </row>
    <row r="927" spans="1:12" x14ac:dyDescent="0.2">
      <c r="A927" t="s">
        <v>108</v>
      </c>
      <c r="B927" t="s">
        <v>109</v>
      </c>
      <c r="C927" t="s">
        <v>937</v>
      </c>
      <c r="D927" s="2">
        <v>43595</v>
      </c>
      <c r="E927" s="2">
        <f t="shared" si="56"/>
        <v>43595</v>
      </c>
      <c r="F927" t="s">
        <v>21</v>
      </c>
      <c r="G927" t="s">
        <v>21</v>
      </c>
      <c r="H927" t="s">
        <v>777</v>
      </c>
      <c r="I927" t="s">
        <v>7</v>
      </c>
      <c r="J927" s="22">
        <v>-9.8000000000000007</v>
      </c>
      <c r="K927" t="str">
        <f t="shared" si="54"/>
        <v>mai</v>
      </c>
      <c r="L927" t="str">
        <f t="shared" si="55"/>
        <v>Dépenses</v>
      </c>
    </row>
    <row r="928" spans="1:12" x14ac:dyDescent="0.2">
      <c r="A928" t="s">
        <v>108</v>
      </c>
      <c r="B928" t="s">
        <v>109</v>
      </c>
      <c r="D928" s="2">
        <v>43595</v>
      </c>
      <c r="E928" s="2">
        <f t="shared" si="56"/>
        <v>43595</v>
      </c>
      <c r="F928" t="s">
        <v>938</v>
      </c>
      <c r="G928" t="s">
        <v>111</v>
      </c>
      <c r="H928" t="s">
        <v>207</v>
      </c>
      <c r="I928" t="s">
        <v>487</v>
      </c>
      <c r="J928" s="22">
        <v>9.65</v>
      </c>
      <c r="K928" t="str">
        <f t="shared" si="54"/>
        <v>mai</v>
      </c>
      <c r="L928" t="str">
        <f t="shared" si="55"/>
        <v>Recettes</v>
      </c>
    </row>
    <row r="929" spans="1:12" x14ac:dyDescent="0.2">
      <c r="A929" t="s">
        <v>108</v>
      </c>
      <c r="B929" t="s">
        <v>109</v>
      </c>
      <c r="D929" s="2">
        <v>43595</v>
      </c>
      <c r="E929" s="2">
        <f t="shared" si="56"/>
        <v>43595</v>
      </c>
      <c r="F929" t="s">
        <v>938</v>
      </c>
      <c r="G929" t="s">
        <v>111</v>
      </c>
      <c r="H929" t="s">
        <v>145</v>
      </c>
      <c r="I929" t="s">
        <v>487</v>
      </c>
      <c r="J929" s="22">
        <v>85.84</v>
      </c>
      <c r="K929" t="str">
        <f t="shared" si="54"/>
        <v>mai</v>
      </c>
      <c r="L929" t="str">
        <f t="shared" si="55"/>
        <v>Recettes</v>
      </c>
    </row>
    <row r="930" spans="1:12" ht="15" customHeight="1" x14ac:dyDescent="0.2">
      <c r="A930" t="s">
        <v>108</v>
      </c>
      <c r="B930" t="s">
        <v>109</v>
      </c>
      <c r="D930" s="2">
        <v>43595</v>
      </c>
      <c r="E930" s="2">
        <f t="shared" si="56"/>
        <v>43595</v>
      </c>
      <c r="F930" t="s">
        <v>939</v>
      </c>
      <c r="G930" t="s">
        <v>111</v>
      </c>
      <c r="H930" t="s">
        <v>940</v>
      </c>
      <c r="I930" t="s">
        <v>487</v>
      </c>
      <c r="J930" s="22">
        <v>-96.49</v>
      </c>
      <c r="K930" t="str">
        <f t="shared" si="54"/>
        <v>mai</v>
      </c>
      <c r="L930" t="str">
        <f t="shared" si="55"/>
        <v>Dépenses</v>
      </c>
    </row>
    <row r="931" spans="1:12" x14ac:dyDescent="0.2">
      <c r="A931" t="s">
        <v>77</v>
      </c>
      <c r="B931" t="s">
        <v>77</v>
      </c>
      <c r="D931" s="2">
        <v>43595</v>
      </c>
      <c r="E931" s="2">
        <f t="shared" si="56"/>
        <v>43595</v>
      </c>
      <c r="F931" t="s">
        <v>931</v>
      </c>
      <c r="G931" t="s">
        <v>16</v>
      </c>
      <c r="H931" t="s">
        <v>908</v>
      </c>
      <c r="I931" t="s">
        <v>7</v>
      </c>
      <c r="J931" s="22">
        <v>-40</v>
      </c>
      <c r="K931" t="str">
        <f t="shared" si="54"/>
        <v>mai</v>
      </c>
      <c r="L931" t="str">
        <f t="shared" si="55"/>
        <v>Dépenses</v>
      </c>
    </row>
    <row r="932" spans="1:12" ht="11.25" customHeight="1" x14ac:dyDescent="0.2">
      <c r="A932" t="s">
        <v>94</v>
      </c>
      <c r="B932" s="4" t="s">
        <v>70</v>
      </c>
      <c r="C932" s="7" t="s">
        <v>922</v>
      </c>
      <c r="D932" s="2">
        <v>43595</v>
      </c>
      <c r="E932" s="2">
        <f t="shared" si="56"/>
        <v>43595</v>
      </c>
      <c r="F932" t="s">
        <v>923</v>
      </c>
      <c r="G932" t="s">
        <v>158</v>
      </c>
      <c r="H932" t="s">
        <v>166</v>
      </c>
      <c r="I932" t="s">
        <v>621</v>
      </c>
      <c r="J932" s="23">
        <v>-27.35</v>
      </c>
      <c r="K932" t="str">
        <f t="shared" si="54"/>
        <v>mai</v>
      </c>
      <c r="L932" t="str">
        <f t="shared" si="55"/>
        <v>Dépenses</v>
      </c>
    </row>
    <row r="933" spans="1:12" ht="15" customHeight="1" x14ac:dyDescent="0.2">
      <c r="A933" t="s">
        <v>94</v>
      </c>
      <c r="B933" s="4" t="s">
        <v>70</v>
      </c>
      <c r="C933" s="7" t="s">
        <v>924</v>
      </c>
      <c r="D933" s="2">
        <v>43595</v>
      </c>
      <c r="E933" s="2">
        <f t="shared" si="56"/>
        <v>43595</v>
      </c>
      <c r="F933" t="s">
        <v>202</v>
      </c>
      <c r="G933" t="s">
        <v>307</v>
      </c>
      <c r="H933" t="s">
        <v>658</v>
      </c>
      <c r="I933" t="s">
        <v>7</v>
      </c>
      <c r="J933" s="23">
        <v>-15</v>
      </c>
      <c r="K933" t="str">
        <f t="shared" si="54"/>
        <v>mai</v>
      </c>
      <c r="L933" t="str">
        <f t="shared" si="55"/>
        <v>Dépenses</v>
      </c>
    </row>
    <row r="934" spans="1:12" ht="15" customHeight="1" x14ac:dyDescent="0.2">
      <c r="A934" t="s">
        <v>94</v>
      </c>
      <c r="B934" s="4" t="s">
        <v>70</v>
      </c>
      <c r="C934" s="7" t="s">
        <v>925</v>
      </c>
      <c r="D934" s="2">
        <v>43595</v>
      </c>
      <c r="E934" s="2">
        <f t="shared" si="56"/>
        <v>43595</v>
      </c>
      <c r="F934" t="s">
        <v>204</v>
      </c>
      <c r="G934" t="s">
        <v>307</v>
      </c>
      <c r="H934" t="s">
        <v>660</v>
      </c>
      <c r="I934" t="s">
        <v>7</v>
      </c>
      <c r="J934" s="23">
        <v>-15</v>
      </c>
      <c r="K934" t="str">
        <f t="shared" si="54"/>
        <v>mai</v>
      </c>
      <c r="L934" t="str">
        <f t="shared" si="55"/>
        <v>Dépenses</v>
      </c>
    </row>
    <row r="935" spans="1:12" ht="15" customHeight="1" x14ac:dyDescent="0.2">
      <c r="A935" t="s">
        <v>658</v>
      </c>
      <c r="B935" t="s">
        <v>70</v>
      </c>
      <c r="D935" s="2">
        <v>43595</v>
      </c>
      <c r="E935" s="2">
        <f t="shared" si="56"/>
        <v>43595</v>
      </c>
      <c r="F935" t="s">
        <v>659</v>
      </c>
      <c r="G935" t="s">
        <v>307</v>
      </c>
      <c r="H935" t="s">
        <v>87</v>
      </c>
      <c r="I935" t="s">
        <v>621</v>
      </c>
      <c r="J935" s="22">
        <v>15</v>
      </c>
      <c r="K935" t="str">
        <f t="shared" si="54"/>
        <v>mai</v>
      </c>
      <c r="L935" t="str">
        <f t="shared" si="55"/>
        <v>Recettes</v>
      </c>
    </row>
    <row r="936" spans="1:12" x14ac:dyDescent="0.2">
      <c r="A936" t="s">
        <v>660</v>
      </c>
      <c r="B936" t="s">
        <v>70</v>
      </c>
      <c r="D936" s="2">
        <v>43595</v>
      </c>
      <c r="E936" s="2">
        <f t="shared" si="56"/>
        <v>43595</v>
      </c>
      <c r="F936" t="s">
        <v>661</v>
      </c>
      <c r="G936" t="s">
        <v>307</v>
      </c>
      <c r="H936" t="s">
        <v>87</v>
      </c>
      <c r="I936" t="s">
        <v>621</v>
      </c>
      <c r="J936" s="22">
        <v>15</v>
      </c>
      <c r="K936" t="str">
        <f t="shared" si="54"/>
        <v>mai</v>
      </c>
      <c r="L936" t="str">
        <f t="shared" si="55"/>
        <v>Recettes</v>
      </c>
    </row>
    <row r="937" spans="1:12" ht="11.25" customHeight="1" x14ac:dyDescent="0.2">
      <c r="A937" t="s">
        <v>108</v>
      </c>
      <c r="B937" s="4" t="s">
        <v>70</v>
      </c>
      <c r="C937" s="7" t="s">
        <v>930</v>
      </c>
      <c r="D937" s="2">
        <v>43595</v>
      </c>
      <c r="E937" s="2">
        <f t="shared" si="56"/>
        <v>43595</v>
      </c>
      <c r="F937" t="s">
        <v>198</v>
      </c>
      <c r="G937" t="s">
        <v>199</v>
      </c>
      <c r="H937" t="s">
        <v>200</v>
      </c>
      <c r="I937" t="s">
        <v>7</v>
      </c>
      <c r="J937" s="23">
        <v>989.51</v>
      </c>
      <c r="K937" t="str">
        <f t="shared" si="54"/>
        <v>mai</v>
      </c>
      <c r="L937" t="str">
        <f t="shared" si="55"/>
        <v>Recettes</v>
      </c>
    </row>
    <row r="938" spans="1:12" ht="11.25" customHeight="1" x14ac:dyDescent="0.2">
      <c r="A938" t="s">
        <v>108</v>
      </c>
      <c r="B938" s="4" t="s">
        <v>70</v>
      </c>
      <c r="C938" s="7" t="s">
        <v>936</v>
      </c>
      <c r="D938" s="2">
        <v>43595</v>
      </c>
      <c r="E938" s="2">
        <f t="shared" si="56"/>
        <v>43595</v>
      </c>
      <c r="F938" t="s">
        <v>206</v>
      </c>
      <c r="G938" t="s">
        <v>111</v>
      </c>
      <c r="H938" t="s">
        <v>207</v>
      </c>
      <c r="I938" t="s">
        <v>7</v>
      </c>
      <c r="J938" s="22">
        <v>-33.44</v>
      </c>
      <c r="K938" t="str">
        <f t="shared" si="54"/>
        <v>mai</v>
      </c>
      <c r="L938" t="str">
        <f t="shared" si="55"/>
        <v>Dépenses</v>
      </c>
    </row>
    <row r="939" spans="1:12" ht="15" customHeight="1" x14ac:dyDescent="0.2">
      <c r="A939" t="s">
        <v>2</v>
      </c>
      <c r="B939" t="s">
        <v>8</v>
      </c>
      <c r="C939" t="s">
        <v>942</v>
      </c>
      <c r="D939" s="2">
        <v>43596</v>
      </c>
      <c r="E939" s="2">
        <f t="shared" si="56"/>
        <v>43627</v>
      </c>
      <c r="F939" t="s">
        <v>943</v>
      </c>
      <c r="G939" t="s">
        <v>19</v>
      </c>
      <c r="H939" t="s">
        <v>944</v>
      </c>
      <c r="I939" t="s">
        <v>7</v>
      </c>
      <c r="J939" s="22">
        <v>-39.75</v>
      </c>
      <c r="K939" t="str">
        <f t="shared" si="54"/>
        <v>mai</v>
      </c>
      <c r="L939" t="str">
        <f t="shared" si="55"/>
        <v>Dépenses</v>
      </c>
    </row>
    <row r="940" spans="1:12" ht="15" customHeight="1" x14ac:dyDescent="0.2">
      <c r="A940" t="s">
        <v>2</v>
      </c>
      <c r="B940" t="s">
        <v>8</v>
      </c>
      <c r="C940" t="s">
        <v>945</v>
      </c>
      <c r="D940" s="2">
        <v>43596</v>
      </c>
      <c r="E940" s="2">
        <f t="shared" si="56"/>
        <v>43627</v>
      </c>
      <c r="F940" t="s">
        <v>946</v>
      </c>
      <c r="G940" t="s">
        <v>25</v>
      </c>
      <c r="H940" t="s">
        <v>741</v>
      </c>
      <c r="I940" t="s">
        <v>7</v>
      </c>
      <c r="J940" s="22">
        <v>-21</v>
      </c>
      <c r="K940" t="str">
        <f t="shared" si="54"/>
        <v>mai</v>
      </c>
      <c r="L940" t="str">
        <f t="shared" si="55"/>
        <v>Dépenses</v>
      </c>
    </row>
    <row r="941" spans="1:12" ht="15" customHeight="1" x14ac:dyDescent="0.2">
      <c r="A941" t="s">
        <v>2</v>
      </c>
      <c r="B941" t="s">
        <v>8</v>
      </c>
      <c r="D941" s="2">
        <v>43598</v>
      </c>
      <c r="E941" s="2">
        <f t="shared" si="56"/>
        <v>43627</v>
      </c>
      <c r="F941" t="s">
        <v>358</v>
      </c>
      <c r="G941" t="s">
        <v>10</v>
      </c>
      <c r="H941" t="s">
        <v>11</v>
      </c>
      <c r="I941" t="s">
        <v>7</v>
      </c>
      <c r="J941" s="22">
        <v>-25</v>
      </c>
      <c r="K941" t="str">
        <f t="shared" si="54"/>
        <v>mai</v>
      </c>
      <c r="L941" t="str">
        <f t="shared" si="55"/>
        <v>Dépenses</v>
      </c>
    </row>
    <row r="942" spans="1:12" x14ac:dyDescent="0.2">
      <c r="A942" t="s">
        <v>2</v>
      </c>
      <c r="B942" t="s">
        <v>8</v>
      </c>
      <c r="D942" s="2">
        <v>43598</v>
      </c>
      <c r="E942" s="2">
        <f t="shared" si="56"/>
        <v>43627</v>
      </c>
      <c r="F942" t="s">
        <v>949</v>
      </c>
      <c r="G942" t="s">
        <v>5</v>
      </c>
      <c r="H942" t="s">
        <v>22</v>
      </c>
      <c r="I942" t="s">
        <v>7</v>
      </c>
      <c r="J942" s="22">
        <v>-10.75</v>
      </c>
      <c r="K942" t="str">
        <f t="shared" si="54"/>
        <v>mai</v>
      </c>
      <c r="L942" t="str">
        <f t="shared" si="55"/>
        <v>Dépenses</v>
      </c>
    </row>
    <row r="943" spans="1:12" ht="15" customHeight="1" x14ac:dyDescent="0.2">
      <c r="A943" t="s">
        <v>108</v>
      </c>
      <c r="B943" t="s">
        <v>109</v>
      </c>
      <c r="D943" s="2">
        <v>43598</v>
      </c>
      <c r="E943" s="2">
        <f t="shared" si="56"/>
        <v>43598</v>
      </c>
      <c r="F943" t="s">
        <v>947</v>
      </c>
      <c r="G943" t="s">
        <v>5</v>
      </c>
      <c r="H943" t="s">
        <v>348</v>
      </c>
      <c r="I943" t="s">
        <v>7</v>
      </c>
      <c r="J943" s="22">
        <v>-1.6</v>
      </c>
      <c r="K943" t="str">
        <f t="shared" si="54"/>
        <v>mai</v>
      </c>
      <c r="L943" t="str">
        <f t="shared" si="55"/>
        <v>Dépenses</v>
      </c>
    </row>
    <row r="944" spans="1:12" ht="15" customHeight="1" x14ac:dyDescent="0.2">
      <c r="A944" t="s">
        <v>108</v>
      </c>
      <c r="B944" t="s">
        <v>109</v>
      </c>
      <c r="D944" s="2">
        <v>43598</v>
      </c>
      <c r="E944" s="2">
        <f t="shared" si="56"/>
        <v>43598</v>
      </c>
      <c r="F944" t="s">
        <v>948</v>
      </c>
      <c r="G944" t="s">
        <v>16</v>
      </c>
      <c r="H944" t="s">
        <v>23</v>
      </c>
      <c r="I944" t="s">
        <v>7</v>
      </c>
      <c r="J944" s="22">
        <v>-7.12</v>
      </c>
      <c r="K944" t="str">
        <f t="shared" si="54"/>
        <v>mai</v>
      </c>
      <c r="L944" t="str">
        <f t="shared" si="55"/>
        <v>Dépenses</v>
      </c>
    </row>
    <row r="945" spans="1:12" ht="15" customHeight="1" x14ac:dyDescent="0.2">
      <c r="A945" t="s">
        <v>108</v>
      </c>
      <c r="B945" t="s">
        <v>109</v>
      </c>
      <c r="D945" s="2">
        <v>43598</v>
      </c>
      <c r="E945" s="2">
        <f t="shared" si="56"/>
        <v>43598</v>
      </c>
      <c r="F945" t="s">
        <v>179</v>
      </c>
      <c r="G945" t="s">
        <v>5</v>
      </c>
      <c r="H945" t="s">
        <v>23</v>
      </c>
      <c r="I945" t="s">
        <v>7</v>
      </c>
      <c r="J945" s="22">
        <v>-1.25</v>
      </c>
      <c r="K945" t="str">
        <f t="shared" si="54"/>
        <v>mai</v>
      </c>
      <c r="L945" t="str">
        <f t="shared" si="55"/>
        <v>Dépenses</v>
      </c>
    </row>
    <row r="946" spans="1:12" ht="15" customHeight="1" x14ac:dyDescent="0.2">
      <c r="A946" t="s">
        <v>2</v>
      </c>
      <c r="B946" t="s">
        <v>3</v>
      </c>
      <c r="C946" s="8" t="s">
        <v>950</v>
      </c>
      <c r="D946" s="2">
        <v>43599</v>
      </c>
      <c r="E946" s="2">
        <f t="shared" si="56"/>
        <v>43627</v>
      </c>
      <c r="F946" t="s">
        <v>951</v>
      </c>
      <c r="G946" t="s">
        <v>49</v>
      </c>
      <c r="H946" t="s">
        <v>23</v>
      </c>
      <c r="I946" t="s">
        <v>7</v>
      </c>
      <c r="J946" s="22">
        <v>-4.5599999999999996</v>
      </c>
      <c r="K946" t="str">
        <f t="shared" si="54"/>
        <v>mai</v>
      </c>
      <c r="L946" t="str">
        <f t="shared" si="55"/>
        <v>Dépenses</v>
      </c>
    </row>
    <row r="947" spans="1:12" ht="15" customHeight="1" x14ac:dyDescent="0.2">
      <c r="A947" t="s">
        <v>2</v>
      </c>
      <c r="B947" t="s">
        <v>3</v>
      </c>
      <c r="C947" s="8" t="s">
        <v>950</v>
      </c>
      <c r="D947" s="2">
        <v>43599</v>
      </c>
      <c r="E947" s="2">
        <f t="shared" si="56"/>
        <v>43627</v>
      </c>
      <c r="F947" t="s">
        <v>5</v>
      </c>
      <c r="G947" t="s">
        <v>5</v>
      </c>
      <c r="H947" t="s">
        <v>23</v>
      </c>
      <c r="I947" t="s">
        <v>7</v>
      </c>
      <c r="J947" s="22">
        <f>-57.17--4.56</f>
        <v>-52.61</v>
      </c>
      <c r="K947" t="str">
        <f t="shared" si="54"/>
        <v>mai</v>
      </c>
      <c r="L947" t="str">
        <f t="shared" si="55"/>
        <v>Dépenses</v>
      </c>
    </row>
    <row r="948" spans="1:12" ht="11.25" customHeight="1" x14ac:dyDescent="0.2">
      <c r="A948" t="s">
        <v>108</v>
      </c>
      <c r="B948" t="s">
        <v>109</v>
      </c>
      <c r="C948" s="1"/>
      <c r="D948" s="2">
        <v>43599</v>
      </c>
      <c r="E948" s="2">
        <f t="shared" si="56"/>
        <v>43599</v>
      </c>
      <c r="F948" t="s">
        <v>912</v>
      </c>
      <c r="G948" t="s">
        <v>16</v>
      </c>
      <c r="H948" t="s">
        <v>141</v>
      </c>
      <c r="I948" t="s">
        <v>7</v>
      </c>
      <c r="J948" s="22">
        <v>-9.99</v>
      </c>
      <c r="K948" t="str">
        <f t="shared" si="54"/>
        <v>mai</v>
      </c>
      <c r="L948" t="str">
        <f t="shared" si="55"/>
        <v>Dépenses</v>
      </c>
    </row>
    <row r="949" spans="1:12" ht="15" customHeight="1" x14ac:dyDescent="0.2">
      <c r="A949" t="s">
        <v>108</v>
      </c>
      <c r="B949" t="s">
        <v>109</v>
      </c>
      <c r="D949" s="2">
        <v>43599</v>
      </c>
      <c r="E949" s="2">
        <f t="shared" si="56"/>
        <v>43599</v>
      </c>
      <c r="F949" t="s">
        <v>179</v>
      </c>
      <c r="G949" t="s">
        <v>5</v>
      </c>
      <c r="H949" t="s">
        <v>23</v>
      </c>
      <c r="I949" t="s">
        <v>7</v>
      </c>
      <c r="J949" s="22">
        <v>-1.5</v>
      </c>
      <c r="K949" t="str">
        <f t="shared" si="54"/>
        <v>mai</v>
      </c>
      <c r="L949" t="str">
        <f t="shared" si="55"/>
        <v>Dépenses</v>
      </c>
    </row>
    <row r="950" spans="1:12" ht="15" customHeight="1" x14ac:dyDescent="0.2">
      <c r="A950" t="s">
        <v>108</v>
      </c>
      <c r="B950" t="s">
        <v>109</v>
      </c>
      <c r="D950" s="2">
        <v>43599</v>
      </c>
      <c r="E950" s="2">
        <f t="shared" si="56"/>
        <v>43599</v>
      </c>
      <c r="F950" t="s">
        <v>875</v>
      </c>
      <c r="G950" t="s">
        <v>127</v>
      </c>
      <c r="H950" t="s">
        <v>728</v>
      </c>
      <c r="I950" t="s">
        <v>7</v>
      </c>
      <c r="J950" s="22">
        <v>-25.5</v>
      </c>
      <c r="K950" t="str">
        <f t="shared" si="54"/>
        <v>mai</v>
      </c>
      <c r="L950" t="str">
        <f t="shared" si="55"/>
        <v>Dépenses</v>
      </c>
    </row>
    <row r="951" spans="1:12" ht="15" customHeight="1" x14ac:dyDescent="0.2">
      <c r="A951" t="s">
        <v>108</v>
      </c>
      <c r="B951" t="s">
        <v>109</v>
      </c>
      <c r="D951" s="2">
        <v>43599</v>
      </c>
      <c r="E951" s="2">
        <f t="shared" si="56"/>
        <v>43599</v>
      </c>
      <c r="F951" t="s">
        <v>952</v>
      </c>
      <c r="G951" t="s">
        <v>21</v>
      </c>
      <c r="H951" t="s">
        <v>953</v>
      </c>
      <c r="I951" t="s">
        <v>7</v>
      </c>
      <c r="J951" s="22">
        <v>-46.8</v>
      </c>
      <c r="K951" t="str">
        <f t="shared" si="54"/>
        <v>mai</v>
      </c>
      <c r="L951" t="str">
        <f t="shared" si="55"/>
        <v>Dépenses</v>
      </c>
    </row>
    <row r="952" spans="1:12" ht="15" customHeight="1" x14ac:dyDescent="0.2">
      <c r="A952" t="s">
        <v>2</v>
      </c>
      <c r="B952" t="s">
        <v>3</v>
      </c>
      <c r="C952" s="1" t="s">
        <v>959</v>
      </c>
      <c r="D952" s="2">
        <v>43600</v>
      </c>
      <c r="E952" s="2">
        <f t="shared" si="56"/>
        <v>43627</v>
      </c>
      <c r="F952" t="s">
        <v>303</v>
      </c>
      <c r="G952" t="s">
        <v>49</v>
      </c>
      <c r="H952" t="s">
        <v>6</v>
      </c>
      <c r="I952" t="s">
        <v>7</v>
      </c>
      <c r="J952" s="22">
        <f>-1.65-2.95</f>
        <v>-4.5999999999999996</v>
      </c>
      <c r="K952" t="str">
        <f t="shared" si="54"/>
        <v>mai</v>
      </c>
      <c r="L952" t="str">
        <f t="shared" si="55"/>
        <v>Dépenses</v>
      </c>
    </row>
    <row r="953" spans="1:12" ht="15" customHeight="1" x14ac:dyDescent="0.2">
      <c r="A953" t="s">
        <v>2</v>
      </c>
      <c r="B953" t="s">
        <v>3</v>
      </c>
      <c r="C953" s="1" t="s">
        <v>959</v>
      </c>
      <c r="D953" s="2">
        <v>43600</v>
      </c>
      <c r="E953" s="2">
        <f t="shared" si="56"/>
        <v>43627</v>
      </c>
      <c r="F953" t="s">
        <v>303</v>
      </c>
      <c r="G953" t="s">
        <v>49</v>
      </c>
      <c r="H953" t="s">
        <v>6</v>
      </c>
      <c r="I953" t="s">
        <v>7</v>
      </c>
      <c r="J953" s="22">
        <f>-59.47--4.6</f>
        <v>-54.87</v>
      </c>
      <c r="K953" t="str">
        <f t="shared" si="54"/>
        <v>mai</v>
      </c>
      <c r="L953" t="str">
        <f t="shared" si="55"/>
        <v>Dépenses</v>
      </c>
    </row>
    <row r="954" spans="1:12" ht="15" customHeight="1" x14ac:dyDescent="0.2">
      <c r="A954" t="s">
        <v>108</v>
      </c>
      <c r="B954" t="s">
        <v>109</v>
      </c>
      <c r="D954" s="2">
        <v>43600</v>
      </c>
      <c r="E954" s="2">
        <f t="shared" si="56"/>
        <v>43600</v>
      </c>
      <c r="F954" t="s">
        <v>179</v>
      </c>
      <c r="G954" t="s">
        <v>5</v>
      </c>
      <c r="H954" t="s">
        <v>23</v>
      </c>
      <c r="I954" t="s">
        <v>7</v>
      </c>
      <c r="J954" s="22">
        <v>-1.25</v>
      </c>
      <c r="K954" t="str">
        <f t="shared" si="54"/>
        <v>mai</v>
      </c>
      <c r="L954" t="str">
        <f t="shared" si="55"/>
        <v>Dépenses</v>
      </c>
    </row>
    <row r="955" spans="1:12" ht="15" customHeight="1" x14ac:dyDescent="0.2">
      <c r="A955" t="s">
        <v>94</v>
      </c>
      <c r="B955" t="s">
        <v>70</v>
      </c>
      <c r="C955" s="1" t="s">
        <v>954</v>
      </c>
      <c r="D955" s="2">
        <v>43600</v>
      </c>
      <c r="E955" s="2">
        <f t="shared" si="56"/>
        <v>43600</v>
      </c>
      <c r="F955" t="s">
        <v>955</v>
      </c>
      <c r="G955" t="s">
        <v>158</v>
      </c>
      <c r="H955" t="s">
        <v>956</v>
      </c>
      <c r="I955" t="s">
        <v>621</v>
      </c>
      <c r="J955" s="22">
        <v>-49.82</v>
      </c>
      <c r="K955" t="str">
        <f t="shared" si="54"/>
        <v>mai</v>
      </c>
      <c r="L955" t="str">
        <f t="shared" si="55"/>
        <v>Dépenses</v>
      </c>
    </row>
    <row r="956" spans="1:12" x14ac:dyDescent="0.2">
      <c r="A956" t="s">
        <v>94</v>
      </c>
      <c r="B956" s="4" t="s">
        <v>70</v>
      </c>
      <c r="C956" s="8" t="s">
        <v>957</v>
      </c>
      <c r="D956" s="2">
        <v>43600</v>
      </c>
      <c r="E956" s="2">
        <f t="shared" si="56"/>
        <v>43600</v>
      </c>
      <c r="F956" s="4" t="s">
        <v>232</v>
      </c>
      <c r="G956" s="4" t="s">
        <v>79</v>
      </c>
      <c r="H956" s="4" t="s">
        <v>233</v>
      </c>
      <c r="I956" t="s">
        <v>7</v>
      </c>
      <c r="J956" s="23">
        <v>-22.95</v>
      </c>
      <c r="K956" t="str">
        <f t="shared" si="54"/>
        <v>mai</v>
      </c>
      <c r="L956" t="str">
        <f t="shared" si="55"/>
        <v>Dépenses</v>
      </c>
    </row>
    <row r="957" spans="1:12" ht="15" customHeight="1" x14ac:dyDescent="0.2">
      <c r="A957" t="s">
        <v>94</v>
      </c>
      <c r="B957" t="s">
        <v>70</v>
      </c>
      <c r="C957" s="1" t="s">
        <v>954</v>
      </c>
      <c r="D957" s="2">
        <v>43600</v>
      </c>
      <c r="E957" s="2">
        <f t="shared" si="56"/>
        <v>43600</v>
      </c>
      <c r="F957" t="s">
        <v>958</v>
      </c>
      <c r="G957" t="s">
        <v>158</v>
      </c>
      <c r="H957" t="s">
        <v>956</v>
      </c>
      <c r="I957" t="s">
        <v>621</v>
      </c>
      <c r="J957" s="22">
        <v>-49.82</v>
      </c>
      <c r="K957" t="str">
        <f t="shared" si="54"/>
        <v>mai</v>
      </c>
      <c r="L957" t="str">
        <f t="shared" si="55"/>
        <v>Dépenses</v>
      </c>
    </row>
    <row r="958" spans="1:12" ht="15" customHeight="1" x14ac:dyDescent="0.2">
      <c r="A958" t="s">
        <v>2</v>
      </c>
      <c r="B958" t="s">
        <v>8</v>
      </c>
      <c r="D958" s="2">
        <v>43601</v>
      </c>
      <c r="E958" s="2">
        <f t="shared" si="56"/>
        <v>43627</v>
      </c>
      <c r="F958" t="s">
        <v>559</v>
      </c>
      <c r="G958" t="s">
        <v>63</v>
      </c>
      <c r="H958" t="s">
        <v>64</v>
      </c>
      <c r="I958" t="s">
        <v>7</v>
      </c>
      <c r="J958" s="22">
        <v>-48.83</v>
      </c>
      <c r="K958" t="str">
        <f t="shared" si="54"/>
        <v>mai</v>
      </c>
      <c r="L958" t="str">
        <f t="shared" si="55"/>
        <v>Dépenses</v>
      </c>
    </row>
    <row r="959" spans="1:12" ht="11.25" customHeight="1" x14ac:dyDescent="0.2">
      <c r="A959" t="s">
        <v>108</v>
      </c>
      <c r="B959" t="s">
        <v>109</v>
      </c>
      <c r="D959" s="2">
        <v>43601</v>
      </c>
      <c r="E959" s="2">
        <f t="shared" si="56"/>
        <v>43601</v>
      </c>
      <c r="F959" t="s">
        <v>179</v>
      </c>
      <c r="G959" t="s">
        <v>5</v>
      </c>
      <c r="H959" t="s">
        <v>23</v>
      </c>
      <c r="I959" t="s">
        <v>7</v>
      </c>
      <c r="J959" s="22">
        <v>-1.25</v>
      </c>
      <c r="K959" t="str">
        <f t="shared" si="54"/>
        <v>mai</v>
      </c>
      <c r="L959" t="str">
        <f t="shared" si="55"/>
        <v>Dépenses</v>
      </c>
    </row>
    <row r="960" spans="1:12" ht="11.25" customHeight="1" x14ac:dyDescent="0.2">
      <c r="A960" t="s">
        <v>108</v>
      </c>
      <c r="B960" t="s">
        <v>109</v>
      </c>
      <c r="D960" s="2">
        <v>43601</v>
      </c>
      <c r="E960" s="2">
        <f t="shared" si="56"/>
        <v>43601</v>
      </c>
      <c r="F960" t="s">
        <v>482</v>
      </c>
      <c r="G960" t="s">
        <v>52</v>
      </c>
      <c r="H960" t="s">
        <v>927</v>
      </c>
      <c r="I960" t="s">
        <v>7</v>
      </c>
      <c r="J960" s="22">
        <v>-25.95</v>
      </c>
      <c r="K960" t="str">
        <f t="shared" si="54"/>
        <v>mai</v>
      </c>
      <c r="L960" t="str">
        <f t="shared" si="55"/>
        <v>Dépenses</v>
      </c>
    </row>
    <row r="961" spans="1:12" ht="11.25" customHeight="1" x14ac:dyDescent="0.2">
      <c r="A961" t="s">
        <v>108</v>
      </c>
      <c r="B961" t="s">
        <v>109</v>
      </c>
      <c r="C961" t="s">
        <v>964</v>
      </c>
      <c r="D961" s="2">
        <v>43601</v>
      </c>
      <c r="E961" s="2">
        <f t="shared" si="56"/>
        <v>43601</v>
      </c>
      <c r="F961" t="s">
        <v>965</v>
      </c>
      <c r="G961" t="s">
        <v>16</v>
      </c>
      <c r="H961" t="s">
        <v>966</v>
      </c>
      <c r="I961" t="s">
        <v>7</v>
      </c>
      <c r="J961" s="22">
        <v>-28.2</v>
      </c>
      <c r="K961" t="str">
        <f t="shared" si="54"/>
        <v>mai</v>
      </c>
      <c r="L961" t="str">
        <f t="shared" si="55"/>
        <v>Dépenses</v>
      </c>
    </row>
    <row r="962" spans="1:12" ht="15" customHeight="1" x14ac:dyDescent="0.2">
      <c r="A962" t="s">
        <v>108</v>
      </c>
      <c r="B962" t="s">
        <v>109</v>
      </c>
      <c r="C962" t="s">
        <v>964</v>
      </c>
      <c r="D962" s="2">
        <v>43601</v>
      </c>
      <c r="E962" s="2">
        <f t="shared" si="56"/>
        <v>43601</v>
      </c>
      <c r="F962" t="s">
        <v>967</v>
      </c>
      <c r="G962" t="s">
        <v>5</v>
      </c>
      <c r="H962" t="s">
        <v>966</v>
      </c>
      <c r="I962" t="s">
        <v>7</v>
      </c>
      <c r="J962" s="22">
        <v>-6.5</v>
      </c>
      <c r="K962" t="str">
        <f t="shared" ref="K962:K1025" si="57">IF(D962="","",TEXT(D962,"Mmmm"))</f>
        <v>mai</v>
      </c>
      <c r="L962" t="str">
        <f t="shared" ref="L962:L1025" si="58">IF(J962="","",IF(J962&lt;0,"Dépenses","Recettes"))</f>
        <v>Dépenses</v>
      </c>
    </row>
    <row r="963" spans="1:12" x14ac:dyDescent="0.2">
      <c r="A963" t="s">
        <v>94</v>
      </c>
      <c r="B963" s="4" t="s">
        <v>70</v>
      </c>
      <c r="C963" s="7" t="s">
        <v>960</v>
      </c>
      <c r="D963" s="2">
        <v>43601</v>
      </c>
      <c r="E963" s="2">
        <f t="shared" si="56"/>
        <v>43601</v>
      </c>
      <c r="F963" s="4" t="s">
        <v>240</v>
      </c>
      <c r="G963" s="4" t="s">
        <v>73</v>
      </c>
      <c r="H963" s="4" t="s">
        <v>241</v>
      </c>
      <c r="I963" t="s">
        <v>7</v>
      </c>
      <c r="J963" s="23">
        <v>-164.14</v>
      </c>
      <c r="K963" t="str">
        <f t="shared" si="57"/>
        <v>mai</v>
      </c>
      <c r="L963" t="str">
        <f t="shared" si="58"/>
        <v>Dépenses</v>
      </c>
    </row>
    <row r="964" spans="1:12" ht="15" customHeight="1" x14ac:dyDescent="0.2">
      <c r="A964" t="s">
        <v>94</v>
      </c>
      <c r="B964" s="4" t="s">
        <v>70</v>
      </c>
      <c r="C964" s="7" t="s">
        <v>961</v>
      </c>
      <c r="D964" s="2">
        <v>43601</v>
      </c>
      <c r="E964" s="2">
        <f t="shared" si="56"/>
        <v>43601</v>
      </c>
      <c r="F964" t="s">
        <v>243</v>
      </c>
      <c r="G964" t="s">
        <v>244</v>
      </c>
      <c r="H964" t="s">
        <v>245</v>
      </c>
      <c r="I964" t="s">
        <v>7</v>
      </c>
      <c r="J964" s="23">
        <v>-34.950000000000003</v>
      </c>
      <c r="K964" t="str">
        <f t="shared" si="57"/>
        <v>mai</v>
      </c>
      <c r="L964" t="str">
        <f t="shared" si="58"/>
        <v>Dépenses</v>
      </c>
    </row>
    <row r="965" spans="1:12" ht="15" customHeight="1" x14ac:dyDescent="0.2">
      <c r="A965" t="s">
        <v>94</v>
      </c>
      <c r="B965" s="4" t="s">
        <v>70</v>
      </c>
      <c r="C965" s="7" t="s">
        <v>962</v>
      </c>
      <c r="D965" s="2">
        <v>43601</v>
      </c>
      <c r="E965" s="2">
        <f t="shared" si="56"/>
        <v>43601</v>
      </c>
      <c r="F965" t="s">
        <v>247</v>
      </c>
      <c r="G965" t="s">
        <v>134</v>
      </c>
      <c r="H965" t="s">
        <v>319</v>
      </c>
      <c r="I965" t="s">
        <v>7</v>
      </c>
      <c r="J965" s="23">
        <v>-38</v>
      </c>
      <c r="K965" t="str">
        <f t="shared" si="57"/>
        <v>mai</v>
      </c>
      <c r="L965" t="str">
        <f t="shared" si="58"/>
        <v>Dépenses</v>
      </c>
    </row>
    <row r="966" spans="1:12" ht="15" customHeight="1" x14ac:dyDescent="0.2">
      <c r="A966" t="s">
        <v>94</v>
      </c>
      <c r="B966" s="4" t="s">
        <v>70</v>
      </c>
      <c r="C966" s="7" t="s">
        <v>963</v>
      </c>
      <c r="D966" s="2">
        <v>43601</v>
      </c>
      <c r="E966" s="2">
        <f t="shared" si="56"/>
        <v>43601</v>
      </c>
      <c r="F966" t="s">
        <v>249</v>
      </c>
      <c r="G966" t="s">
        <v>134</v>
      </c>
      <c r="H966" t="s">
        <v>319</v>
      </c>
      <c r="I966" t="s">
        <v>7</v>
      </c>
      <c r="J966" s="23">
        <v>-32</v>
      </c>
      <c r="K966" t="str">
        <f t="shared" si="57"/>
        <v>mai</v>
      </c>
      <c r="L966" t="str">
        <f t="shared" si="58"/>
        <v>Dépenses</v>
      </c>
    </row>
    <row r="967" spans="1:12" ht="15" customHeight="1" x14ac:dyDescent="0.2">
      <c r="A967" t="s">
        <v>2</v>
      </c>
      <c r="B967" t="s">
        <v>8</v>
      </c>
      <c r="D967" s="2">
        <v>43602</v>
      </c>
      <c r="E967" s="2">
        <f t="shared" si="56"/>
        <v>43627</v>
      </c>
      <c r="F967" t="s">
        <v>972</v>
      </c>
      <c r="G967" t="s">
        <v>111</v>
      </c>
      <c r="H967" t="s">
        <v>973</v>
      </c>
      <c r="I967" t="s">
        <v>7</v>
      </c>
      <c r="J967" s="22">
        <v>-13.48</v>
      </c>
      <c r="K967" t="str">
        <f t="shared" si="57"/>
        <v>mai</v>
      </c>
      <c r="L967" t="str">
        <f t="shared" si="58"/>
        <v>Dépenses</v>
      </c>
    </row>
    <row r="968" spans="1:12" ht="11.25" customHeight="1" x14ac:dyDescent="0.2">
      <c r="A968" t="s">
        <v>2</v>
      </c>
      <c r="B968" t="s">
        <v>8</v>
      </c>
      <c r="D968" s="2">
        <v>43602</v>
      </c>
      <c r="E968" s="2">
        <f t="shared" si="56"/>
        <v>43627</v>
      </c>
      <c r="F968" t="s">
        <v>974</v>
      </c>
      <c r="G968" t="s">
        <v>5</v>
      </c>
      <c r="H968" t="s">
        <v>22</v>
      </c>
      <c r="I968" t="s">
        <v>7</v>
      </c>
      <c r="J968" s="22">
        <v>-18.649999999999999</v>
      </c>
      <c r="K968" t="str">
        <f t="shared" si="57"/>
        <v>mai</v>
      </c>
      <c r="L968" t="str">
        <f t="shared" si="58"/>
        <v>Dépenses</v>
      </c>
    </row>
    <row r="969" spans="1:12" ht="15" customHeight="1" x14ac:dyDescent="0.2">
      <c r="A969" t="s">
        <v>2</v>
      </c>
      <c r="B969" t="s">
        <v>3</v>
      </c>
      <c r="C969" s="1" t="s">
        <v>968</v>
      </c>
      <c r="D969" s="2">
        <v>43602</v>
      </c>
      <c r="E969" s="2">
        <f t="shared" si="56"/>
        <v>43627</v>
      </c>
      <c r="F969" t="s">
        <v>353</v>
      </c>
      <c r="G969" t="s">
        <v>49</v>
      </c>
      <c r="H969" t="s">
        <v>23</v>
      </c>
      <c r="I969" t="s">
        <v>7</v>
      </c>
      <c r="J969" s="22">
        <f>-6.1-8.12</f>
        <v>-14.219999999999999</v>
      </c>
      <c r="K969" t="str">
        <f t="shared" si="57"/>
        <v>mai</v>
      </c>
      <c r="L969" t="str">
        <f t="shared" si="58"/>
        <v>Dépenses</v>
      </c>
    </row>
    <row r="970" spans="1:12" ht="11.25" customHeight="1" x14ac:dyDescent="0.2">
      <c r="A970" t="s">
        <v>2</v>
      </c>
      <c r="B970" t="s">
        <v>3</v>
      </c>
      <c r="C970" s="1" t="s">
        <v>968</v>
      </c>
      <c r="D970" s="2">
        <v>43602</v>
      </c>
      <c r="E970" s="2">
        <f t="shared" si="56"/>
        <v>43627</v>
      </c>
      <c r="F970" t="s">
        <v>5</v>
      </c>
      <c r="G970" t="s">
        <v>5</v>
      </c>
      <c r="H970" t="s">
        <v>23</v>
      </c>
      <c r="I970" t="s">
        <v>7</v>
      </c>
      <c r="J970" s="22">
        <f>-68.77--14.22</f>
        <v>-54.55</v>
      </c>
      <c r="K970" t="str">
        <f t="shared" si="57"/>
        <v>mai</v>
      </c>
      <c r="L970" t="str">
        <f t="shared" si="58"/>
        <v>Dépenses</v>
      </c>
    </row>
    <row r="971" spans="1:12" ht="15" customHeight="1" x14ac:dyDescent="0.2">
      <c r="A971" t="s">
        <v>2</v>
      </c>
      <c r="B971" t="s">
        <v>3</v>
      </c>
      <c r="C971" t="s">
        <v>969</v>
      </c>
      <c r="D971" s="2">
        <v>43602</v>
      </c>
      <c r="E971" s="2">
        <f t="shared" si="56"/>
        <v>43627</v>
      </c>
      <c r="F971" t="s">
        <v>5</v>
      </c>
      <c r="G971" t="s">
        <v>5</v>
      </c>
      <c r="H971" t="s">
        <v>37</v>
      </c>
      <c r="I971" t="s">
        <v>7</v>
      </c>
      <c r="J971" s="22">
        <v>-65.3</v>
      </c>
      <c r="K971" t="str">
        <f t="shared" si="57"/>
        <v>mai</v>
      </c>
      <c r="L971" t="str">
        <f t="shared" si="58"/>
        <v>Dépenses</v>
      </c>
    </row>
    <row r="972" spans="1:12" ht="15" customHeight="1" x14ac:dyDescent="0.2">
      <c r="A972" t="s">
        <v>108</v>
      </c>
      <c r="B972" t="s">
        <v>109</v>
      </c>
      <c r="D972" s="2">
        <v>43602</v>
      </c>
      <c r="E972" s="2">
        <f t="shared" ref="E972:E1035" si="59">IF(A972="","",IF(A972&lt;&gt;"Carte Lux",D972,VLOOKUP(D972,Periode_datedebit_2019,3)))</f>
        <v>43602</v>
      </c>
      <c r="F972" t="s">
        <v>179</v>
      </c>
      <c r="G972" t="s">
        <v>5</v>
      </c>
      <c r="H972" t="s">
        <v>23</v>
      </c>
      <c r="I972" t="s">
        <v>7</v>
      </c>
      <c r="J972" s="22">
        <v>-1.75</v>
      </c>
      <c r="K972" t="str">
        <f t="shared" si="57"/>
        <v>mai</v>
      </c>
      <c r="L972" t="str">
        <f t="shared" si="58"/>
        <v>Dépenses</v>
      </c>
    </row>
    <row r="973" spans="1:12" x14ac:dyDescent="0.2">
      <c r="A973" t="s">
        <v>108</v>
      </c>
      <c r="B973" t="s">
        <v>109</v>
      </c>
      <c r="D973" s="2">
        <v>43602</v>
      </c>
      <c r="E973" s="2">
        <f t="shared" si="59"/>
        <v>43602</v>
      </c>
      <c r="F973" t="s">
        <v>970</v>
      </c>
      <c r="G973" t="s">
        <v>39</v>
      </c>
      <c r="H973" t="s">
        <v>971</v>
      </c>
      <c r="I973" t="s">
        <v>7</v>
      </c>
      <c r="J973" s="22">
        <v>-14</v>
      </c>
      <c r="K973" t="str">
        <f t="shared" si="57"/>
        <v>mai</v>
      </c>
      <c r="L973" t="str">
        <f t="shared" si="58"/>
        <v>Dépenses</v>
      </c>
    </row>
    <row r="974" spans="1:12" ht="11.25" customHeight="1" x14ac:dyDescent="0.2">
      <c r="A974" t="s">
        <v>2</v>
      </c>
      <c r="B974" t="s">
        <v>8</v>
      </c>
      <c r="D974" s="2">
        <v>43603</v>
      </c>
      <c r="E974" s="2">
        <f t="shared" si="59"/>
        <v>43627</v>
      </c>
      <c r="F974" t="s">
        <v>977</v>
      </c>
      <c r="G974" t="s">
        <v>16</v>
      </c>
      <c r="H974" t="s">
        <v>678</v>
      </c>
      <c r="I974" t="s">
        <v>7</v>
      </c>
      <c r="J974" s="22">
        <v>-105.1</v>
      </c>
      <c r="K974" t="str">
        <f t="shared" si="57"/>
        <v>mai</v>
      </c>
      <c r="L974" t="str">
        <f t="shared" si="58"/>
        <v>Dépenses</v>
      </c>
    </row>
    <row r="975" spans="1:12" ht="11.25" customHeight="1" x14ac:dyDescent="0.2">
      <c r="A975" t="s">
        <v>108</v>
      </c>
      <c r="B975" t="s">
        <v>109</v>
      </c>
      <c r="D975" s="2">
        <v>43603</v>
      </c>
      <c r="E975" s="2">
        <f t="shared" si="59"/>
        <v>43603</v>
      </c>
      <c r="F975" t="s">
        <v>975</v>
      </c>
      <c r="G975" t="s">
        <v>21</v>
      </c>
      <c r="H975" t="s">
        <v>953</v>
      </c>
      <c r="I975" t="s">
        <v>7</v>
      </c>
      <c r="J975" s="22">
        <v>-8.9</v>
      </c>
      <c r="K975" t="str">
        <f t="shared" si="57"/>
        <v>mai</v>
      </c>
      <c r="L975" t="str">
        <f t="shared" si="58"/>
        <v>Dépenses</v>
      </c>
    </row>
    <row r="976" spans="1:12" ht="11.25" customHeight="1" x14ac:dyDescent="0.2">
      <c r="A976" t="s">
        <v>108</v>
      </c>
      <c r="B976" t="s">
        <v>109</v>
      </c>
      <c r="C976" t="s">
        <v>976</v>
      </c>
      <c r="D976" s="2">
        <v>43603</v>
      </c>
      <c r="E976" s="2">
        <f t="shared" si="59"/>
        <v>43603</v>
      </c>
      <c r="F976" t="s">
        <v>303</v>
      </c>
      <c r="G976" t="s">
        <v>49</v>
      </c>
      <c r="H976" t="s">
        <v>6</v>
      </c>
      <c r="I976" t="s">
        <v>7</v>
      </c>
      <c r="J976" s="22">
        <f>-3.9-7.2-4.3-4.72-4.85</f>
        <v>-24.97</v>
      </c>
      <c r="K976" t="str">
        <f t="shared" si="57"/>
        <v>mai</v>
      </c>
      <c r="L976" t="str">
        <f t="shared" si="58"/>
        <v>Dépenses</v>
      </c>
    </row>
    <row r="977" spans="1:12" x14ac:dyDescent="0.2">
      <c r="A977" t="s">
        <v>108</v>
      </c>
      <c r="B977" t="s">
        <v>109</v>
      </c>
      <c r="C977" t="s">
        <v>976</v>
      </c>
      <c r="D977" s="2">
        <v>43603</v>
      </c>
      <c r="E977" s="2">
        <f t="shared" si="59"/>
        <v>43603</v>
      </c>
      <c r="F977" t="s">
        <v>5</v>
      </c>
      <c r="G977" t="s">
        <v>5</v>
      </c>
      <c r="H977" t="s">
        <v>6</v>
      </c>
      <c r="I977" t="s">
        <v>7</v>
      </c>
      <c r="J977" s="22">
        <f>-95.29--24.97</f>
        <v>-70.320000000000007</v>
      </c>
      <c r="K977" t="str">
        <f t="shared" si="57"/>
        <v>mai</v>
      </c>
      <c r="L977" t="str">
        <f t="shared" si="58"/>
        <v>Dépenses</v>
      </c>
    </row>
    <row r="978" spans="1:12" x14ac:dyDescent="0.2">
      <c r="A978" t="s">
        <v>2</v>
      </c>
      <c r="B978" t="s">
        <v>8</v>
      </c>
      <c r="D978" s="2">
        <v>43604</v>
      </c>
      <c r="E978" s="2">
        <f t="shared" si="59"/>
        <v>43627</v>
      </c>
      <c r="F978" t="s">
        <v>179</v>
      </c>
      <c r="G978" t="s">
        <v>5</v>
      </c>
      <c r="H978" t="s">
        <v>978</v>
      </c>
      <c r="I978" t="s">
        <v>7</v>
      </c>
      <c r="J978" s="22">
        <v>-3.1</v>
      </c>
      <c r="K978" t="str">
        <f t="shared" si="57"/>
        <v>mai</v>
      </c>
      <c r="L978" t="str">
        <f t="shared" si="58"/>
        <v>Dépenses</v>
      </c>
    </row>
    <row r="979" spans="1:12" x14ac:dyDescent="0.2">
      <c r="A979" t="s">
        <v>2</v>
      </c>
      <c r="B979" t="s">
        <v>8</v>
      </c>
      <c r="D979" s="2">
        <v>43604</v>
      </c>
      <c r="E979" s="2">
        <f t="shared" si="59"/>
        <v>43627</v>
      </c>
      <c r="F979" t="s">
        <v>979</v>
      </c>
      <c r="G979" t="s">
        <v>5</v>
      </c>
      <c r="H979" t="s">
        <v>871</v>
      </c>
      <c r="I979" t="s">
        <v>7</v>
      </c>
      <c r="J979" s="22">
        <v>-3.15</v>
      </c>
      <c r="K979" t="str">
        <f t="shared" si="57"/>
        <v>mai</v>
      </c>
      <c r="L979" t="str">
        <f t="shared" si="58"/>
        <v>Dépenses</v>
      </c>
    </row>
    <row r="980" spans="1:12" x14ac:dyDescent="0.2">
      <c r="A980" t="s">
        <v>2</v>
      </c>
      <c r="B980" t="s">
        <v>8</v>
      </c>
      <c r="D980" s="2">
        <v>43604</v>
      </c>
      <c r="E980" s="2">
        <f t="shared" si="59"/>
        <v>43627</v>
      </c>
      <c r="F980" t="s">
        <v>179</v>
      </c>
      <c r="G980" t="s">
        <v>5</v>
      </c>
      <c r="H980" t="s">
        <v>966</v>
      </c>
      <c r="I980" t="s">
        <v>7</v>
      </c>
      <c r="J980" s="22">
        <v>-8</v>
      </c>
      <c r="K980" t="str">
        <f t="shared" si="57"/>
        <v>mai</v>
      </c>
      <c r="L980" t="str">
        <f t="shared" si="58"/>
        <v>Dépenses</v>
      </c>
    </row>
    <row r="981" spans="1:12" x14ac:dyDescent="0.2">
      <c r="A981" t="s">
        <v>2</v>
      </c>
      <c r="B981" t="s">
        <v>8</v>
      </c>
      <c r="D981" s="2">
        <v>43605</v>
      </c>
      <c r="E981" s="2">
        <f t="shared" si="59"/>
        <v>43627</v>
      </c>
      <c r="F981" t="s">
        <v>391</v>
      </c>
      <c r="G981" t="s">
        <v>115</v>
      </c>
      <c r="H981" t="s">
        <v>114</v>
      </c>
      <c r="I981" t="s">
        <v>487</v>
      </c>
      <c r="J981" s="22">
        <v>-20</v>
      </c>
      <c r="K981" t="str">
        <f t="shared" si="57"/>
        <v>mai</v>
      </c>
      <c r="L981" t="str">
        <f t="shared" si="58"/>
        <v>Dépenses</v>
      </c>
    </row>
    <row r="982" spans="1:12" x14ac:dyDescent="0.2">
      <c r="A982" t="s">
        <v>108</v>
      </c>
      <c r="B982" t="s">
        <v>109</v>
      </c>
      <c r="D982" s="2">
        <v>43605</v>
      </c>
      <c r="E982" s="2">
        <f t="shared" si="59"/>
        <v>43605</v>
      </c>
      <c r="F982" t="s">
        <v>179</v>
      </c>
      <c r="G982" t="s">
        <v>5</v>
      </c>
      <c r="H982" t="s">
        <v>23</v>
      </c>
      <c r="I982" t="s">
        <v>7</v>
      </c>
      <c r="J982" s="22">
        <v>-1.25</v>
      </c>
      <c r="K982" t="str">
        <f t="shared" si="57"/>
        <v>mai</v>
      </c>
      <c r="L982" t="str">
        <f t="shared" si="58"/>
        <v>Dépenses</v>
      </c>
    </row>
    <row r="983" spans="1:12" x14ac:dyDescent="0.2">
      <c r="A983" t="s">
        <v>108</v>
      </c>
      <c r="B983" t="s">
        <v>109</v>
      </c>
      <c r="D983" s="2">
        <v>43605</v>
      </c>
      <c r="E983" s="2">
        <f t="shared" si="59"/>
        <v>43605</v>
      </c>
      <c r="F983" t="s">
        <v>970</v>
      </c>
      <c r="G983" t="s">
        <v>39</v>
      </c>
      <c r="H983" t="s">
        <v>971</v>
      </c>
      <c r="I983" t="s">
        <v>7</v>
      </c>
      <c r="J983" s="22">
        <v>-8</v>
      </c>
      <c r="K983" t="str">
        <f t="shared" si="57"/>
        <v>mai</v>
      </c>
      <c r="L983" t="str">
        <f t="shared" si="58"/>
        <v>Dépenses</v>
      </c>
    </row>
    <row r="984" spans="1:12" ht="15" customHeight="1" x14ac:dyDescent="0.2">
      <c r="A984" t="s">
        <v>75</v>
      </c>
      <c r="B984" t="s">
        <v>84</v>
      </c>
      <c r="C984" s="11" t="s">
        <v>980</v>
      </c>
      <c r="D984" s="2">
        <v>43605</v>
      </c>
      <c r="E984" s="2">
        <f t="shared" si="59"/>
        <v>43605</v>
      </c>
      <c r="F984" t="s">
        <v>981</v>
      </c>
      <c r="G984" t="s">
        <v>457</v>
      </c>
      <c r="H984" t="s">
        <v>155</v>
      </c>
      <c r="I984" t="s">
        <v>885</v>
      </c>
      <c r="J984" s="22">
        <v>-158.4</v>
      </c>
      <c r="K984" t="str">
        <f t="shared" si="57"/>
        <v>mai</v>
      </c>
      <c r="L984" t="str">
        <f t="shared" si="58"/>
        <v>Dépenses</v>
      </c>
    </row>
    <row r="985" spans="1:12" x14ac:dyDescent="0.2">
      <c r="A985" t="s">
        <v>2</v>
      </c>
      <c r="B985" t="s">
        <v>3</v>
      </c>
      <c r="C985" t="s">
        <v>982</v>
      </c>
      <c r="D985" s="2">
        <v>43606</v>
      </c>
      <c r="E985" s="2">
        <f t="shared" si="59"/>
        <v>43627</v>
      </c>
      <c r="F985" t="s">
        <v>5</v>
      </c>
      <c r="G985" t="s">
        <v>5</v>
      </c>
      <c r="H985" t="s">
        <v>6</v>
      </c>
      <c r="I985" t="s">
        <v>983</v>
      </c>
      <c r="J985" s="22">
        <v>-42.28</v>
      </c>
      <c r="K985" t="str">
        <f t="shared" si="57"/>
        <v>mai</v>
      </c>
      <c r="L985" t="str">
        <f t="shared" si="58"/>
        <v>Dépenses</v>
      </c>
    </row>
    <row r="986" spans="1:12" ht="15" customHeight="1" x14ac:dyDescent="0.2">
      <c r="A986" t="s">
        <v>108</v>
      </c>
      <c r="B986" t="s">
        <v>109</v>
      </c>
      <c r="D986" s="2">
        <v>43606</v>
      </c>
      <c r="E986" s="2">
        <f t="shared" si="59"/>
        <v>43606</v>
      </c>
      <c r="F986" t="s">
        <v>984</v>
      </c>
      <c r="G986" t="s">
        <v>270</v>
      </c>
      <c r="H986" t="s">
        <v>985</v>
      </c>
      <c r="I986" t="s">
        <v>983</v>
      </c>
      <c r="J986" s="22">
        <v>-25.8</v>
      </c>
      <c r="K986" t="str">
        <f t="shared" si="57"/>
        <v>mai</v>
      </c>
      <c r="L986" t="str">
        <f t="shared" si="58"/>
        <v>Dépenses</v>
      </c>
    </row>
    <row r="987" spans="1:12" x14ac:dyDescent="0.2">
      <c r="A987" t="s">
        <v>108</v>
      </c>
      <c r="B987" t="s">
        <v>109</v>
      </c>
      <c r="D987" s="2">
        <v>43606</v>
      </c>
      <c r="E987" s="2">
        <f t="shared" si="59"/>
        <v>43606</v>
      </c>
      <c r="F987" t="s">
        <v>270</v>
      </c>
      <c r="G987" t="s">
        <v>270</v>
      </c>
      <c r="H987" t="s">
        <v>986</v>
      </c>
      <c r="I987" t="s">
        <v>983</v>
      </c>
      <c r="J987" s="22">
        <v>-23.31</v>
      </c>
      <c r="K987" t="str">
        <f t="shared" si="57"/>
        <v>mai</v>
      </c>
      <c r="L987" t="str">
        <f t="shared" si="58"/>
        <v>Dépenses</v>
      </c>
    </row>
    <row r="988" spans="1:12" x14ac:dyDescent="0.2">
      <c r="A988" t="s">
        <v>108</v>
      </c>
      <c r="B988" t="s">
        <v>109</v>
      </c>
      <c r="D988" s="2">
        <v>43606</v>
      </c>
      <c r="E988" s="2">
        <f t="shared" si="59"/>
        <v>43606</v>
      </c>
      <c r="F988" t="s">
        <v>5</v>
      </c>
      <c r="G988" t="s">
        <v>5</v>
      </c>
      <c r="H988" t="s">
        <v>6</v>
      </c>
      <c r="I988" t="s">
        <v>983</v>
      </c>
      <c r="J988" s="22">
        <v>-7.43</v>
      </c>
      <c r="K988" t="str">
        <f t="shared" si="57"/>
        <v>mai</v>
      </c>
      <c r="L988" t="str">
        <f t="shared" si="58"/>
        <v>Dépenses</v>
      </c>
    </row>
    <row r="989" spans="1:12" ht="11.25" customHeight="1" x14ac:dyDescent="0.2">
      <c r="A989" t="s">
        <v>2</v>
      </c>
      <c r="B989" t="s">
        <v>8</v>
      </c>
      <c r="D989" s="2">
        <v>43607</v>
      </c>
      <c r="E989" s="2">
        <f t="shared" si="59"/>
        <v>43657</v>
      </c>
      <c r="F989" t="s">
        <v>987</v>
      </c>
      <c r="G989" t="s">
        <v>5</v>
      </c>
      <c r="H989" t="s">
        <v>22</v>
      </c>
      <c r="I989" t="s">
        <v>983</v>
      </c>
      <c r="J989" s="22">
        <v>-9.65</v>
      </c>
      <c r="K989" t="str">
        <f t="shared" si="57"/>
        <v>mai</v>
      </c>
      <c r="L989" t="str">
        <f t="shared" si="58"/>
        <v>Dépenses</v>
      </c>
    </row>
    <row r="990" spans="1:12" x14ac:dyDescent="0.2">
      <c r="A990" t="s">
        <v>2</v>
      </c>
      <c r="B990" t="s">
        <v>8</v>
      </c>
      <c r="D990" s="2">
        <v>43607</v>
      </c>
      <c r="E990" s="2">
        <f t="shared" si="59"/>
        <v>43657</v>
      </c>
      <c r="F990" t="s">
        <v>988</v>
      </c>
      <c r="G990" t="s">
        <v>10</v>
      </c>
      <c r="H990" t="s">
        <v>315</v>
      </c>
      <c r="I990" t="s">
        <v>983</v>
      </c>
      <c r="J990" s="22">
        <v>-1.2</v>
      </c>
      <c r="K990" t="str">
        <f t="shared" si="57"/>
        <v>mai</v>
      </c>
      <c r="L990" t="str">
        <f t="shared" si="58"/>
        <v>Dépenses</v>
      </c>
    </row>
    <row r="991" spans="1:12" ht="11.25" customHeight="1" x14ac:dyDescent="0.2">
      <c r="A991" t="s">
        <v>2</v>
      </c>
      <c r="B991" t="s">
        <v>8</v>
      </c>
      <c r="D991" s="2">
        <v>43607</v>
      </c>
      <c r="E991" s="2">
        <f t="shared" si="59"/>
        <v>43657</v>
      </c>
      <c r="F991" t="s">
        <v>989</v>
      </c>
      <c r="G991" t="s">
        <v>111</v>
      </c>
      <c r="H991" t="s">
        <v>739</v>
      </c>
      <c r="I991" t="s">
        <v>983</v>
      </c>
      <c r="J991" s="22">
        <v>-12</v>
      </c>
      <c r="K991" t="str">
        <f t="shared" si="57"/>
        <v>mai</v>
      </c>
      <c r="L991" t="str">
        <f t="shared" si="58"/>
        <v>Dépenses</v>
      </c>
    </row>
    <row r="992" spans="1:12" s="20" customFormat="1" x14ac:dyDescent="0.2">
      <c r="A992" t="s">
        <v>108</v>
      </c>
      <c r="B992" t="s">
        <v>109</v>
      </c>
      <c r="C992"/>
      <c r="D992" s="2">
        <v>43607</v>
      </c>
      <c r="E992" s="2">
        <f t="shared" si="59"/>
        <v>43607</v>
      </c>
      <c r="F992" t="s">
        <v>5</v>
      </c>
      <c r="G992" t="s">
        <v>5</v>
      </c>
      <c r="H992" t="s">
        <v>23</v>
      </c>
      <c r="I992" t="s">
        <v>983</v>
      </c>
      <c r="J992" s="22">
        <v>-16.18</v>
      </c>
      <c r="K992" t="str">
        <f t="shared" si="57"/>
        <v>mai</v>
      </c>
      <c r="L992" t="str">
        <f t="shared" si="58"/>
        <v>Dépenses</v>
      </c>
    </row>
    <row r="993" spans="1:12" x14ac:dyDescent="0.2">
      <c r="A993" t="s">
        <v>108</v>
      </c>
      <c r="B993" t="s">
        <v>109</v>
      </c>
      <c r="D993" s="2">
        <v>43607</v>
      </c>
      <c r="E993" s="2">
        <f t="shared" si="59"/>
        <v>43607</v>
      </c>
      <c r="F993" t="s">
        <v>179</v>
      </c>
      <c r="G993" t="s">
        <v>5</v>
      </c>
      <c r="H993" t="s">
        <v>23</v>
      </c>
      <c r="I993" t="s">
        <v>621</v>
      </c>
      <c r="J993" s="22">
        <v>-1.25</v>
      </c>
      <c r="K993" t="str">
        <f t="shared" si="57"/>
        <v>mai</v>
      </c>
      <c r="L993" t="str">
        <f t="shared" si="58"/>
        <v>Dépenses</v>
      </c>
    </row>
    <row r="994" spans="1:12" x14ac:dyDescent="0.2">
      <c r="A994" t="s">
        <v>108</v>
      </c>
      <c r="B994" t="s">
        <v>109</v>
      </c>
      <c r="D994" s="2">
        <v>43607</v>
      </c>
      <c r="E994" s="2">
        <f t="shared" si="59"/>
        <v>43607</v>
      </c>
      <c r="F994" t="s">
        <v>265</v>
      </c>
      <c r="G994" t="s">
        <v>63</v>
      </c>
      <c r="H994" t="s">
        <v>777</v>
      </c>
      <c r="I994" t="s">
        <v>621</v>
      </c>
      <c r="J994" s="22">
        <v>-30.07</v>
      </c>
      <c r="K994" t="str">
        <f t="shared" si="57"/>
        <v>mai</v>
      </c>
      <c r="L994" t="str">
        <f t="shared" si="58"/>
        <v>Dépenses</v>
      </c>
    </row>
    <row r="995" spans="1:12" x14ac:dyDescent="0.2">
      <c r="A995" t="s">
        <v>69</v>
      </c>
      <c r="B995" s="4" t="s">
        <v>84</v>
      </c>
      <c r="D995" s="2">
        <v>43607</v>
      </c>
      <c r="E995" s="2">
        <f t="shared" si="59"/>
        <v>43607</v>
      </c>
      <c r="F995" t="s">
        <v>180</v>
      </c>
      <c r="G995" t="s">
        <v>307</v>
      </c>
      <c r="H995" t="s">
        <v>75</v>
      </c>
      <c r="I995" t="s">
        <v>983</v>
      </c>
      <c r="J995" s="22">
        <v>1300</v>
      </c>
      <c r="K995" t="str">
        <f t="shared" si="57"/>
        <v>mai</v>
      </c>
      <c r="L995" t="str">
        <f t="shared" si="58"/>
        <v>Recettes</v>
      </c>
    </row>
    <row r="996" spans="1:12" x14ac:dyDescent="0.2">
      <c r="A996" t="s">
        <v>75</v>
      </c>
      <c r="B996" s="4" t="s">
        <v>84</v>
      </c>
      <c r="D996" s="2">
        <v>43607</v>
      </c>
      <c r="E996" s="2">
        <f t="shared" si="59"/>
        <v>43607</v>
      </c>
      <c r="F996" t="s">
        <v>180</v>
      </c>
      <c r="G996" t="s">
        <v>307</v>
      </c>
      <c r="H996" t="s">
        <v>69</v>
      </c>
      <c r="I996" t="s">
        <v>983</v>
      </c>
      <c r="J996" s="22">
        <v>-1300</v>
      </c>
      <c r="K996" t="str">
        <f t="shared" si="57"/>
        <v>mai</v>
      </c>
      <c r="L996" t="str">
        <f t="shared" si="58"/>
        <v>Dépenses</v>
      </c>
    </row>
    <row r="997" spans="1:12" x14ac:dyDescent="0.2">
      <c r="A997" t="s">
        <v>94</v>
      </c>
      <c r="B997" s="4" t="s">
        <v>84</v>
      </c>
      <c r="D997" s="2">
        <v>43607</v>
      </c>
      <c r="E997" s="2">
        <f t="shared" si="59"/>
        <v>43607</v>
      </c>
      <c r="F997" t="s">
        <v>180</v>
      </c>
      <c r="G997" t="s">
        <v>307</v>
      </c>
      <c r="H997" t="s">
        <v>75</v>
      </c>
      <c r="I997" t="s">
        <v>983</v>
      </c>
      <c r="J997" s="22">
        <v>1000</v>
      </c>
      <c r="K997" t="str">
        <f t="shared" si="57"/>
        <v>mai</v>
      </c>
      <c r="L997" t="str">
        <f t="shared" si="58"/>
        <v>Recettes</v>
      </c>
    </row>
    <row r="998" spans="1:12" x14ac:dyDescent="0.2">
      <c r="A998" t="s">
        <v>75</v>
      </c>
      <c r="B998" s="4" t="s">
        <v>84</v>
      </c>
      <c r="D998" s="2">
        <v>43607</v>
      </c>
      <c r="E998" s="2">
        <f t="shared" si="59"/>
        <v>43607</v>
      </c>
      <c r="F998" t="s">
        <v>180</v>
      </c>
      <c r="G998" t="s">
        <v>307</v>
      </c>
      <c r="H998" t="s">
        <v>94</v>
      </c>
      <c r="I998" t="s">
        <v>983</v>
      </c>
      <c r="J998" s="22">
        <v>-1000</v>
      </c>
      <c r="K998" t="str">
        <f t="shared" si="57"/>
        <v>mai</v>
      </c>
      <c r="L998" t="str">
        <f t="shared" si="58"/>
        <v>Dépenses</v>
      </c>
    </row>
    <row r="999" spans="1:12" x14ac:dyDescent="0.2">
      <c r="A999" t="s">
        <v>94</v>
      </c>
      <c r="B999" s="4" t="s">
        <v>122</v>
      </c>
      <c r="C999">
        <v>8748464</v>
      </c>
      <c r="D999" s="2">
        <v>43608</v>
      </c>
      <c r="E999" s="2">
        <f t="shared" si="59"/>
        <v>43608</v>
      </c>
      <c r="F999" t="s">
        <v>1220</v>
      </c>
      <c r="G999" t="s">
        <v>111</v>
      </c>
      <c r="H999" t="s">
        <v>893</v>
      </c>
      <c r="I999" t="s">
        <v>983</v>
      </c>
      <c r="J999" s="22">
        <v>-23</v>
      </c>
      <c r="K999" t="str">
        <f t="shared" si="57"/>
        <v>mai</v>
      </c>
      <c r="L999" t="str">
        <f t="shared" si="58"/>
        <v>Dépenses</v>
      </c>
    </row>
    <row r="1000" spans="1:12" ht="11.25" customHeight="1" x14ac:dyDescent="0.2">
      <c r="A1000" t="s">
        <v>69</v>
      </c>
      <c r="B1000" s="4" t="s">
        <v>70</v>
      </c>
      <c r="C1000" s="7" t="s">
        <v>990</v>
      </c>
      <c r="D1000" s="2">
        <v>43609</v>
      </c>
      <c r="E1000" s="2">
        <f t="shared" si="59"/>
        <v>43609</v>
      </c>
      <c r="F1000" t="s">
        <v>285</v>
      </c>
      <c r="G1000" t="s">
        <v>199</v>
      </c>
      <c r="H1000" t="s">
        <v>74</v>
      </c>
      <c r="I1000" t="s">
        <v>621</v>
      </c>
      <c r="J1000" s="23">
        <v>2900</v>
      </c>
      <c r="K1000" t="str">
        <f t="shared" si="57"/>
        <v>mai</v>
      </c>
      <c r="L1000" t="str">
        <f t="shared" si="58"/>
        <v>Recettes</v>
      </c>
    </row>
    <row r="1001" spans="1:12" ht="11.25" customHeight="1" x14ac:dyDescent="0.2">
      <c r="A1001" t="s">
        <v>69</v>
      </c>
      <c r="B1001" s="4" t="s">
        <v>70</v>
      </c>
      <c r="C1001" s="7" t="s">
        <v>458</v>
      </c>
      <c r="D1001" s="2">
        <v>43610</v>
      </c>
      <c r="E1001" s="2">
        <f t="shared" si="59"/>
        <v>43610</v>
      </c>
      <c r="F1001" t="s">
        <v>102</v>
      </c>
      <c r="G1001" t="s">
        <v>459</v>
      </c>
      <c r="H1001" t="s">
        <v>94</v>
      </c>
      <c r="I1001" t="s">
        <v>621</v>
      </c>
      <c r="J1001" s="23">
        <v>-860</v>
      </c>
      <c r="K1001" t="str">
        <f t="shared" si="57"/>
        <v>mai</v>
      </c>
      <c r="L1001" t="str">
        <f t="shared" si="58"/>
        <v>Dépenses</v>
      </c>
    </row>
    <row r="1002" spans="1:12" ht="11.25" customHeight="1" x14ac:dyDescent="0.2">
      <c r="A1002" t="s">
        <v>94</v>
      </c>
      <c r="B1002" s="4" t="s">
        <v>70</v>
      </c>
      <c r="C1002" s="7" t="s">
        <v>458</v>
      </c>
      <c r="D1002" s="2">
        <v>43610</v>
      </c>
      <c r="E1002" s="2">
        <f t="shared" si="59"/>
        <v>43610</v>
      </c>
      <c r="F1002" t="s">
        <v>135</v>
      </c>
      <c r="G1002" t="s">
        <v>459</v>
      </c>
      <c r="H1002" t="s">
        <v>69</v>
      </c>
      <c r="I1002" t="s">
        <v>621</v>
      </c>
      <c r="J1002" s="23">
        <v>860</v>
      </c>
      <c r="K1002" t="str">
        <f t="shared" si="57"/>
        <v>mai</v>
      </c>
      <c r="L1002" t="str">
        <f t="shared" si="58"/>
        <v>Recettes</v>
      </c>
    </row>
    <row r="1003" spans="1:12" x14ac:dyDescent="0.2">
      <c r="A1003" t="s">
        <v>94</v>
      </c>
      <c r="B1003" t="s">
        <v>70</v>
      </c>
      <c r="D1003" s="2">
        <v>43610</v>
      </c>
      <c r="E1003" s="2">
        <f t="shared" si="59"/>
        <v>43610</v>
      </c>
      <c r="F1003" t="s">
        <v>460</v>
      </c>
      <c r="G1003" t="s">
        <v>127</v>
      </c>
      <c r="H1003" t="s">
        <v>88</v>
      </c>
      <c r="I1003" t="s">
        <v>621</v>
      </c>
      <c r="J1003" s="22">
        <v>-70</v>
      </c>
      <c r="K1003" t="str">
        <f t="shared" si="57"/>
        <v>mai</v>
      </c>
      <c r="L1003" t="str">
        <f t="shared" si="58"/>
        <v>Dépenses</v>
      </c>
    </row>
    <row r="1004" spans="1:12" x14ac:dyDescent="0.2">
      <c r="A1004" t="s">
        <v>94</v>
      </c>
      <c r="B1004" t="s">
        <v>70</v>
      </c>
      <c r="D1004" s="2">
        <v>43610</v>
      </c>
      <c r="E1004" s="2">
        <f t="shared" si="59"/>
        <v>43610</v>
      </c>
      <c r="F1004" t="s">
        <v>461</v>
      </c>
      <c r="G1004" t="s">
        <v>28</v>
      </c>
      <c r="H1004" t="s">
        <v>88</v>
      </c>
      <c r="I1004" t="s">
        <v>621</v>
      </c>
      <c r="J1004" s="22">
        <v>-30</v>
      </c>
      <c r="K1004" t="str">
        <f t="shared" si="57"/>
        <v>mai</v>
      </c>
      <c r="L1004" t="str">
        <f t="shared" si="58"/>
        <v>Dépenses</v>
      </c>
    </row>
    <row r="1005" spans="1:12" x14ac:dyDescent="0.2">
      <c r="A1005" t="s">
        <v>94</v>
      </c>
      <c r="B1005" t="s">
        <v>70</v>
      </c>
      <c r="D1005" s="2">
        <v>43610</v>
      </c>
      <c r="E1005" s="2">
        <f t="shared" si="59"/>
        <v>43610</v>
      </c>
      <c r="F1005" t="s">
        <v>462</v>
      </c>
      <c r="G1005" t="s">
        <v>254</v>
      </c>
      <c r="H1005" t="s">
        <v>88</v>
      </c>
      <c r="I1005" t="s">
        <v>621</v>
      </c>
      <c r="J1005" s="22">
        <v>-100</v>
      </c>
      <c r="K1005" t="str">
        <f t="shared" si="57"/>
        <v>mai</v>
      </c>
      <c r="L1005" t="str">
        <f t="shared" si="58"/>
        <v>Dépenses</v>
      </c>
    </row>
    <row r="1006" spans="1:12" x14ac:dyDescent="0.2">
      <c r="A1006" t="s">
        <v>94</v>
      </c>
      <c r="B1006" t="s">
        <v>70</v>
      </c>
      <c r="D1006" s="2">
        <v>43610</v>
      </c>
      <c r="E1006" s="2">
        <f t="shared" si="59"/>
        <v>43610</v>
      </c>
      <c r="F1006" t="s">
        <v>463</v>
      </c>
      <c r="G1006" t="s">
        <v>270</v>
      </c>
      <c r="H1006" t="s">
        <v>88</v>
      </c>
      <c r="I1006" t="s">
        <v>621</v>
      </c>
      <c r="J1006" s="22">
        <v>-70</v>
      </c>
      <c r="K1006" t="str">
        <f t="shared" si="57"/>
        <v>mai</v>
      </c>
      <c r="L1006" t="str">
        <f t="shared" si="58"/>
        <v>Dépenses</v>
      </c>
    </row>
    <row r="1007" spans="1:12" x14ac:dyDescent="0.2">
      <c r="A1007" t="s">
        <v>94</v>
      </c>
      <c r="B1007" t="s">
        <v>70</v>
      </c>
      <c r="D1007" s="2">
        <v>43610</v>
      </c>
      <c r="E1007" s="2">
        <f t="shared" si="59"/>
        <v>43610</v>
      </c>
      <c r="F1007" t="s">
        <v>464</v>
      </c>
      <c r="G1007" t="s">
        <v>118</v>
      </c>
      <c r="H1007" t="s">
        <v>88</v>
      </c>
      <c r="I1007" t="s">
        <v>621</v>
      </c>
      <c r="J1007" s="22">
        <v>-150</v>
      </c>
      <c r="K1007" t="str">
        <f t="shared" si="57"/>
        <v>mai</v>
      </c>
      <c r="L1007" t="str">
        <f t="shared" si="58"/>
        <v>Dépenses</v>
      </c>
    </row>
    <row r="1008" spans="1:12" x14ac:dyDescent="0.2">
      <c r="A1008" t="s">
        <v>94</v>
      </c>
      <c r="B1008" t="s">
        <v>70</v>
      </c>
      <c r="D1008" s="2">
        <v>43610</v>
      </c>
      <c r="E1008" s="2">
        <f t="shared" si="59"/>
        <v>43610</v>
      </c>
      <c r="F1008" t="s">
        <v>465</v>
      </c>
      <c r="G1008" t="s">
        <v>16</v>
      </c>
      <c r="H1008" t="s">
        <v>88</v>
      </c>
      <c r="I1008" t="s">
        <v>621</v>
      </c>
      <c r="J1008" s="22">
        <v>-60</v>
      </c>
      <c r="K1008" t="str">
        <f t="shared" si="57"/>
        <v>mai</v>
      </c>
      <c r="L1008" t="str">
        <f t="shared" si="58"/>
        <v>Dépenses</v>
      </c>
    </row>
    <row r="1009" spans="1:12" x14ac:dyDescent="0.2">
      <c r="A1009" t="s">
        <v>94</v>
      </c>
      <c r="B1009" t="s">
        <v>70</v>
      </c>
      <c r="D1009" s="2">
        <v>43610</v>
      </c>
      <c r="E1009" s="2">
        <f t="shared" si="59"/>
        <v>43610</v>
      </c>
      <c r="F1009" t="s">
        <v>466</v>
      </c>
      <c r="G1009" t="s">
        <v>111</v>
      </c>
      <c r="H1009" t="s">
        <v>88</v>
      </c>
      <c r="I1009" t="s">
        <v>621</v>
      </c>
      <c r="J1009" s="22">
        <v>-120</v>
      </c>
      <c r="K1009" t="str">
        <f t="shared" si="57"/>
        <v>mai</v>
      </c>
      <c r="L1009" t="str">
        <f t="shared" si="58"/>
        <v>Dépenses</v>
      </c>
    </row>
    <row r="1010" spans="1:12" x14ac:dyDescent="0.2">
      <c r="A1010" t="s">
        <v>94</v>
      </c>
      <c r="B1010" t="s">
        <v>70</v>
      </c>
      <c r="D1010" s="2">
        <v>43610</v>
      </c>
      <c r="E1010" s="2">
        <f t="shared" si="59"/>
        <v>43610</v>
      </c>
      <c r="F1010" t="s">
        <v>467</v>
      </c>
      <c r="G1010" t="s">
        <v>229</v>
      </c>
      <c r="H1010" t="s">
        <v>88</v>
      </c>
      <c r="I1010" t="s">
        <v>621</v>
      </c>
      <c r="J1010" s="22">
        <v>-60</v>
      </c>
      <c r="K1010" t="str">
        <f t="shared" si="57"/>
        <v>mai</v>
      </c>
      <c r="L1010" t="str">
        <f t="shared" si="58"/>
        <v>Dépenses</v>
      </c>
    </row>
    <row r="1011" spans="1:12" x14ac:dyDescent="0.2">
      <c r="A1011" t="s">
        <v>94</v>
      </c>
      <c r="B1011" t="s">
        <v>70</v>
      </c>
      <c r="D1011" s="2">
        <v>43610</v>
      </c>
      <c r="E1011" s="2">
        <f t="shared" si="59"/>
        <v>43610</v>
      </c>
      <c r="F1011" t="s">
        <v>469</v>
      </c>
      <c r="G1011" t="s">
        <v>52</v>
      </c>
      <c r="H1011" t="s">
        <v>88</v>
      </c>
      <c r="I1011" t="s">
        <v>621</v>
      </c>
      <c r="J1011" s="22">
        <v>-100</v>
      </c>
      <c r="K1011" t="str">
        <f t="shared" si="57"/>
        <v>mai</v>
      </c>
      <c r="L1011" t="str">
        <f t="shared" si="58"/>
        <v>Dépenses</v>
      </c>
    </row>
    <row r="1012" spans="1:12" x14ac:dyDescent="0.2">
      <c r="A1012" t="s">
        <v>94</v>
      </c>
      <c r="B1012" t="s">
        <v>70</v>
      </c>
      <c r="D1012" s="2">
        <v>43610</v>
      </c>
      <c r="E1012" s="2">
        <f t="shared" si="59"/>
        <v>43610</v>
      </c>
      <c r="F1012" t="s">
        <v>470</v>
      </c>
      <c r="G1012" t="s">
        <v>39</v>
      </c>
      <c r="H1012" t="s">
        <v>88</v>
      </c>
      <c r="I1012" t="s">
        <v>621</v>
      </c>
      <c r="J1012" s="22">
        <v>-100</v>
      </c>
      <c r="K1012" t="str">
        <f t="shared" si="57"/>
        <v>mai</v>
      </c>
      <c r="L1012" t="str">
        <f t="shared" si="58"/>
        <v>Dépenses</v>
      </c>
    </row>
    <row r="1013" spans="1:12" x14ac:dyDescent="0.2">
      <c r="A1013" t="s">
        <v>88</v>
      </c>
      <c r="B1013" t="s">
        <v>70</v>
      </c>
      <c r="D1013" s="2">
        <v>43610</v>
      </c>
      <c r="E1013" s="2">
        <f t="shared" si="59"/>
        <v>43610</v>
      </c>
      <c r="F1013" t="s">
        <v>471</v>
      </c>
      <c r="G1013" t="s">
        <v>76</v>
      </c>
      <c r="H1013" t="s">
        <v>94</v>
      </c>
      <c r="I1013" t="s">
        <v>621</v>
      </c>
      <c r="J1013" s="22">
        <v>860</v>
      </c>
      <c r="K1013" t="str">
        <f t="shared" si="57"/>
        <v>mai</v>
      </c>
      <c r="L1013" t="str">
        <f t="shared" si="58"/>
        <v>Recettes</v>
      </c>
    </row>
    <row r="1014" spans="1:12" x14ac:dyDescent="0.2">
      <c r="A1014" t="s">
        <v>69</v>
      </c>
      <c r="B1014" t="s">
        <v>137</v>
      </c>
      <c r="C1014" s="7" t="s">
        <v>991</v>
      </c>
      <c r="D1014" s="2">
        <v>43610</v>
      </c>
      <c r="E1014" s="2">
        <f t="shared" si="59"/>
        <v>43610</v>
      </c>
      <c r="F1014" t="s">
        <v>291</v>
      </c>
      <c r="G1014" t="s">
        <v>79</v>
      </c>
      <c r="H1014" t="s">
        <v>292</v>
      </c>
      <c r="I1014" t="s">
        <v>621</v>
      </c>
      <c r="J1014" s="22">
        <v>-2.38</v>
      </c>
      <c r="K1014" t="str">
        <f t="shared" si="57"/>
        <v>mai</v>
      </c>
      <c r="L1014" t="str">
        <f t="shared" si="58"/>
        <v>Dépenses</v>
      </c>
    </row>
    <row r="1015" spans="1:12" ht="15" customHeight="1" x14ac:dyDescent="0.2">
      <c r="A1015" t="s">
        <v>69</v>
      </c>
      <c r="B1015" s="4" t="s">
        <v>70</v>
      </c>
      <c r="C1015" s="7" t="s">
        <v>889</v>
      </c>
      <c r="D1015" s="2">
        <v>43613</v>
      </c>
      <c r="E1015" s="2">
        <f t="shared" si="59"/>
        <v>43613</v>
      </c>
      <c r="F1015" t="s">
        <v>147</v>
      </c>
      <c r="G1015" t="s">
        <v>115</v>
      </c>
      <c r="H1015" t="s">
        <v>148</v>
      </c>
      <c r="I1015" t="s">
        <v>621</v>
      </c>
      <c r="J1015" s="23">
        <v>-50</v>
      </c>
      <c r="K1015" t="str">
        <f t="shared" si="57"/>
        <v>mai</v>
      </c>
      <c r="L1015" t="str">
        <f t="shared" si="58"/>
        <v>Dépenses</v>
      </c>
    </row>
    <row r="1016" spans="1:12" ht="15" customHeight="1" x14ac:dyDescent="0.2">
      <c r="A1016" t="s">
        <v>94</v>
      </c>
      <c r="B1016" s="4" t="s">
        <v>70</v>
      </c>
      <c r="C1016" s="7" t="s">
        <v>992</v>
      </c>
      <c r="D1016" s="2">
        <v>43613</v>
      </c>
      <c r="E1016" s="2">
        <f t="shared" si="59"/>
        <v>43613</v>
      </c>
      <c r="F1016" t="s">
        <v>317</v>
      </c>
      <c r="G1016" t="s">
        <v>318</v>
      </c>
      <c r="H1016" t="s">
        <v>319</v>
      </c>
      <c r="I1016" t="s">
        <v>621</v>
      </c>
      <c r="J1016" s="22">
        <v>-80.33</v>
      </c>
      <c r="K1016" t="str">
        <f t="shared" si="57"/>
        <v>mai</v>
      </c>
      <c r="L1016" t="str">
        <f t="shared" si="58"/>
        <v>Dépenses</v>
      </c>
    </row>
    <row r="1017" spans="1:12" ht="11.25" customHeight="1" x14ac:dyDescent="0.2">
      <c r="A1017" t="s">
        <v>94</v>
      </c>
      <c r="B1017" t="s">
        <v>122</v>
      </c>
      <c r="C1017">
        <v>8748460</v>
      </c>
      <c r="D1017" s="2">
        <v>43615</v>
      </c>
      <c r="E1017" s="2">
        <f t="shared" si="59"/>
        <v>43615</v>
      </c>
      <c r="F1017" t="s">
        <v>993</v>
      </c>
      <c r="G1017" t="s">
        <v>457</v>
      </c>
      <c r="H1017" t="s">
        <v>994</v>
      </c>
      <c r="I1017" t="s">
        <v>621</v>
      </c>
      <c r="J1017" s="22">
        <v>-7.58</v>
      </c>
      <c r="K1017" t="str">
        <f t="shared" si="57"/>
        <v>mai</v>
      </c>
      <c r="L1017" t="str">
        <f t="shared" si="58"/>
        <v>Dépenses</v>
      </c>
    </row>
    <row r="1018" spans="1:12" ht="11.25" customHeight="1" x14ac:dyDescent="0.2">
      <c r="A1018" t="s">
        <v>108</v>
      </c>
      <c r="B1018" s="4" t="s">
        <v>70</v>
      </c>
      <c r="C1018" s="7" t="s">
        <v>887</v>
      </c>
      <c r="D1018" s="2">
        <v>43615</v>
      </c>
      <c r="E1018" s="2">
        <f t="shared" si="59"/>
        <v>43615</v>
      </c>
      <c r="F1018" t="s">
        <v>184</v>
      </c>
      <c r="G1018" t="s">
        <v>106</v>
      </c>
      <c r="H1018" t="s">
        <v>185</v>
      </c>
      <c r="I1018" t="s">
        <v>621</v>
      </c>
      <c r="J1018" s="23">
        <v>-0.99</v>
      </c>
      <c r="K1018" t="str">
        <f t="shared" si="57"/>
        <v>mai</v>
      </c>
      <c r="L1018" t="str">
        <f t="shared" si="58"/>
        <v>Dépenses</v>
      </c>
    </row>
    <row r="1019" spans="1:12" ht="11.25" customHeight="1" x14ac:dyDescent="0.2">
      <c r="A1019" t="s">
        <v>94</v>
      </c>
      <c r="B1019" t="s">
        <v>122</v>
      </c>
      <c r="C1019" t="s">
        <v>995</v>
      </c>
      <c r="D1019" s="2">
        <v>43616</v>
      </c>
      <c r="E1019" s="2">
        <f t="shared" si="59"/>
        <v>43616</v>
      </c>
      <c r="F1019" t="s">
        <v>996</v>
      </c>
      <c r="G1019" t="s">
        <v>457</v>
      </c>
      <c r="H1019" t="s">
        <v>997</v>
      </c>
      <c r="I1019" t="s">
        <v>621</v>
      </c>
      <c r="J1019" s="22">
        <v>-150</v>
      </c>
      <c r="K1019" t="str">
        <f t="shared" si="57"/>
        <v>mai</v>
      </c>
      <c r="L1019" t="str">
        <f t="shared" si="58"/>
        <v>Dépenses</v>
      </c>
    </row>
    <row r="1020" spans="1:12" ht="11.25" customHeight="1" x14ac:dyDescent="0.2">
      <c r="A1020" t="s">
        <v>94</v>
      </c>
      <c r="B1020" t="s">
        <v>122</v>
      </c>
      <c r="C1020">
        <v>7141665</v>
      </c>
      <c r="D1020" s="2">
        <v>43616</v>
      </c>
      <c r="E1020" s="2">
        <f t="shared" si="59"/>
        <v>43616</v>
      </c>
      <c r="F1020" t="s">
        <v>123</v>
      </c>
      <c r="G1020" t="s">
        <v>25</v>
      </c>
      <c r="H1020" t="s">
        <v>124</v>
      </c>
      <c r="I1020" t="s">
        <v>621</v>
      </c>
      <c r="J1020" s="22">
        <v>-27.5</v>
      </c>
      <c r="K1020" t="str">
        <f t="shared" si="57"/>
        <v>mai</v>
      </c>
      <c r="L1020" t="str">
        <f t="shared" si="58"/>
        <v>Dépenses</v>
      </c>
    </row>
    <row r="1021" spans="1:12" ht="11.25" customHeight="1" x14ac:dyDescent="0.2">
      <c r="A1021" t="s">
        <v>94</v>
      </c>
      <c r="B1021" t="s">
        <v>122</v>
      </c>
      <c r="C1021">
        <v>8748485</v>
      </c>
      <c r="D1021" s="2">
        <v>43616</v>
      </c>
      <c r="E1021" s="2">
        <f t="shared" si="59"/>
        <v>43616</v>
      </c>
      <c r="F1021" t="s">
        <v>998</v>
      </c>
      <c r="G1021" t="s">
        <v>457</v>
      </c>
      <c r="H1021" t="s">
        <v>999</v>
      </c>
      <c r="I1021" t="s">
        <v>621</v>
      </c>
      <c r="J1021" s="22">
        <v>-5.6</v>
      </c>
      <c r="K1021" t="str">
        <f t="shared" si="57"/>
        <v>mai</v>
      </c>
      <c r="L1021" t="str">
        <f t="shared" si="58"/>
        <v>Dépenses</v>
      </c>
    </row>
    <row r="1022" spans="1:12" ht="11.25" customHeight="1" x14ac:dyDescent="0.2">
      <c r="A1022" t="s">
        <v>94</v>
      </c>
      <c r="B1022" t="s">
        <v>122</v>
      </c>
      <c r="C1022">
        <v>8748495</v>
      </c>
      <c r="D1022" s="2">
        <v>43616</v>
      </c>
      <c r="E1022" s="2">
        <f t="shared" si="59"/>
        <v>43616</v>
      </c>
      <c r="F1022" t="s">
        <v>1000</v>
      </c>
      <c r="G1022" t="s">
        <v>457</v>
      </c>
      <c r="H1022" t="s">
        <v>999</v>
      </c>
      <c r="I1022" t="s">
        <v>621</v>
      </c>
      <c r="J1022" s="22">
        <v>-6.5</v>
      </c>
      <c r="K1022" t="str">
        <f t="shared" si="57"/>
        <v>mai</v>
      </c>
      <c r="L1022" t="str">
        <f t="shared" si="58"/>
        <v>Dépenses</v>
      </c>
    </row>
    <row r="1023" spans="1:12" ht="11.25" customHeight="1" x14ac:dyDescent="0.2">
      <c r="A1023" t="s">
        <v>94</v>
      </c>
      <c r="B1023" t="s">
        <v>122</v>
      </c>
      <c r="C1023">
        <v>8748501</v>
      </c>
      <c r="D1023" s="2">
        <v>43616</v>
      </c>
      <c r="E1023" s="2">
        <f t="shared" si="59"/>
        <v>43616</v>
      </c>
      <c r="F1023" t="s">
        <v>1001</v>
      </c>
      <c r="G1023" t="s">
        <v>25</v>
      </c>
      <c r="H1023" t="s">
        <v>124</v>
      </c>
      <c r="I1023" t="s">
        <v>621</v>
      </c>
      <c r="J1023" s="22">
        <v>-40</v>
      </c>
      <c r="K1023" t="str">
        <f t="shared" si="57"/>
        <v>mai</v>
      </c>
      <c r="L1023" t="str">
        <f t="shared" si="58"/>
        <v>Dépenses</v>
      </c>
    </row>
    <row r="1024" spans="1:12" ht="11.25" customHeight="1" x14ac:dyDescent="0.2">
      <c r="A1024" t="s">
        <v>840</v>
      </c>
      <c r="B1024" t="s">
        <v>122</v>
      </c>
      <c r="C1024">
        <v>8748459</v>
      </c>
      <c r="D1024" s="2">
        <v>43616</v>
      </c>
      <c r="E1024" s="2">
        <f t="shared" si="59"/>
        <v>43616</v>
      </c>
      <c r="F1024" t="s">
        <v>1003</v>
      </c>
      <c r="G1024" t="s">
        <v>16</v>
      </c>
      <c r="I1024" t="s">
        <v>621</v>
      </c>
      <c r="J1024" s="22">
        <v>-7</v>
      </c>
      <c r="K1024" t="str">
        <f t="shared" si="57"/>
        <v>mai</v>
      </c>
      <c r="L1024" t="str">
        <f t="shared" si="58"/>
        <v>Dépenses</v>
      </c>
    </row>
    <row r="1025" spans="1:12" ht="11.25" customHeight="1" x14ac:dyDescent="0.2">
      <c r="A1025" t="s">
        <v>94</v>
      </c>
      <c r="B1025" s="4" t="s">
        <v>70</v>
      </c>
      <c r="C1025" s="7" t="s">
        <v>1002</v>
      </c>
      <c r="D1025" s="2">
        <v>43616</v>
      </c>
      <c r="E1025" s="2">
        <f t="shared" si="59"/>
        <v>43616</v>
      </c>
      <c r="F1025" t="s">
        <v>317</v>
      </c>
      <c r="G1025" t="s">
        <v>318</v>
      </c>
      <c r="H1025" t="s">
        <v>319</v>
      </c>
      <c r="I1025" t="s">
        <v>621</v>
      </c>
      <c r="J1025" s="22">
        <v>-80.33</v>
      </c>
      <c r="K1025" t="str">
        <f t="shared" si="57"/>
        <v>mai</v>
      </c>
      <c r="L1025" t="str">
        <f t="shared" si="58"/>
        <v>Dépenses</v>
      </c>
    </row>
    <row r="1026" spans="1:12" ht="11.25" customHeight="1" x14ac:dyDescent="0.2">
      <c r="A1026" t="s">
        <v>69</v>
      </c>
      <c r="B1026" s="4" t="s">
        <v>70</v>
      </c>
      <c r="C1026" s="7" t="s">
        <v>889</v>
      </c>
      <c r="D1026" s="2">
        <v>43616</v>
      </c>
      <c r="E1026" s="2">
        <f t="shared" si="59"/>
        <v>43616</v>
      </c>
      <c r="F1026" t="s">
        <v>327</v>
      </c>
      <c r="G1026" t="s">
        <v>328</v>
      </c>
      <c r="H1026" t="s">
        <v>329</v>
      </c>
      <c r="I1026" t="s">
        <v>621</v>
      </c>
      <c r="J1026" s="22">
        <v>-12</v>
      </c>
      <c r="K1026" t="str">
        <f t="shared" ref="K1026:K1089" si="60">IF(D1026="","",TEXT(D1026,"Mmmm"))</f>
        <v>mai</v>
      </c>
      <c r="L1026" t="str">
        <f t="shared" ref="L1026:L1089" si="61">IF(J1026="","",IF(J1026&lt;0,"Dépenses","Recettes"))</f>
        <v>Dépenses</v>
      </c>
    </row>
    <row r="1027" spans="1:12" ht="11.25" customHeight="1" x14ac:dyDescent="0.2">
      <c r="A1027" t="s">
        <v>69</v>
      </c>
      <c r="B1027" s="4" t="s">
        <v>70</v>
      </c>
      <c r="C1027" s="5" t="s">
        <v>1004</v>
      </c>
      <c r="D1027" s="2">
        <v>43617</v>
      </c>
      <c r="E1027" s="2">
        <f t="shared" si="59"/>
        <v>43617</v>
      </c>
      <c r="F1027" t="s">
        <v>72</v>
      </c>
      <c r="G1027" t="s">
        <v>73</v>
      </c>
      <c r="H1027" t="s">
        <v>74</v>
      </c>
      <c r="I1027" t="s">
        <v>621</v>
      </c>
      <c r="J1027" s="23">
        <v>-500</v>
      </c>
      <c r="K1027" t="str">
        <f t="shared" si="60"/>
        <v>juin</v>
      </c>
      <c r="L1027" t="str">
        <f t="shared" si="61"/>
        <v>Dépenses</v>
      </c>
    </row>
    <row r="1028" spans="1:12" ht="15" customHeight="1" x14ac:dyDescent="0.2">
      <c r="A1028" t="s">
        <v>75</v>
      </c>
      <c r="B1028" s="4" t="s">
        <v>70</v>
      </c>
      <c r="C1028" s="5" t="s">
        <v>1004</v>
      </c>
      <c r="D1028" s="2">
        <v>43617</v>
      </c>
      <c r="E1028" s="2">
        <f t="shared" si="59"/>
        <v>43617</v>
      </c>
      <c r="F1028" t="s">
        <v>72</v>
      </c>
      <c r="G1028" t="s">
        <v>76</v>
      </c>
      <c r="H1028" t="s">
        <v>74</v>
      </c>
      <c r="I1028" t="s">
        <v>621</v>
      </c>
      <c r="J1028" s="23">
        <v>500</v>
      </c>
      <c r="K1028" t="str">
        <f t="shared" si="60"/>
        <v>juin</v>
      </c>
      <c r="L1028" t="str">
        <f t="shared" si="61"/>
        <v>Recettes</v>
      </c>
    </row>
    <row r="1029" spans="1:12" x14ac:dyDescent="0.2">
      <c r="A1029" t="s">
        <v>658</v>
      </c>
      <c r="B1029" t="s">
        <v>70</v>
      </c>
      <c r="D1029" s="2">
        <v>43617</v>
      </c>
      <c r="E1029" s="2">
        <f t="shared" si="59"/>
        <v>43617</v>
      </c>
      <c r="F1029" t="s">
        <v>659</v>
      </c>
      <c r="G1029" t="s">
        <v>76</v>
      </c>
      <c r="H1029" t="s">
        <v>87</v>
      </c>
      <c r="I1029" t="s">
        <v>621</v>
      </c>
      <c r="J1029" s="22">
        <v>-15</v>
      </c>
      <c r="K1029" t="str">
        <f t="shared" si="60"/>
        <v>juin</v>
      </c>
      <c r="L1029" t="str">
        <f t="shared" si="61"/>
        <v>Dépenses</v>
      </c>
    </row>
    <row r="1030" spans="1:12" x14ac:dyDescent="0.2">
      <c r="A1030" t="s">
        <v>660</v>
      </c>
      <c r="B1030" t="s">
        <v>70</v>
      </c>
      <c r="D1030" s="2">
        <v>43617</v>
      </c>
      <c r="E1030" s="2">
        <f t="shared" si="59"/>
        <v>43617</v>
      </c>
      <c r="F1030" t="s">
        <v>661</v>
      </c>
      <c r="G1030" t="s">
        <v>76</v>
      </c>
      <c r="H1030" t="s">
        <v>87</v>
      </c>
      <c r="I1030" t="s">
        <v>621</v>
      </c>
      <c r="J1030" s="22">
        <v>-15</v>
      </c>
      <c r="K1030" t="str">
        <f t="shared" si="60"/>
        <v>juin</v>
      </c>
      <c r="L1030" t="str">
        <f t="shared" si="61"/>
        <v>Dépenses</v>
      </c>
    </row>
    <row r="1031" spans="1:12" x14ac:dyDescent="0.2">
      <c r="A1031" t="s">
        <v>94</v>
      </c>
      <c r="B1031" s="4" t="s">
        <v>70</v>
      </c>
      <c r="C1031" s="5" t="s">
        <v>1005</v>
      </c>
      <c r="D1031" s="2">
        <v>43618</v>
      </c>
      <c r="E1031" s="2">
        <f t="shared" si="59"/>
        <v>43618</v>
      </c>
      <c r="F1031" t="s">
        <v>96</v>
      </c>
      <c r="G1031" t="s">
        <v>86</v>
      </c>
      <c r="H1031" t="s">
        <v>87</v>
      </c>
      <c r="I1031" t="s">
        <v>621</v>
      </c>
      <c r="J1031" s="22">
        <v>-6.72</v>
      </c>
      <c r="K1031" t="str">
        <f t="shared" si="60"/>
        <v>juin</v>
      </c>
      <c r="L1031" t="str">
        <f t="shared" si="61"/>
        <v>Dépenses</v>
      </c>
    </row>
    <row r="1032" spans="1:12" ht="11.25" customHeight="1" x14ac:dyDescent="0.2">
      <c r="A1032" t="s">
        <v>69</v>
      </c>
      <c r="B1032" s="4" t="s">
        <v>70</v>
      </c>
      <c r="C1032" s="7" t="s">
        <v>1006</v>
      </c>
      <c r="D1032" s="2">
        <v>43618</v>
      </c>
      <c r="E1032" s="2">
        <f t="shared" si="59"/>
        <v>43618</v>
      </c>
      <c r="F1032" t="s">
        <v>98</v>
      </c>
      <c r="G1032" t="s">
        <v>73</v>
      </c>
      <c r="H1032" t="s">
        <v>74</v>
      </c>
      <c r="I1032" t="s">
        <v>621</v>
      </c>
      <c r="J1032" s="23">
        <v>-597</v>
      </c>
      <c r="K1032" t="str">
        <f t="shared" si="60"/>
        <v>juin</v>
      </c>
      <c r="L1032" t="str">
        <f t="shared" si="61"/>
        <v>Dépenses</v>
      </c>
    </row>
    <row r="1033" spans="1:12" ht="11.25" customHeight="1" x14ac:dyDescent="0.2">
      <c r="A1033" t="s">
        <v>69</v>
      </c>
      <c r="B1033" s="4" t="s">
        <v>70</v>
      </c>
      <c r="C1033" s="7" t="s">
        <v>1007</v>
      </c>
      <c r="D1033" s="2">
        <v>43618</v>
      </c>
      <c r="E1033" s="2">
        <f t="shared" si="59"/>
        <v>43618</v>
      </c>
      <c r="F1033" t="s">
        <v>100</v>
      </c>
      <c r="G1033" t="s">
        <v>73</v>
      </c>
      <c r="H1033" t="s">
        <v>74</v>
      </c>
      <c r="I1033" t="s">
        <v>621</v>
      </c>
      <c r="J1033" s="23">
        <v>-120</v>
      </c>
      <c r="K1033" t="str">
        <f t="shared" si="60"/>
        <v>juin</v>
      </c>
      <c r="L1033" t="str">
        <f t="shared" si="61"/>
        <v>Dépenses</v>
      </c>
    </row>
    <row r="1034" spans="1:12" ht="11.25" customHeight="1" x14ac:dyDescent="0.2">
      <c r="A1034" t="s">
        <v>69</v>
      </c>
      <c r="B1034" s="4" t="s">
        <v>70</v>
      </c>
      <c r="C1034" s="7" t="s">
        <v>1008</v>
      </c>
      <c r="D1034" s="2">
        <v>43618</v>
      </c>
      <c r="E1034" s="2">
        <f t="shared" si="59"/>
        <v>43618</v>
      </c>
      <c r="F1034" t="s">
        <v>102</v>
      </c>
      <c r="G1034" t="s">
        <v>103</v>
      </c>
      <c r="H1034" t="s">
        <v>94</v>
      </c>
      <c r="I1034" t="s">
        <v>621</v>
      </c>
      <c r="J1034" s="23">
        <v>-600</v>
      </c>
      <c r="K1034" t="str">
        <f t="shared" si="60"/>
        <v>juin</v>
      </c>
      <c r="L1034" t="str">
        <f t="shared" si="61"/>
        <v>Dépenses</v>
      </c>
    </row>
    <row r="1035" spans="1:12" ht="11.25" customHeight="1" x14ac:dyDescent="0.2">
      <c r="A1035" t="s">
        <v>108</v>
      </c>
      <c r="B1035" s="4" t="s">
        <v>70</v>
      </c>
      <c r="C1035" s="5" t="s">
        <v>1009</v>
      </c>
      <c r="D1035" s="2">
        <v>43618</v>
      </c>
      <c r="E1035" s="2">
        <f t="shared" si="59"/>
        <v>43618</v>
      </c>
      <c r="F1035" t="s">
        <v>96</v>
      </c>
      <c r="G1035" t="s">
        <v>86</v>
      </c>
      <c r="H1035" t="s">
        <v>87</v>
      </c>
      <c r="I1035" t="s">
        <v>621</v>
      </c>
      <c r="J1035" s="22">
        <v>-6.72</v>
      </c>
      <c r="K1035" t="str">
        <f t="shared" si="60"/>
        <v>juin</v>
      </c>
      <c r="L1035" t="str">
        <f t="shared" si="61"/>
        <v>Dépenses</v>
      </c>
    </row>
    <row r="1036" spans="1:12" ht="11.25" customHeight="1" x14ac:dyDescent="0.2">
      <c r="A1036" t="s">
        <v>94</v>
      </c>
      <c r="B1036" t="s">
        <v>84</v>
      </c>
      <c r="C1036" s="1" t="s">
        <v>1010</v>
      </c>
      <c r="D1036" s="2">
        <v>43619</v>
      </c>
      <c r="E1036" s="2">
        <f t="shared" ref="E1036:E1099" si="62">IF(A1036="","",IF(A1036&lt;&gt;"Carte Lux",D1036,VLOOKUP(D1036,Periode_datedebit_2019,3)))</f>
        <v>43619</v>
      </c>
      <c r="F1036" t="s">
        <v>1011</v>
      </c>
      <c r="G1036" t="s">
        <v>16</v>
      </c>
      <c r="H1036" t="s">
        <v>315</v>
      </c>
      <c r="I1036" t="s">
        <v>621</v>
      </c>
      <c r="J1036" s="22">
        <v>-136</v>
      </c>
      <c r="K1036" t="str">
        <f t="shared" si="60"/>
        <v>juin</v>
      </c>
      <c r="L1036" t="str">
        <f t="shared" si="61"/>
        <v>Dépenses</v>
      </c>
    </row>
    <row r="1037" spans="1:12" ht="11.25" customHeight="1" x14ac:dyDescent="0.2">
      <c r="A1037" t="s">
        <v>94</v>
      </c>
      <c r="B1037" s="4" t="s">
        <v>70</v>
      </c>
      <c r="C1037" s="7" t="s">
        <v>1008</v>
      </c>
      <c r="D1037" s="2">
        <v>43620</v>
      </c>
      <c r="E1037" s="2">
        <f t="shared" si="62"/>
        <v>43620</v>
      </c>
      <c r="F1037" t="s">
        <v>135</v>
      </c>
      <c r="G1037" t="s">
        <v>103</v>
      </c>
      <c r="H1037" t="s">
        <v>69</v>
      </c>
      <c r="I1037" t="s">
        <v>621</v>
      </c>
      <c r="J1037" s="23">
        <v>600</v>
      </c>
      <c r="K1037" t="str">
        <f t="shared" si="60"/>
        <v>juin</v>
      </c>
      <c r="L1037" t="str">
        <f t="shared" si="61"/>
        <v>Recettes</v>
      </c>
    </row>
    <row r="1038" spans="1:12" ht="11.25" customHeight="1" x14ac:dyDescent="0.2">
      <c r="A1038" t="s">
        <v>69</v>
      </c>
      <c r="B1038" s="4" t="s">
        <v>70</v>
      </c>
      <c r="C1038" s="7" t="s">
        <v>1012</v>
      </c>
      <c r="D1038" s="2">
        <v>43620</v>
      </c>
      <c r="E1038" s="2">
        <f t="shared" si="62"/>
        <v>43620</v>
      </c>
      <c r="F1038" t="s">
        <v>105</v>
      </c>
      <c r="G1038" t="s">
        <v>106</v>
      </c>
      <c r="H1038" t="s">
        <v>107</v>
      </c>
      <c r="I1038" t="s">
        <v>621</v>
      </c>
      <c r="J1038" s="23">
        <v>-10.99</v>
      </c>
      <c r="K1038" t="str">
        <f t="shared" si="60"/>
        <v>juin</v>
      </c>
      <c r="L1038" t="str">
        <f t="shared" si="61"/>
        <v>Dépenses</v>
      </c>
    </row>
    <row r="1039" spans="1:12" ht="11.25" customHeight="1" x14ac:dyDescent="0.2">
      <c r="A1039" t="s">
        <v>94</v>
      </c>
      <c r="B1039" s="4" t="s">
        <v>70</v>
      </c>
      <c r="C1039" s="7" t="s">
        <v>1013</v>
      </c>
      <c r="D1039" s="2">
        <v>43621</v>
      </c>
      <c r="E1039" s="2">
        <f t="shared" si="62"/>
        <v>43621</v>
      </c>
      <c r="F1039" t="s">
        <v>1014</v>
      </c>
      <c r="G1039" t="s">
        <v>162</v>
      </c>
      <c r="H1039" t="s">
        <v>163</v>
      </c>
      <c r="I1039" t="s">
        <v>621</v>
      </c>
      <c r="J1039" s="23">
        <v>-70</v>
      </c>
      <c r="K1039" t="str">
        <f t="shared" si="60"/>
        <v>juin</v>
      </c>
      <c r="L1039" t="str">
        <f t="shared" si="61"/>
        <v>Dépenses</v>
      </c>
    </row>
    <row r="1040" spans="1:12" ht="11.25" customHeight="1" x14ac:dyDescent="0.2">
      <c r="A1040" t="s">
        <v>94</v>
      </c>
      <c r="B1040" s="4" t="s">
        <v>70</v>
      </c>
      <c r="C1040" s="7" t="s">
        <v>1015</v>
      </c>
      <c r="D1040" s="2">
        <v>43621</v>
      </c>
      <c r="E1040" s="2">
        <f t="shared" si="62"/>
        <v>43621</v>
      </c>
      <c r="F1040" t="s">
        <v>143</v>
      </c>
      <c r="G1040" t="s">
        <v>144</v>
      </c>
      <c r="H1040" t="s">
        <v>145</v>
      </c>
      <c r="I1040" t="s">
        <v>621</v>
      </c>
      <c r="J1040" s="23">
        <v>131.16</v>
      </c>
      <c r="K1040" t="str">
        <f t="shared" si="60"/>
        <v>juin</v>
      </c>
      <c r="L1040" t="str">
        <f t="shared" si="61"/>
        <v>Recettes</v>
      </c>
    </row>
    <row r="1041" spans="1:12" ht="11.25" customHeight="1" x14ac:dyDescent="0.2">
      <c r="A1041" t="s">
        <v>69</v>
      </c>
      <c r="B1041" s="4" t="s">
        <v>70</v>
      </c>
      <c r="C1041" s="7" t="s">
        <v>1016</v>
      </c>
      <c r="D1041" s="2">
        <v>43621</v>
      </c>
      <c r="E1041" s="2">
        <f t="shared" si="62"/>
        <v>43621</v>
      </c>
      <c r="F1041" t="s">
        <v>147</v>
      </c>
      <c r="G1041" t="s">
        <v>115</v>
      </c>
      <c r="H1041" t="s">
        <v>148</v>
      </c>
      <c r="I1041" t="s">
        <v>621</v>
      </c>
      <c r="J1041" s="23">
        <v>-50</v>
      </c>
      <c r="K1041" t="str">
        <f t="shared" si="60"/>
        <v>juin</v>
      </c>
      <c r="L1041" t="str">
        <f t="shared" si="61"/>
        <v>Dépenses</v>
      </c>
    </row>
    <row r="1042" spans="1:12" ht="11.25" customHeight="1" x14ac:dyDescent="0.2">
      <c r="A1042" t="s">
        <v>94</v>
      </c>
      <c r="B1042" t="s">
        <v>70</v>
      </c>
      <c r="D1042" s="2">
        <v>43621</v>
      </c>
      <c r="E1042" s="2">
        <f t="shared" si="62"/>
        <v>43621</v>
      </c>
      <c r="F1042" t="s">
        <v>1017</v>
      </c>
      <c r="G1042" t="s">
        <v>39</v>
      </c>
      <c r="H1042" t="s">
        <v>651</v>
      </c>
      <c r="I1042" t="s">
        <v>621</v>
      </c>
      <c r="J1042" s="22">
        <v>-190</v>
      </c>
      <c r="K1042" t="str">
        <f t="shared" si="60"/>
        <v>juin</v>
      </c>
      <c r="L1042" t="str">
        <f t="shared" si="61"/>
        <v>Dépenses</v>
      </c>
    </row>
    <row r="1043" spans="1:12" ht="11.25" customHeight="1" x14ac:dyDescent="0.2">
      <c r="A1043" t="s">
        <v>94</v>
      </c>
      <c r="B1043" s="4" t="s">
        <v>70</v>
      </c>
      <c r="C1043" s="7" t="s">
        <v>1018</v>
      </c>
      <c r="D1043" s="2">
        <v>43622</v>
      </c>
      <c r="E1043" s="2">
        <f t="shared" si="62"/>
        <v>43622</v>
      </c>
      <c r="F1043" t="s">
        <v>157</v>
      </c>
      <c r="G1043" t="s">
        <v>158</v>
      </c>
      <c r="H1043" t="s">
        <v>87</v>
      </c>
      <c r="I1043" t="s">
        <v>621</v>
      </c>
      <c r="J1043" s="23">
        <v>-7.43</v>
      </c>
      <c r="K1043" t="str">
        <f t="shared" si="60"/>
        <v>juin</v>
      </c>
      <c r="L1043" t="str">
        <f t="shared" si="61"/>
        <v>Dépenses</v>
      </c>
    </row>
    <row r="1044" spans="1:12" ht="11.25" customHeight="1" x14ac:dyDescent="0.2">
      <c r="A1044" t="s">
        <v>94</v>
      </c>
      <c r="B1044" s="4" t="s">
        <v>70</v>
      </c>
      <c r="C1044" s="7" t="s">
        <v>1019</v>
      </c>
      <c r="D1044" s="2">
        <v>43623</v>
      </c>
      <c r="E1044" s="2">
        <f t="shared" si="62"/>
        <v>43623</v>
      </c>
      <c r="F1044" t="s">
        <v>165</v>
      </c>
      <c r="G1044" t="s">
        <v>158</v>
      </c>
      <c r="H1044" t="s">
        <v>166</v>
      </c>
      <c r="I1044" t="s">
        <v>621</v>
      </c>
      <c r="J1044" s="23">
        <v>-27.35</v>
      </c>
      <c r="K1044" t="str">
        <f t="shared" si="60"/>
        <v>juin</v>
      </c>
      <c r="L1044" t="str">
        <f t="shared" si="61"/>
        <v>Dépenses</v>
      </c>
    </row>
    <row r="1045" spans="1:12" ht="11.25" customHeight="1" x14ac:dyDescent="0.2">
      <c r="A1045" t="s">
        <v>94</v>
      </c>
      <c r="B1045" s="4" t="s">
        <v>70</v>
      </c>
      <c r="C1045" s="7" t="s">
        <v>1020</v>
      </c>
      <c r="D1045" s="2">
        <v>43623</v>
      </c>
      <c r="E1045" s="2">
        <f t="shared" si="62"/>
        <v>43623</v>
      </c>
      <c r="F1045" t="s">
        <v>165</v>
      </c>
      <c r="G1045" t="s">
        <v>158</v>
      </c>
      <c r="H1045" t="s">
        <v>166</v>
      </c>
      <c r="I1045" t="s">
        <v>621</v>
      </c>
      <c r="J1045" s="23">
        <v>-25.2</v>
      </c>
      <c r="K1045" t="str">
        <f t="shared" si="60"/>
        <v>juin</v>
      </c>
      <c r="L1045" t="str">
        <f t="shared" si="61"/>
        <v>Dépenses</v>
      </c>
    </row>
    <row r="1046" spans="1:12" ht="11.25" customHeight="1" x14ac:dyDescent="0.2">
      <c r="A1046" t="s">
        <v>94</v>
      </c>
      <c r="B1046" s="4" t="s">
        <v>70</v>
      </c>
      <c r="C1046" s="7" t="s">
        <v>1021</v>
      </c>
      <c r="D1046" s="2">
        <v>43623</v>
      </c>
      <c r="E1046" s="2">
        <f t="shared" si="62"/>
        <v>43623</v>
      </c>
      <c r="F1046" t="s">
        <v>169</v>
      </c>
      <c r="G1046" t="s">
        <v>158</v>
      </c>
      <c r="H1046" t="s">
        <v>166</v>
      </c>
      <c r="I1046" t="s">
        <v>621</v>
      </c>
      <c r="J1046" s="23">
        <v>-34.33</v>
      </c>
      <c r="K1046" t="str">
        <f t="shared" si="60"/>
        <v>juin</v>
      </c>
      <c r="L1046" t="str">
        <f t="shared" si="61"/>
        <v>Dépenses</v>
      </c>
    </row>
    <row r="1047" spans="1:12" ht="11.25" customHeight="1" x14ac:dyDescent="0.2">
      <c r="A1047" t="s">
        <v>94</v>
      </c>
      <c r="B1047" s="4" t="s">
        <v>70</v>
      </c>
      <c r="C1047" s="7" t="s">
        <v>1022</v>
      </c>
      <c r="D1047" s="2">
        <v>43625</v>
      </c>
      <c r="E1047" s="2">
        <f t="shared" si="62"/>
        <v>43625</v>
      </c>
      <c r="F1047" t="s">
        <v>187</v>
      </c>
      <c r="G1047" t="s">
        <v>158</v>
      </c>
      <c r="H1047" t="s">
        <v>188</v>
      </c>
      <c r="I1047" t="s">
        <v>621</v>
      </c>
      <c r="J1047" s="23">
        <v>-8.99</v>
      </c>
      <c r="K1047" t="str">
        <f t="shared" si="60"/>
        <v>juin</v>
      </c>
      <c r="L1047" t="str">
        <f t="shared" si="61"/>
        <v>Dépenses</v>
      </c>
    </row>
    <row r="1048" spans="1:12" ht="11.25" customHeight="1" x14ac:dyDescent="0.2">
      <c r="A1048" t="s">
        <v>94</v>
      </c>
      <c r="B1048" s="4" t="s">
        <v>70</v>
      </c>
      <c r="C1048" s="7" t="s">
        <v>1022</v>
      </c>
      <c r="D1048" s="2">
        <v>43625</v>
      </c>
      <c r="E1048" s="2">
        <f t="shared" si="62"/>
        <v>43625</v>
      </c>
      <c r="F1048" t="s">
        <v>189</v>
      </c>
      <c r="G1048" t="s">
        <v>158</v>
      </c>
      <c r="H1048" t="s">
        <v>188</v>
      </c>
      <c r="I1048" t="s">
        <v>621</v>
      </c>
      <c r="J1048" s="23">
        <v>-6.99</v>
      </c>
      <c r="K1048" t="str">
        <f t="shared" si="60"/>
        <v>juin</v>
      </c>
      <c r="L1048" t="str">
        <f t="shared" si="61"/>
        <v>Dépenses</v>
      </c>
    </row>
    <row r="1049" spans="1:12" ht="15" customHeight="1" x14ac:dyDescent="0.2">
      <c r="A1049" t="s">
        <v>108</v>
      </c>
      <c r="B1049" s="4" t="s">
        <v>70</v>
      </c>
      <c r="C1049" s="7" t="s">
        <v>1023</v>
      </c>
      <c r="D1049" s="2">
        <v>43625</v>
      </c>
      <c r="E1049" s="2">
        <f t="shared" si="62"/>
        <v>43625</v>
      </c>
      <c r="F1049" t="s">
        <v>171</v>
      </c>
      <c r="G1049" t="s">
        <v>172</v>
      </c>
      <c r="H1049" t="s">
        <v>173</v>
      </c>
      <c r="I1049" t="s">
        <v>621</v>
      </c>
      <c r="J1049" s="23">
        <v>-19.989999999999998</v>
      </c>
      <c r="K1049" t="str">
        <f t="shared" si="60"/>
        <v>juin</v>
      </c>
      <c r="L1049" t="str">
        <f t="shared" si="61"/>
        <v>Dépenses</v>
      </c>
    </row>
    <row r="1050" spans="1:12" ht="11.25" customHeight="1" x14ac:dyDescent="0.2">
      <c r="A1050" t="s">
        <v>94</v>
      </c>
      <c r="B1050" s="4" t="s">
        <v>70</v>
      </c>
      <c r="C1050" s="7" t="s">
        <v>1024</v>
      </c>
      <c r="D1050" s="2">
        <v>43626</v>
      </c>
      <c r="E1050" s="2">
        <f t="shared" si="62"/>
        <v>43626</v>
      </c>
      <c r="F1050" t="s">
        <v>202</v>
      </c>
      <c r="G1050" t="s">
        <v>307</v>
      </c>
      <c r="H1050" t="s">
        <v>658</v>
      </c>
      <c r="I1050" t="s">
        <v>621</v>
      </c>
      <c r="J1050" s="23">
        <v>-15</v>
      </c>
      <c r="K1050" t="str">
        <f t="shared" si="60"/>
        <v>juin</v>
      </c>
      <c r="L1050" t="str">
        <f t="shared" si="61"/>
        <v>Dépenses</v>
      </c>
    </row>
    <row r="1051" spans="1:12" ht="11.25" customHeight="1" x14ac:dyDescent="0.2">
      <c r="A1051" t="s">
        <v>94</v>
      </c>
      <c r="B1051" s="4" t="s">
        <v>70</v>
      </c>
      <c r="C1051" s="7" t="s">
        <v>1025</v>
      </c>
      <c r="D1051" s="2">
        <v>43626</v>
      </c>
      <c r="E1051" s="2">
        <f t="shared" si="62"/>
        <v>43626</v>
      </c>
      <c r="F1051" t="s">
        <v>204</v>
      </c>
      <c r="G1051" t="s">
        <v>307</v>
      </c>
      <c r="H1051" t="s">
        <v>660</v>
      </c>
      <c r="I1051" t="s">
        <v>621</v>
      </c>
      <c r="J1051" s="23">
        <v>-15</v>
      </c>
      <c r="K1051" t="str">
        <f t="shared" si="60"/>
        <v>juin</v>
      </c>
      <c r="L1051" t="str">
        <f t="shared" si="61"/>
        <v>Dépenses</v>
      </c>
    </row>
    <row r="1052" spans="1:12" x14ac:dyDescent="0.2">
      <c r="A1052" t="s">
        <v>108</v>
      </c>
      <c r="B1052" s="4" t="s">
        <v>70</v>
      </c>
      <c r="C1052" s="7" t="s">
        <v>1026</v>
      </c>
      <c r="D1052" s="2">
        <v>43626</v>
      </c>
      <c r="E1052" s="2">
        <f t="shared" si="62"/>
        <v>43626</v>
      </c>
      <c r="F1052" t="s">
        <v>198</v>
      </c>
      <c r="G1052" t="s">
        <v>199</v>
      </c>
      <c r="H1052" t="s">
        <v>200</v>
      </c>
      <c r="I1052" t="s">
        <v>621</v>
      </c>
      <c r="J1052" s="23">
        <v>700</v>
      </c>
      <c r="K1052" t="str">
        <f t="shared" si="60"/>
        <v>juin</v>
      </c>
      <c r="L1052" t="str">
        <f t="shared" si="61"/>
        <v>Recettes</v>
      </c>
    </row>
    <row r="1053" spans="1:12" x14ac:dyDescent="0.2">
      <c r="A1053" t="s">
        <v>658</v>
      </c>
      <c r="B1053" t="s">
        <v>70</v>
      </c>
      <c r="D1053" s="2">
        <v>43626</v>
      </c>
      <c r="E1053" s="2">
        <f t="shared" si="62"/>
        <v>43626</v>
      </c>
      <c r="F1053" t="s">
        <v>659</v>
      </c>
      <c r="G1053" t="s">
        <v>307</v>
      </c>
      <c r="H1053" t="s">
        <v>87</v>
      </c>
      <c r="I1053" t="s">
        <v>621</v>
      </c>
      <c r="J1053" s="22">
        <v>15</v>
      </c>
      <c r="K1053" t="str">
        <f t="shared" si="60"/>
        <v>juin</v>
      </c>
      <c r="L1053" t="str">
        <f t="shared" si="61"/>
        <v>Recettes</v>
      </c>
    </row>
    <row r="1054" spans="1:12" x14ac:dyDescent="0.2">
      <c r="A1054" t="s">
        <v>660</v>
      </c>
      <c r="B1054" t="s">
        <v>70</v>
      </c>
      <c r="D1054" s="2">
        <v>43626</v>
      </c>
      <c r="E1054" s="2">
        <f t="shared" si="62"/>
        <v>43626</v>
      </c>
      <c r="F1054" t="s">
        <v>661</v>
      </c>
      <c r="G1054" t="s">
        <v>307</v>
      </c>
      <c r="H1054" t="s">
        <v>87</v>
      </c>
      <c r="I1054" t="s">
        <v>621</v>
      </c>
      <c r="J1054" s="22">
        <v>15</v>
      </c>
      <c r="K1054" t="str">
        <f t="shared" si="60"/>
        <v>juin</v>
      </c>
      <c r="L1054" t="str">
        <f t="shared" si="61"/>
        <v>Recettes</v>
      </c>
    </row>
    <row r="1055" spans="1:12" ht="15" customHeight="1" x14ac:dyDescent="0.2">
      <c r="A1055" t="s">
        <v>108</v>
      </c>
      <c r="B1055" s="4" t="s">
        <v>70</v>
      </c>
      <c r="C1055" s="7" t="s">
        <v>1027</v>
      </c>
      <c r="D1055" s="2">
        <v>43626</v>
      </c>
      <c r="E1055" s="2">
        <f t="shared" si="62"/>
        <v>43626</v>
      </c>
      <c r="F1055" t="s">
        <v>206</v>
      </c>
      <c r="G1055" t="s">
        <v>111</v>
      </c>
      <c r="H1055" t="s">
        <v>207</v>
      </c>
      <c r="I1055" t="s">
        <v>621</v>
      </c>
      <c r="J1055" s="22">
        <v>-32.450000000000003</v>
      </c>
      <c r="K1055" t="str">
        <f t="shared" si="60"/>
        <v>juin</v>
      </c>
      <c r="L1055" t="str">
        <f t="shared" si="61"/>
        <v>Dépenses</v>
      </c>
    </row>
    <row r="1056" spans="1:12" ht="15" customHeight="1" x14ac:dyDescent="0.2">
      <c r="A1056" t="s">
        <v>94</v>
      </c>
      <c r="B1056" s="4" t="s">
        <v>70</v>
      </c>
      <c r="C1056" s="7" t="s">
        <v>1028</v>
      </c>
      <c r="D1056" s="2">
        <v>43628</v>
      </c>
      <c r="E1056" s="2">
        <f t="shared" si="62"/>
        <v>43628</v>
      </c>
      <c r="F1056" t="s">
        <v>175</v>
      </c>
      <c r="G1056" t="s">
        <v>172</v>
      </c>
      <c r="H1056" t="s">
        <v>176</v>
      </c>
      <c r="I1056" t="s">
        <v>621</v>
      </c>
      <c r="J1056" s="23">
        <v>-35</v>
      </c>
      <c r="K1056" t="str">
        <f t="shared" si="60"/>
        <v>juin</v>
      </c>
      <c r="L1056" t="str">
        <f t="shared" si="61"/>
        <v>Dépenses</v>
      </c>
    </row>
    <row r="1057" spans="1:12" x14ac:dyDescent="0.2">
      <c r="A1057" t="s">
        <v>94</v>
      </c>
      <c r="B1057" s="4" t="s">
        <v>70</v>
      </c>
      <c r="C1057" s="8" t="s">
        <v>1029</v>
      </c>
      <c r="D1057" s="2">
        <v>43631</v>
      </c>
      <c r="E1057" s="2">
        <f t="shared" si="62"/>
        <v>43631</v>
      </c>
      <c r="F1057" s="4" t="s">
        <v>232</v>
      </c>
      <c r="G1057" s="4" t="s">
        <v>79</v>
      </c>
      <c r="H1057" s="4" t="s">
        <v>233</v>
      </c>
      <c r="I1057" t="s">
        <v>621</v>
      </c>
      <c r="J1057" s="23">
        <v>-22.5</v>
      </c>
      <c r="K1057" t="str">
        <f t="shared" si="60"/>
        <v>juin</v>
      </c>
      <c r="L1057" t="str">
        <f t="shared" si="61"/>
        <v>Dépenses</v>
      </c>
    </row>
    <row r="1058" spans="1:12" x14ac:dyDescent="0.2">
      <c r="A1058" t="s">
        <v>94</v>
      </c>
      <c r="B1058" s="4" t="s">
        <v>70</v>
      </c>
      <c r="C1058" s="7" t="s">
        <v>1030</v>
      </c>
      <c r="D1058" s="2">
        <v>43632</v>
      </c>
      <c r="E1058" s="2">
        <f t="shared" si="62"/>
        <v>43632</v>
      </c>
      <c r="F1058" s="4" t="s">
        <v>240</v>
      </c>
      <c r="G1058" s="4" t="s">
        <v>73</v>
      </c>
      <c r="H1058" s="4" t="s">
        <v>241</v>
      </c>
      <c r="I1058" t="s">
        <v>621</v>
      </c>
      <c r="J1058" s="23">
        <v>-164.14</v>
      </c>
      <c r="K1058" t="str">
        <f t="shared" si="60"/>
        <v>juin</v>
      </c>
      <c r="L1058" t="str">
        <f t="shared" si="61"/>
        <v>Dépenses</v>
      </c>
    </row>
    <row r="1059" spans="1:12" x14ac:dyDescent="0.2">
      <c r="A1059" t="s">
        <v>94</v>
      </c>
      <c r="B1059" s="4" t="s">
        <v>70</v>
      </c>
      <c r="C1059" s="7" t="s">
        <v>1031</v>
      </c>
      <c r="D1059" s="2">
        <v>43632</v>
      </c>
      <c r="E1059" s="2">
        <f t="shared" si="62"/>
        <v>43632</v>
      </c>
      <c r="F1059" t="s">
        <v>243</v>
      </c>
      <c r="G1059" t="s">
        <v>244</v>
      </c>
      <c r="H1059" t="s">
        <v>245</v>
      </c>
      <c r="I1059" t="s">
        <v>621</v>
      </c>
      <c r="J1059" s="23">
        <v>-35</v>
      </c>
      <c r="K1059" t="str">
        <f t="shared" si="60"/>
        <v>juin</v>
      </c>
      <c r="L1059" t="str">
        <f t="shared" si="61"/>
        <v>Dépenses</v>
      </c>
    </row>
    <row r="1060" spans="1:12" ht="11.25" customHeight="1" x14ac:dyDescent="0.2">
      <c r="A1060" t="s">
        <v>94</v>
      </c>
      <c r="B1060" s="4" t="s">
        <v>70</v>
      </c>
      <c r="C1060" s="7" t="s">
        <v>1032</v>
      </c>
      <c r="D1060" s="2">
        <v>43632</v>
      </c>
      <c r="E1060" s="2">
        <f t="shared" si="62"/>
        <v>43632</v>
      </c>
      <c r="F1060" t="s">
        <v>247</v>
      </c>
      <c r="G1060" t="s">
        <v>134</v>
      </c>
      <c r="H1060" t="s">
        <v>319</v>
      </c>
      <c r="I1060" t="s">
        <v>621</v>
      </c>
      <c r="J1060" s="23">
        <v>-40</v>
      </c>
      <c r="K1060" t="str">
        <f t="shared" si="60"/>
        <v>juin</v>
      </c>
      <c r="L1060" t="str">
        <f t="shared" si="61"/>
        <v>Dépenses</v>
      </c>
    </row>
    <row r="1061" spans="1:12" ht="11.25" customHeight="1" x14ac:dyDescent="0.2">
      <c r="A1061" t="s">
        <v>94</v>
      </c>
      <c r="B1061" s="4" t="s">
        <v>70</v>
      </c>
      <c r="C1061" s="7" t="s">
        <v>1033</v>
      </c>
      <c r="D1061" s="2">
        <v>43632</v>
      </c>
      <c r="E1061" s="2">
        <f t="shared" si="62"/>
        <v>43632</v>
      </c>
      <c r="F1061" t="s">
        <v>249</v>
      </c>
      <c r="G1061" t="s">
        <v>134</v>
      </c>
      <c r="H1061" t="s">
        <v>319</v>
      </c>
      <c r="I1061" t="s">
        <v>621</v>
      </c>
      <c r="J1061" s="23">
        <v>-40</v>
      </c>
      <c r="K1061" t="str">
        <f t="shared" si="60"/>
        <v>juin</v>
      </c>
      <c r="L1061" t="str">
        <f t="shared" si="61"/>
        <v>Dépenses</v>
      </c>
    </row>
    <row r="1062" spans="1:12" ht="11.25" customHeight="1" x14ac:dyDescent="0.2">
      <c r="A1062" t="s">
        <v>94</v>
      </c>
      <c r="B1062" t="s">
        <v>70</v>
      </c>
      <c r="C1062" s="1" t="s">
        <v>954</v>
      </c>
      <c r="D1062" s="2">
        <v>43633</v>
      </c>
      <c r="E1062" s="2">
        <f t="shared" si="62"/>
        <v>43633</v>
      </c>
      <c r="F1062" t="s">
        <v>958</v>
      </c>
      <c r="G1062" t="s">
        <v>158</v>
      </c>
      <c r="H1062" t="s">
        <v>956</v>
      </c>
      <c r="I1062" t="s">
        <v>621</v>
      </c>
      <c r="J1062" s="22">
        <v>-49.82</v>
      </c>
      <c r="K1062" t="str">
        <f t="shared" si="60"/>
        <v>juin</v>
      </c>
      <c r="L1062" t="str">
        <f t="shared" si="61"/>
        <v>Dépenses</v>
      </c>
    </row>
    <row r="1063" spans="1:12" ht="15" customHeight="1" x14ac:dyDescent="0.2">
      <c r="A1063" t="s">
        <v>69</v>
      </c>
      <c r="B1063" s="4" t="s">
        <v>70</v>
      </c>
      <c r="C1063" s="7" t="s">
        <v>1034</v>
      </c>
      <c r="D1063" s="2">
        <v>43640</v>
      </c>
      <c r="E1063" s="2">
        <f t="shared" si="62"/>
        <v>43640</v>
      </c>
      <c r="F1063" t="s">
        <v>285</v>
      </c>
      <c r="G1063" t="s">
        <v>199</v>
      </c>
      <c r="H1063" t="s">
        <v>74</v>
      </c>
      <c r="I1063" t="s">
        <v>621</v>
      </c>
      <c r="J1063" s="23">
        <v>2900</v>
      </c>
      <c r="K1063" t="str">
        <f t="shared" si="60"/>
        <v>juin</v>
      </c>
      <c r="L1063" t="str">
        <f t="shared" si="61"/>
        <v>Recettes</v>
      </c>
    </row>
    <row r="1064" spans="1:12" ht="11.25" customHeight="1" x14ac:dyDescent="0.2">
      <c r="A1064" t="s">
        <v>69</v>
      </c>
      <c r="B1064" s="4" t="s">
        <v>70</v>
      </c>
      <c r="C1064" s="7" t="s">
        <v>458</v>
      </c>
      <c r="D1064" s="2">
        <v>43641</v>
      </c>
      <c r="E1064" s="2">
        <f t="shared" si="62"/>
        <v>43641</v>
      </c>
      <c r="F1064" t="s">
        <v>102</v>
      </c>
      <c r="G1064" t="s">
        <v>459</v>
      </c>
      <c r="H1064" t="s">
        <v>94</v>
      </c>
      <c r="I1064" t="s">
        <v>621</v>
      </c>
      <c r="J1064" s="23">
        <v>-860</v>
      </c>
      <c r="K1064" t="str">
        <f t="shared" si="60"/>
        <v>juin</v>
      </c>
      <c r="L1064" t="str">
        <f t="shared" si="61"/>
        <v>Dépenses</v>
      </c>
    </row>
    <row r="1065" spans="1:12" ht="11.25" customHeight="1" x14ac:dyDescent="0.2">
      <c r="A1065" t="s">
        <v>94</v>
      </c>
      <c r="B1065" s="4" t="s">
        <v>70</v>
      </c>
      <c r="C1065" s="7" t="s">
        <v>458</v>
      </c>
      <c r="D1065" s="2">
        <v>43641</v>
      </c>
      <c r="E1065" s="2">
        <f t="shared" si="62"/>
        <v>43641</v>
      </c>
      <c r="F1065" t="s">
        <v>135</v>
      </c>
      <c r="G1065" t="s">
        <v>459</v>
      </c>
      <c r="H1065" t="s">
        <v>69</v>
      </c>
      <c r="I1065" t="s">
        <v>621</v>
      </c>
      <c r="J1065" s="23">
        <v>860</v>
      </c>
      <c r="K1065" t="str">
        <f t="shared" si="60"/>
        <v>juin</v>
      </c>
      <c r="L1065" t="str">
        <f t="shared" si="61"/>
        <v>Recettes</v>
      </c>
    </row>
    <row r="1066" spans="1:12" ht="15" customHeight="1" x14ac:dyDescent="0.2">
      <c r="A1066" t="s">
        <v>94</v>
      </c>
      <c r="B1066" t="s">
        <v>70</v>
      </c>
      <c r="D1066" s="2">
        <v>43641</v>
      </c>
      <c r="E1066" s="2">
        <f t="shared" si="62"/>
        <v>43641</v>
      </c>
      <c r="F1066" t="s">
        <v>460</v>
      </c>
      <c r="G1066" t="s">
        <v>127</v>
      </c>
      <c r="H1066" t="s">
        <v>88</v>
      </c>
      <c r="I1066" t="s">
        <v>621</v>
      </c>
      <c r="J1066" s="22">
        <v>-70</v>
      </c>
      <c r="K1066" t="str">
        <f t="shared" si="60"/>
        <v>juin</v>
      </c>
      <c r="L1066" t="str">
        <f t="shared" si="61"/>
        <v>Dépenses</v>
      </c>
    </row>
    <row r="1067" spans="1:12" ht="15" customHeight="1" x14ac:dyDescent="0.2">
      <c r="A1067" t="s">
        <v>94</v>
      </c>
      <c r="B1067" t="s">
        <v>70</v>
      </c>
      <c r="D1067" s="2">
        <v>43641</v>
      </c>
      <c r="E1067" s="2">
        <f t="shared" si="62"/>
        <v>43641</v>
      </c>
      <c r="F1067" t="s">
        <v>461</v>
      </c>
      <c r="G1067" t="s">
        <v>28</v>
      </c>
      <c r="H1067" t="s">
        <v>88</v>
      </c>
      <c r="I1067" t="s">
        <v>621</v>
      </c>
      <c r="J1067" s="22">
        <v>-30</v>
      </c>
      <c r="K1067" t="str">
        <f t="shared" si="60"/>
        <v>juin</v>
      </c>
      <c r="L1067" t="str">
        <f t="shared" si="61"/>
        <v>Dépenses</v>
      </c>
    </row>
    <row r="1068" spans="1:12" ht="15" customHeight="1" x14ac:dyDescent="0.2">
      <c r="A1068" t="s">
        <v>94</v>
      </c>
      <c r="B1068" t="s">
        <v>70</v>
      </c>
      <c r="D1068" s="2">
        <v>43641</v>
      </c>
      <c r="E1068" s="2">
        <f t="shared" si="62"/>
        <v>43641</v>
      </c>
      <c r="F1068" t="s">
        <v>462</v>
      </c>
      <c r="G1068" t="s">
        <v>254</v>
      </c>
      <c r="H1068" t="s">
        <v>88</v>
      </c>
      <c r="I1068" t="s">
        <v>621</v>
      </c>
      <c r="J1068" s="22">
        <v>-100</v>
      </c>
      <c r="K1068" t="str">
        <f t="shared" si="60"/>
        <v>juin</v>
      </c>
      <c r="L1068" t="str">
        <f t="shared" si="61"/>
        <v>Dépenses</v>
      </c>
    </row>
    <row r="1069" spans="1:12" ht="15" customHeight="1" x14ac:dyDescent="0.2">
      <c r="A1069" t="s">
        <v>94</v>
      </c>
      <c r="B1069" t="s">
        <v>70</v>
      </c>
      <c r="D1069" s="2">
        <v>43641</v>
      </c>
      <c r="E1069" s="2">
        <f t="shared" si="62"/>
        <v>43641</v>
      </c>
      <c r="F1069" t="s">
        <v>463</v>
      </c>
      <c r="G1069" t="s">
        <v>270</v>
      </c>
      <c r="H1069" t="s">
        <v>88</v>
      </c>
      <c r="I1069" t="s">
        <v>621</v>
      </c>
      <c r="J1069" s="22">
        <v>-70</v>
      </c>
      <c r="K1069" t="str">
        <f t="shared" si="60"/>
        <v>juin</v>
      </c>
      <c r="L1069" t="str">
        <f t="shared" si="61"/>
        <v>Dépenses</v>
      </c>
    </row>
    <row r="1070" spans="1:12" ht="15" customHeight="1" x14ac:dyDescent="0.2">
      <c r="A1070" t="s">
        <v>94</v>
      </c>
      <c r="B1070" t="s">
        <v>70</v>
      </c>
      <c r="D1070" s="2">
        <v>43641</v>
      </c>
      <c r="E1070" s="2">
        <f t="shared" si="62"/>
        <v>43641</v>
      </c>
      <c r="F1070" t="s">
        <v>464</v>
      </c>
      <c r="G1070" t="s">
        <v>118</v>
      </c>
      <c r="H1070" t="s">
        <v>88</v>
      </c>
      <c r="I1070" t="s">
        <v>621</v>
      </c>
      <c r="J1070" s="22">
        <v>-150</v>
      </c>
      <c r="K1070" t="str">
        <f t="shared" si="60"/>
        <v>juin</v>
      </c>
      <c r="L1070" t="str">
        <f t="shared" si="61"/>
        <v>Dépenses</v>
      </c>
    </row>
    <row r="1071" spans="1:12" ht="15" customHeight="1" x14ac:dyDescent="0.2">
      <c r="A1071" t="s">
        <v>94</v>
      </c>
      <c r="B1071" t="s">
        <v>70</v>
      </c>
      <c r="D1071" s="2">
        <v>43641</v>
      </c>
      <c r="E1071" s="2">
        <f t="shared" si="62"/>
        <v>43641</v>
      </c>
      <c r="F1071" t="s">
        <v>465</v>
      </c>
      <c r="G1071" t="s">
        <v>16</v>
      </c>
      <c r="H1071" t="s">
        <v>88</v>
      </c>
      <c r="I1071" t="s">
        <v>621</v>
      </c>
      <c r="J1071" s="22">
        <v>-60</v>
      </c>
      <c r="K1071" t="str">
        <f t="shared" si="60"/>
        <v>juin</v>
      </c>
      <c r="L1071" t="str">
        <f t="shared" si="61"/>
        <v>Dépenses</v>
      </c>
    </row>
    <row r="1072" spans="1:12" ht="11.25" customHeight="1" x14ac:dyDescent="0.2">
      <c r="A1072" t="s">
        <v>94</v>
      </c>
      <c r="B1072" t="s">
        <v>70</v>
      </c>
      <c r="D1072" s="2">
        <v>43641</v>
      </c>
      <c r="E1072" s="2">
        <f t="shared" si="62"/>
        <v>43641</v>
      </c>
      <c r="F1072" t="s">
        <v>466</v>
      </c>
      <c r="G1072" t="s">
        <v>111</v>
      </c>
      <c r="H1072" t="s">
        <v>88</v>
      </c>
      <c r="I1072" t="s">
        <v>621</v>
      </c>
      <c r="J1072" s="22">
        <v>-120</v>
      </c>
      <c r="K1072" t="str">
        <f t="shared" si="60"/>
        <v>juin</v>
      </c>
      <c r="L1072" t="str">
        <f t="shared" si="61"/>
        <v>Dépenses</v>
      </c>
    </row>
    <row r="1073" spans="1:12" ht="11.25" customHeight="1" x14ac:dyDescent="0.2">
      <c r="A1073" t="s">
        <v>94</v>
      </c>
      <c r="B1073" t="s">
        <v>70</v>
      </c>
      <c r="D1073" s="2">
        <v>43641</v>
      </c>
      <c r="E1073" s="2">
        <f t="shared" si="62"/>
        <v>43641</v>
      </c>
      <c r="F1073" t="s">
        <v>467</v>
      </c>
      <c r="G1073" t="s">
        <v>229</v>
      </c>
      <c r="H1073" t="s">
        <v>88</v>
      </c>
      <c r="I1073" t="s">
        <v>621</v>
      </c>
      <c r="J1073" s="22">
        <v>-60</v>
      </c>
      <c r="K1073" t="str">
        <f t="shared" si="60"/>
        <v>juin</v>
      </c>
      <c r="L1073" t="str">
        <f t="shared" si="61"/>
        <v>Dépenses</v>
      </c>
    </row>
    <row r="1074" spans="1:12" ht="11.25" customHeight="1" x14ac:dyDescent="0.2">
      <c r="A1074" t="s">
        <v>94</v>
      </c>
      <c r="B1074" t="s">
        <v>70</v>
      </c>
      <c r="D1074" s="2">
        <v>43641</v>
      </c>
      <c r="E1074" s="2">
        <f t="shared" si="62"/>
        <v>43641</v>
      </c>
      <c r="F1074" t="s">
        <v>469</v>
      </c>
      <c r="G1074" t="s">
        <v>52</v>
      </c>
      <c r="H1074" t="s">
        <v>88</v>
      </c>
      <c r="I1074" t="s">
        <v>621</v>
      </c>
      <c r="J1074" s="22">
        <v>-100</v>
      </c>
      <c r="K1074" t="str">
        <f t="shared" si="60"/>
        <v>juin</v>
      </c>
      <c r="L1074" t="str">
        <f t="shared" si="61"/>
        <v>Dépenses</v>
      </c>
    </row>
    <row r="1075" spans="1:12" ht="11.25" customHeight="1" x14ac:dyDescent="0.2">
      <c r="A1075" t="s">
        <v>94</v>
      </c>
      <c r="B1075" t="s">
        <v>70</v>
      </c>
      <c r="D1075" s="2">
        <v>43641</v>
      </c>
      <c r="E1075" s="2">
        <f t="shared" si="62"/>
        <v>43641</v>
      </c>
      <c r="F1075" t="s">
        <v>470</v>
      </c>
      <c r="G1075" t="s">
        <v>39</v>
      </c>
      <c r="H1075" t="s">
        <v>88</v>
      </c>
      <c r="I1075" t="s">
        <v>621</v>
      </c>
      <c r="J1075" s="22">
        <v>-100</v>
      </c>
      <c r="K1075" t="str">
        <f t="shared" si="60"/>
        <v>juin</v>
      </c>
      <c r="L1075" t="str">
        <f t="shared" si="61"/>
        <v>Dépenses</v>
      </c>
    </row>
    <row r="1076" spans="1:12" ht="11.25" customHeight="1" x14ac:dyDescent="0.2">
      <c r="A1076" t="s">
        <v>88</v>
      </c>
      <c r="B1076" t="s">
        <v>70</v>
      </c>
      <c r="D1076" s="2">
        <v>43641</v>
      </c>
      <c r="E1076" s="2">
        <f t="shared" si="62"/>
        <v>43641</v>
      </c>
      <c r="F1076" t="s">
        <v>471</v>
      </c>
      <c r="G1076" t="s">
        <v>76</v>
      </c>
      <c r="H1076" t="s">
        <v>94</v>
      </c>
      <c r="I1076" t="s">
        <v>621</v>
      </c>
      <c r="J1076" s="22">
        <v>860</v>
      </c>
      <c r="K1076" t="str">
        <f t="shared" si="60"/>
        <v>juin</v>
      </c>
      <c r="L1076" t="str">
        <f t="shared" si="61"/>
        <v>Recettes</v>
      </c>
    </row>
    <row r="1077" spans="1:12" ht="11.25" customHeight="1" x14ac:dyDescent="0.2">
      <c r="A1077" t="s">
        <v>69</v>
      </c>
      <c r="B1077" t="s">
        <v>137</v>
      </c>
      <c r="C1077" s="7" t="s">
        <v>1035</v>
      </c>
      <c r="D1077" s="2">
        <v>43641</v>
      </c>
      <c r="E1077" s="2">
        <f t="shared" si="62"/>
        <v>43641</v>
      </c>
      <c r="F1077" t="s">
        <v>291</v>
      </c>
      <c r="G1077" t="s">
        <v>79</v>
      </c>
      <c r="H1077" t="s">
        <v>292</v>
      </c>
      <c r="I1077" t="s">
        <v>621</v>
      </c>
      <c r="J1077" s="22">
        <v>-2.38</v>
      </c>
      <c r="K1077" t="str">
        <f t="shared" si="60"/>
        <v>juin</v>
      </c>
      <c r="L1077" t="str">
        <f t="shared" si="61"/>
        <v>Dépenses</v>
      </c>
    </row>
    <row r="1078" spans="1:12" ht="11.25" customHeight="1" x14ac:dyDescent="0.2">
      <c r="A1078" t="s">
        <v>69</v>
      </c>
      <c r="B1078" s="4" t="s">
        <v>70</v>
      </c>
      <c r="C1078" s="7" t="s">
        <v>1016</v>
      </c>
      <c r="D1078" s="2">
        <v>43644</v>
      </c>
      <c r="E1078" s="2">
        <f t="shared" si="62"/>
        <v>43644</v>
      </c>
      <c r="F1078" t="s">
        <v>147</v>
      </c>
      <c r="G1078" t="s">
        <v>115</v>
      </c>
      <c r="H1078" t="s">
        <v>148</v>
      </c>
      <c r="I1078" t="s">
        <v>621</v>
      </c>
      <c r="J1078" s="23">
        <v>-50</v>
      </c>
      <c r="K1078" t="str">
        <f t="shared" si="60"/>
        <v>juin</v>
      </c>
      <c r="L1078" t="str">
        <f t="shared" si="61"/>
        <v>Dépenses</v>
      </c>
    </row>
    <row r="1079" spans="1:12" ht="15" customHeight="1" x14ac:dyDescent="0.2">
      <c r="A1079" t="s">
        <v>94</v>
      </c>
      <c r="B1079" s="4" t="s">
        <v>70</v>
      </c>
      <c r="C1079" s="7" t="s">
        <v>1036</v>
      </c>
      <c r="D1079" s="2">
        <v>43644</v>
      </c>
      <c r="E1079" s="2">
        <f t="shared" si="62"/>
        <v>43644</v>
      </c>
      <c r="F1079" t="s">
        <v>317</v>
      </c>
      <c r="G1079" t="s">
        <v>318</v>
      </c>
      <c r="H1079" t="s">
        <v>319</v>
      </c>
      <c r="I1079" t="s">
        <v>621</v>
      </c>
      <c r="J1079" s="22">
        <v>-80.33</v>
      </c>
      <c r="K1079" t="str">
        <f t="shared" si="60"/>
        <v>juin</v>
      </c>
      <c r="L1079" t="str">
        <f t="shared" si="61"/>
        <v>Dépenses</v>
      </c>
    </row>
    <row r="1080" spans="1:12" ht="15" customHeight="1" x14ac:dyDescent="0.2">
      <c r="A1080" t="s">
        <v>69</v>
      </c>
      <c r="B1080" s="4" t="s">
        <v>70</v>
      </c>
      <c r="C1080" s="7" t="s">
        <v>1016</v>
      </c>
      <c r="D1080" s="2">
        <v>43646</v>
      </c>
      <c r="E1080" s="2">
        <f t="shared" si="62"/>
        <v>43646</v>
      </c>
      <c r="F1080" t="s">
        <v>327</v>
      </c>
      <c r="G1080" t="s">
        <v>328</v>
      </c>
      <c r="H1080" t="s">
        <v>329</v>
      </c>
      <c r="I1080" t="s">
        <v>621</v>
      </c>
      <c r="J1080" s="22">
        <v>-12</v>
      </c>
      <c r="K1080" t="str">
        <f t="shared" si="60"/>
        <v>juin</v>
      </c>
      <c r="L1080" t="str">
        <f t="shared" si="61"/>
        <v>Dépenses</v>
      </c>
    </row>
    <row r="1081" spans="1:12" ht="15" customHeight="1" x14ac:dyDescent="0.2">
      <c r="A1081" t="s">
        <v>108</v>
      </c>
      <c r="B1081" s="4" t="s">
        <v>70</v>
      </c>
      <c r="C1081" s="7" t="s">
        <v>1037</v>
      </c>
      <c r="D1081" s="2">
        <v>43646</v>
      </c>
      <c r="E1081" s="2">
        <f t="shared" si="62"/>
        <v>43646</v>
      </c>
      <c r="F1081" t="s">
        <v>184</v>
      </c>
      <c r="G1081" t="s">
        <v>106</v>
      </c>
      <c r="H1081" t="s">
        <v>185</v>
      </c>
      <c r="I1081" t="s">
        <v>621</v>
      </c>
      <c r="J1081" s="23">
        <v>-0.99</v>
      </c>
      <c r="K1081" t="str">
        <f t="shared" si="60"/>
        <v>juin</v>
      </c>
      <c r="L1081" t="str">
        <f t="shared" si="61"/>
        <v>Dépenses</v>
      </c>
    </row>
    <row r="1082" spans="1:12" ht="11.25" customHeight="1" x14ac:dyDescent="0.2">
      <c r="A1082" t="s">
        <v>69</v>
      </c>
      <c r="B1082" s="4" t="s">
        <v>70</v>
      </c>
      <c r="C1082" s="5" t="s">
        <v>1038</v>
      </c>
      <c r="D1082" s="2">
        <v>43647</v>
      </c>
      <c r="E1082" s="2">
        <f t="shared" si="62"/>
        <v>43647</v>
      </c>
      <c r="F1082" t="s">
        <v>72</v>
      </c>
      <c r="G1082" t="s">
        <v>73</v>
      </c>
      <c r="H1082" t="s">
        <v>74</v>
      </c>
      <c r="I1082" t="s">
        <v>621</v>
      </c>
      <c r="J1082" s="23">
        <v>-500</v>
      </c>
      <c r="K1082" t="str">
        <f t="shared" si="60"/>
        <v>juillet</v>
      </c>
      <c r="L1082" t="str">
        <f t="shared" si="61"/>
        <v>Dépenses</v>
      </c>
    </row>
    <row r="1083" spans="1:12" ht="11.25" customHeight="1" x14ac:dyDescent="0.2">
      <c r="A1083" t="s">
        <v>75</v>
      </c>
      <c r="B1083" s="4" t="s">
        <v>70</v>
      </c>
      <c r="C1083" s="5" t="s">
        <v>1038</v>
      </c>
      <c r="D1083" s="2">
        <v>43647</v>
      </c>
      <c r="E1083" s="2">
        <f t="shared" si="62"/>
        <v>43647</v>
      </c>
      <c r="F1083" t="s">
        <v>72</v>
      </c>
      <c r="G1083" t="s">
        <v>76</v>
      </c>
      <c r="H1083" t="s">
        <v>74</v>
      </c>
      <c r="I1083" t="s">
        <v>621</v>
      </c>
      <c r="J1083" s="23">
        <v>500</v>
      </c>
      <c r="K1083" t="str">
        <f t="shared" si="60"/>
        <v>juillet</v>
      </c>
      <c r="L1083" t="str">
        <f t="shared" si="61"/>
        <v>Recettes</v>
      </c>
    </row>
    <row r="1084" spans="1:12" ht="11.25" customHeight="1" x14ac:dyDescent="0.2">
      <c r="A1084" t="s">
        <v>658</v>
      </c>
      <c r="B1084" t="s">
        <v>70</v>
      </c>
      <c r="D1084" s="2">
        <v>43647</v>
      </c>
      <c r="E1084" s="2">
        <f t="shared" si="62"/>
        <v>43647</v>
      </c>
      <c r="F1084" t="s">
        <v>659</v>
      </c>
      <c r="G1084" t="s">
        <v>76</v>
      </c>
      <c r="H1084" t="s">
        <v>87</v>
      </c>
      <c r="I1084" t="s">
        <v>621</v>
      </c>
      <c r="J1084" s="22">
        <v>-15</v>
      </c>
      <c r="K1084" t="str">
        <f t="shared" si="60"/>
        <v>juillet</v>
      </c>
      <c r="L1084" t="str">
        <f t="shared" si="61"/>
        <v>Dépenses</v>
      </c>
    </row>
    <row r="1085" spans="1:12" ht="11.25" customHeight="1" x14ac:dyDescent="0.2">
      <c r="A1085" t="s">
        <v>660</v>
      </c>
      <c r="B1085" t="s">
        <v>70</v>
      </c>
      <c r="D1085" s="2">
        <v>43647</v>
      </c>
      <c r="E1085" s="2">
        <f t="shared" si="62"/>
        <v>43647</v>
      </c>
      <c r="F1085" t="s">
        <v>661</v>
      </c>
      <c r="G1085" t="s">
        <v>76</v>
      </c>
      <c r="H1085" t="s">
        <v>87</v>
      </c>
      <c r="I1085" t="s">
        <v>621</v>
      </c>
      <c r="J1085" s="22">
        <v>-15</v>
      </c>
      <c r="K1085" t="str">
        <f t="shared" si="60"/>
        <v>juillet</v>
      </c>
      <c r="L1085" t="str">
        <f t="shared" si="61"/>
        <v>Dépenses</v>
      </c>
    </row>
    <row r="1086" spans="1:12" ht="11.25" customHeight="1" x14ac:dyDescent="0.2">
      <c r="A1086" t="s">
        <v>94</v>
      </c>
      <c r="B1086" s="4" t="s">
        <v>70</v>
      </c>
      <c r="C1086" s="5" t="s">
        <v>1039</v>
      </c>
      <c r="D1086" s="2">
        <v>43648</v>
      </c>
      <c r="E1086" s="2">
        <f t="shared" si="62"/>
        <v>43648</v>
      </c>
      <c r="F1086" t="s">
        <v>96</v>
      </c>
      <c r="G1086" t="s">
        <v>86</v>
      </c>
      <c r="H1086" t="s">
        <v>87</v>
      </c>
      <c r="I1086" t="s">
        <v>621</v>
      </c>
      <c r="J1086" s="22">
        <v>-6.72</v>
      </c>
      <c r="K1086" t="str">
        <f t="shared" si="60"/>
        <v>juillet</v>
      </c>
      <c r="L1086" t="str">
        <f t="shared" si="61"/>
        <v>Dépenses</v>
      </c>
    </row>
    <row r="1087" spans="1:12" x14ac:dyDescent="0.2">
      <c r="A1087" t="s">
        <v>69</v>
      </c>
      <c r="B1087" s="4" t="s">
        <v>70</v>
      </c>
      <c r="C1087" s="7" t="s">
        <v>1040</v>
      </c>
      <c r="D1087" s="2">
        <v>43648</v>
      </c>
      <c r="E1087" s="2">
        <f t="shared" si="62"/>
        <v>43648</v>
      </c>
      <c r="F1087" t="s">
        <v>98</v>
      </c>
      <c r="G1087" t="s">
        <v>73</v>
      </c>
      <c r="H1087" t="s">
        <v>74</v>
      </c>
      <c r="I1087" t="s">
        <v>621</v>
      </c>
      <c r="J1087" s="23">
        <v>-597</v>
      </c>
      <c r="K1087" t="str">
        <f t="shared" si="60"/>
        <v>juillet</v>
      </c>
      <c r="L1087" t="str">
        <f t="shared" si="61"/>
        <v>Dépenses</v>
      </c>
    </row>
    <row r="1088" spans="1:12" x14ac:dyDescent="0.2">
      <c r="A1088" t="s">
        <v>69</v>
      </c>
      <c r="B1088" s="4" t="s">
        <v>70</v>
      </c>
      <c r="C1088" s="7" t="s">
        <v>1041</v>
      </c>
      <c r="D1088" s="2">
        <v>43648</v>
      </c>
      <c r="E1088" s="2">
        <f t="shared" si="62"/>
        <v>43648</v>
      </c>
      <c r="F1088" t="s">
        <v>100</v>
      </c>
      <c r="G1088" t="s">
        <v>73</v>
      </c>
      <c r="H1088" t="s">
        <v>74</v>
      </c>
      <c r="I1088" t="s">
        <v>621</v>
      </c>
      <c r="J1088" s="23">
        <v>-120</v>
      </c>
      <c r="K1088" t="str">
        <f t="shared" si="60"/>
        <v>juillet</v>
      </c>
      <c r="L1088" t="str">
        <f t="shared" si="61"/>
        <v>Dépenses</v>
      </c>
    </row>
    <row r="1089" spans="1:12" ht="15" customHeight="1" x14ac:dyDescent="0.2">
      <c r="A1089" t="s">
        <v>69</v>
      </c>
      <c r="B1089" s="4" t="s">
        <v>70</v>
      </c>
      <c r="C1089" s="7" t="s">
        <v>1042</v>
      </c>
      <c r="D1089" s="2">
        <v>43648</v>
      </c>
      <c r="E1089" s="2">
        <f t="shared" si="62"/>
        <v>43648</v>
      </c>
      <c r="F1089" t="s">
        <v>102</v>
      </c>
      <c r="G1089" t="s">
        <v>103</v>
      </c>
      <c r="H1089" t="s">
        <v>94</v>
      </c>
      <c r="I1089" t="s">
        <v>621</v>
      </c>
      <c r="J1089" s="23">
        <v>-600</v>
      </c>
      <c r="K1089" t="str">
        <f t="shared" si="60"/>
        <v>juillet</v>
      </c>
      <c r="L1089" t="str">
        <f t="shared" si="61"/>
        <v>Dépenses</v>
      </c>
    </row>
    <row r="1090" spans="1:12" ht="11.25" customHeight="1" x14ac:dyDescent="0.2">
      <c r="A1090" t="s">
        <v>108</v>
      </c>
      <c r="B1090" s="4" t="s">
        <v>70</v>
      </c>
      <c r="C1090" s="5" t="s">
        <v>1043</v>
      </c>
      <c r="D1090" s="2">
        <v>43648</v>
      </c>
      <c r="E1090" s="2">
        <f t="shared" si="62"/>
        <v>43648</v>
      </c>
      <c r="F1090" t="s">
        <v>96</v>
      </c>
      <c r="G1090" t="s">
        <v>86</v>
      </c>
      <c r="H1090" t="s">
        <v>87</v>
      </c>
      <c r="I1090" t="s">
        <v>621</v>
      </c>
      <c r="J1090" s="22">
        <v>-6.72</v>
      </c>
      <c r="K1090" t="str">
        <f t="shared" ref="K1090:K1153" si="63">IF(D1090="","",TEXT(D1090,"Mmmm"))</f>
        <v>juillet</v>
      </c>
      <c r="L1090" t="str">
        <f t="shared" ref="L1090:L1153" si="64">IF(J1090="","",IF(J1090&lt;0,"Dépenses","Recettes"))</f>
        <v>Dépenses</v>
      </c>
    </row>
    <row r="1091" spans="1:12" ht="11.25" customHeight="1" x14ac:dyDescent="0.2">
      <c r="A1091" t="s">
        <v>94</v>
      </c>
      <c r="B1091" s="4" t="s">
        <v>70</v>
      </c>
      <c r="C1091" s="7" t="s">
        <v>1042</v>
      </c>
      <c r="D1091" s="2">
        <v>43650</v>
      </c>
      <c r="E1091" s="2">
        <f t="shared" si="62"/>
        <v>43650</v>
      </c>
      <c r="F1091" t="s">
        <v>135</v>
      </c>
      <c r="G1091" t="s">
        <v>103</v>
      </c>
      <c r="H1091" t="s">
        <v>69</v>
      </c>
      <c r="I1091" t="s">
        <v>621</v>
      </c>
      <c r="J1091" s="23">
        <v>600</v>
      </c>
      <c r="K1091" t="str">
        <f t="shared" si="63"/>
        <v>juillet</v>
      </c>
      <c r="L1091" t="str">
        <f t="shared" si="64"/>
        <v>Recettes</v>
      </c>
    </row>
    <row r="1092" spans="1:12" ht="11.25" customHeight="1" x14ac:dyDescent="0.2">
      <c r="A1092" t="s">
        <v>69</v>
      </c>
      <c r="B1092" s="4" t="s">
        <v>70</v>
      </c>
      <c r="C1092" s="7" t="s">
        <v>1044</v>
      </c>
      <c r="D1092" s="2">
        <v>43650</v>
      </c>
      <c r="E1092" s="2">
        <f t="shared" si="62"/>
        <v>43650</v>
      </c>
      <c r="F1092" t="s">
        <v>105</v>
      </c>
      <c r="G1092" t="s">
        <v>106</v>
      </c>
      <c r="H1092" t="s">
        <v>107</v>
      </c>
      <c r="I1092" t="s">
        <v>621</v>
      </c>
      <c r="J1092" s="23">
        <v>-10.99</v>
      </c>
      <c r="K1092" t="str">
        <f t="shared" si="63"/>
        <v>juillet</v>
      </c>
      <c r="L1092" t="str">
        <f t="shared" si="64"/>
        <v>Dépenses</v>
      </c>
    </row>
    <row r="1093" spans="1:12" ht="11.25" customHeight="1" x14ac:dyDescent="0.2">
      <c r="A1093" t="s">
        <v>94</v>
      </c>
      <c r="B1093" s="4" t="s">
        <v>70</v>
      </c>
      <c r="C1093" s="7" t="s">
        <v>1045</v>
      </c>
      <c r="D1093" s="2">
        <v>43651</v>
      </c>
      <c r="E1093" s="2">
        <f t="shared" si="62"/>
        <v>43651</v>
      </c>
      <c r="F1093" t="s">
        <v>1014</v>
      </c>
      <c r="G1093" t="s">
        <v>162</v>
      </c>
      <c r="H1093" t="s">
        <v>163</v>
      </c>
      <c r="I1093" t="s">
        <v>621</v>
      </c>
      <c r="J1093" s="23">
        <v>-70</v>
      </c>
      <c r="K1093" t="str">
        <f t="shared" si="63"/>
        <v>juillet</v>
      </c>
      <c r="L1093" t="str">
        <f t="shared" si="64"/>
        <v>Dépenses</v>
      </c>
    </row>
    <row r="1094" spans="1:12" ht="11.25" customHeight="1" x14ac:dyDescent="0.2">
      <c r="A1094" t="s">
        <v>94</v>
      </c>
      <c r="B1094" s="4" t="s">
        <v>70</v>
      </c>
      <c r="C1094" s="7" t="s">
        <v>1046</v>
      </c>
      <c r="D1094" s="2">
        <v>43651</v>
      </c>
      <c r="E1094" s="2">
        <f t="shared" si="62"/>
        <v>43651</v>
      </c>
      <c r="F1094" t="s">
        <v>143</v>
      </c>
      <c r="G1094" t="s">
        <v>144</v>
      </c>
      <c r="H1094" t="s">
        <v>145</v>
      </c>
      <c r="I1094" t="s">
        <v>621</v>
      </c>
      <c r="J1094" s="23">
        <v>131.16</v>
      </c>
      <c r="K1094" t="str">
        <f t="shared" si="63"/>
        <v>juillet</v>
      </c>
      <c r="L1094" t="str">
        <f t="shared" si="64"/>
        <v>Recettes</v>
      </c>
    </row>
    <row r="1095" spans="1:12" ht="11.25" customHeight="1" x14ac:dyDescent="0.2">
      <c r="A1095" t="s">
        <v>69</v>
      </c>
      <c r="B1095" s="4" t="s">
        <v>70</v>
      </c>
      <c r="C1095" s="7" t="s">
        <v>1047</v>
      </c>
      <c r="D1095" s="2">
        <v>43651</v>
      </c>
      <c r="E1095" s="2">
        <f t="shared" si="62"/>
        <v>43651</v>
      </c>
      <c r="F1095" t="s">
        <v>147</v>
      </c>
      <c r="G1095" t="s">
        <v>115</v>
      </c>
      <c r="H1095" t="s">
        <v>148</v>
      </c>
      <c r="I1095" t="s">
        <v>621</v>
      </c>
      <c r="J1095" s="23">
        <v>-50</v>
      </c>
      <c r="K1095" t="str">
        <f t="shared" si="63"/>
        <v>juillet</v>
      </c>
      <c r="L1095" t="str">
        <f t="shared" si="64"/>
        <v>Dépenses</v>
      </c>
    </row>
    <row r="1096" spans="1:12" ht="11.25" customHeight="1" x14ac:dyDescent="0.2">
      <c r="A1096" t="s">
        <v>94</v>
      </c>
      <c r="B1096" t="s">
        <v>70</v>
      </c>
      <c r="D1096" s="2">
        <v>43651</v>
      </c>
      <c r="E1096" s="2">
        <f t="shared" si="62"/>
        <v>43651</v>
      </c>
      <c r="F1096" t="s">
        <v>1017</v>
      </c>
      <c r="G1096" t="s">
        <v>39</v>
      </c>
      <c r="H1096" t="s">
        <v>651</v>
      </c>
      <c r="I1096" t="s">
        <v>621</v>
      </c>
      <c r="J1096" s="22">
        <v>-190</v>
      </c>
      <c r="K1096" t="str">
        <f t="shared" si="63"/>
        <v>juillet</v>
      </c>
      <c r="L1096" t="str">
        <f t="shared" si="64"/>
        <v>Dépenses</v>
      </c>
    </row>
    <row r="1097" spans="1:12" ht="11.25" customHeight="1" x14ac:dyDescent="0.2">
      <c r="A1097" t="s">
        <v>94</v>
      </c>
      <c r="B1097" s="4" t="s">
        <v>70</v>
      </c>
      <c r="C1097" s="7" t="s">
        <v>1048</v>
      </c>
      <c r="D1097" s="2">
        <v>43652</v>
      </c>
      <c r="E1097" s="2">
        <f t="shared" si="62"/>
        <v>43652</v>
      </c>
      <c r="F1097" t="s">
        <v>157</v>
      </c>
      <c r="G1097" t="s">
        <v>158</v>
      </c>
      <c r="H1097" t="s">
        <v>87</v>
      </c>
      <c r="I1097" t="s">
        <v>621</v>
      </c>
      <c r="J1097" s="23">
        <v>-7.43</v>
      </c>
      <c r="K1097" t="str">
        <f t="shared" si="63"/>
        <v>juillet</v>
      </c>
      <c r="L1097" t="str">
        <f t="shared" si="64"/>
        <v>Dépenses</v>
      </c>
    </row>
    <row r="1098" spans="1:12" ht="11.25" customHeight="1" x14ac:dyDescent="0.2">
      <c r="A1098" t="s">
        <v>94</v>
      </c>
      <c r="B1098" s="4" t="s">
        <v>70</v>
      </c>
      <c r="C1098" s="7" t="s">
        <v>1049</v>
      </c>
      <c r="D1098" s="2">
        <v>43653</v>
      </c>
      <c r="E1098" s="2">
        <f t="shared" si="62"/>
        <v>43653</v>
      </c>
      <c r="F1098" t="s">
        <v>165</v>
      </c>
      <c r="G1098" t="s">
        <v>158</v>
      </c>
      <c r="H1098" t="s">
        <v>166</v>
      </c>
      <c r="I1098" t="s">
        <v>621</v>
      </c>
      <c r="J1098" s="23">
        <v>-27.35</v>
      </c>
      <c r="K1098" t="str">
        <f t="shared" si="63"/>
        <v>juillet</v>
      </c>
      <c r="L1098" t="str">
        <f t="shared" si="64"/>
        <v>Dépenses</v>
      </c>
    </row>
    <row r="1099" spans="1:12" ht="11.25" customHeight="1" x14ac:dyDescent="0.2">
      <c r="A1099" t="s">
        <v>94</v>
      </c>
      <c r="B1099" s="4" t="s">
        <v>70</v>
      </c>
      <c r="C1099" s="7" t="s">
        <v>1050</v>
      </c>
      <c r="D1099" s="2">
        <v>43653</v>
      </c>
      <c r="E1099" s="2">
        <f t="shared" si="62"/>
        <v>43653</v>
      </c>
      <c r="F1099" t="s">
        <v>165</v>
      </c>
      <c r="G1099" t="s">
        <v>158</v>
      </c>
      <c r="H1099" t="s">
        <v>166</v>
      </c>
      <c r="I1099" t="s">
        <v>621</v>
      </c>
      <c r="J1099" s="23">
        <v>-25.2</v>
      </c>
      <c r="K1099" t="str">
        <f t="shared" si="63"/>
        <v>juillet</v>
      </c>
      <c r="L1099" t="str">
        <f t="shared" si="64"/>
        <v>Dépenses</v>
      </c>
    </row>
    <row r="1100" spans="1:12" ht="11.25" customHeight="1" x14ac:dyDescent="0.2">
      <c r="A1100" t="s">
        <v>94</v>
      </c>
      <c r="B1100" s="4" t="s">
        <v>70</v>
      </c>
      <c r="C1100" s="7" t="s">
        <v>1051</v>
      </c>
      <c r="D1100" s="2">
        <v>43653</v>
      </c>
      <c r="E1100" s="2">
        <f t="shared" ref="E1100:E1163" si="65">IF(A1100="","",IF(A1100&lt;&gt;"Carte Lux",D1100,VLOOKUP(D1100,Periode_datedebit_2019,3)))</f>
        <v>43653</v>
      </c>
      <c r="F1100" t="s">
        <v>169</v>
      </c>
      <c r="G1100" t="s">
        <v>158</v>
      </c>
      <c r="H1100" t="s">
        <v>166</v>
      </c>
      <c r="I1100" t="s">
        <v>621</v>
      </c>
      <c r="J1100" s="23">
        <v>-34.33</v>
      </c>
      <c r="K1100" t="str">
        <f t="shared" si="63"/>
        <v>juillet</v>
      </c>
      <c r="L1100" t="str">
        <f t="shared" si="64"/>
        <v>Dépenses</v>
      </c>
    </row>
    <row r="1101" spans="1:12" ht="11.25" customHeight="1" x14ac:dyDescent="0.2">
      <c r="A1101" t="s">
        <v>94</v>
      </c>
      <c r="B1101" s="4" t="s">
        <v>70</v>
      </c>
      <c r="C1101" s="7" t="s">
        <v>1052</v>
      </c>
      <c r="D1101" s="2">
        <v>43655</v>
      </c>
      <c r="E1101" s="2">
        <f t="shared" si="65"/>
        <v>43655</v>
      </c>
      <c r="F1101" t="s">
        <v>187</v>
      </c>
      <c r="G1101" t="s">
        <v>158</v>
      </c>
      <c r="H1101" t="s">
        <v>188</v>
      </c>
      <c r="I1101" t="s">
        <v>621</v>
      </c>
      <c r="J1101" s="23">
        <v>-8.99</v>
      </c>
      <c r="K1101" t="str">
        <f t="shared" si="63"/>
        <v>juillet</v>
      </c>
      <c r="L1101" t="str">
        <f t="shared" si="64"/>
        <v>Dépenses</v>
      </c>
    </row>
    <row r="1102" spans="1:12" ht="11.25" customHeight="1" x14ac:dyDescent="0.2">
      <c r="A1102" t="s">
        <v>94</v>
      </c>
      <c r="B1102" s="4" t="s">
        <v>70</v>
      </c>
      <c r="C1102" s="7" t="s">
        <v>1052</v>
      </c>
      <c r="D1102" s="2">
        <v>43655</v>
      </c>
      <c r="E1102" s="2">
        <f t="shared" si="65"/>
        <v>43655</v>
      </c>
      <c r="F1102" t="s">
        <v>189</v>
      </c>
      <c r="G1102" t="s">
        <v>158</v>
      </c>
      <c r="H1102" t="s">
        <v>188</v>
      </c>
      <c r="I1102" t="s">
        <v>621</v>
      </c>
      <c r="J1102" s="23">
        <v>-6.99</v>
      </c>
      <c r="K1102" t="str">
        <f t="shared" si="63"/>
        <v>juillet</v>
      </c>
      <c r="L1102" t="str">
        <f t="shared" si="64"/>
        <v>Dépenses</v>
      </c>
    </row>
    <row r="1103" spans="1:12" ht="11.25" customHeight="1" x14ac:dyDescent="0.2">
      <c r="A1103" t="s">
        <v>108</v>
      </c>
      <c r="B1103" s="4" t="s">
        <v>70</v>
      </c>
      <c r="C1103" s="7" t="s">
        <v>1053</v>
      </c>
      <c r="D1103" s="2">
        <v>43655</v>
      </c>
      <c r="E1103" s="2">
        <f t="shared" si="65"/>
        <v>43655</v>
      </c>
      <c r="F1103" t="s">
        <v>171</v>
      </c>
      <c r="G1103" t="s">
        <v>172</v>
      </c>
      <c r="H1103" t="s">
        <v>173</v>
      </c>
      <c r="I1103" t="s">
        <v>621</v>
      </c>
      <c r="J1103" s="23">
        <v>-19.989999999999998</v>
      </c>
      <c r="K1103" t="str">
        <f t="shared" si="63"/>
        <v>juillet</v>
      </c>
      <c r="L1103" t="str">
        <f t="shared" si="64"/>
        <v>Dépenses</v>
      </c>
    </row>
    <row r="1104" spans="1:12" ht="11.25" customHeight="1" x14ac:dyDescent="0.2">
      <c r="A1104" t="s">
        <v>94</v>
      </c>
      <c r="B1104" s="4" t="s">
        <v>70</v>
      </c>
      <c r="C1104" s="7" t="s">
        <v>1054</v>
      </c>
      <c r="D1104" s="2">
        <v>43656</v>
      </c>
      <c r="E1104" s="2">
        <f t="shared" si="65"/>
        <v>43656</v>
      </c>
      <c r="F1104" t="s">
        <v>202</v>
      </c>
      <c r="G1104" t="s">
        <v>307</v>
      </c>
      <c r="H1104" t="s">
        <v>658</v>
      </c>
      <c r="I1104" t="s">
        <v>621</v>
      </c>
      <c r="J1104" s="23">
        <v>-15</v>
      </c>
      <c r="K1104" t="str">
        <f t="shared" si="63"/>
        <v>juillet</v>
      </c>
      <c r="L1104" t="str">
        <f t="shared" si="64"/>
        <v>Dépenses</v>
      </c>
    </row>
    <row r="1105" spans="1:12" ht="11.25" customHeight="1" x14ac:dyDescent="0.2">
      <c r="A1105" t="s">
        <v>94</v>
      </c>
      <c r="B1105" s="4" t="s">
        <v>70</v>
      </c>
      <c r="C1105" s="7" t="s">
        <v>1055</v>
      </c>
      <c r="D1105" s="2">
        <v>43656</v>
      </c>
      <c r="E1105" s="2">
        <f t="shared" si="65"/>
        <v>43656</v>
      </c>
      <c r="F1105" t="s">
        <v>204</v>
      </c>
      <c r="G1105" t="s">
        <v>307</v>
      </c>
      <c r="H1105" t="s">
        <v>660</v>
      </c>
      <c r="I1105" t="s">
        <v>621</v>
      </c>
      <c r="J1105" s="23">
        <v>-15</v>
      </c>
      <c r="K1105" t="str">
        <f t="shared" si="63"/>
        <v>juillet</v>
      </c>
      <c r="L1105" t="str">
        <f t="shared" si="64"/>
        <v>Dépenses</v>
      </c>
    </row>
    <row r="1106" spans="1:12" x14ac:dyDescent="0.2">
      <c r="A1106" t="s">
        <v>108</v>
      </c>
      <c r="B1106" s="4" t="s">
        <v>70</v>
      </c>
      <c r="C1106" s="7" t="s">
        <v>1056</v>
      </c>
      <c r="D1106" s="2">
        <v>43656</v>
      </c>
      <c r="E1106" s="2">
        <f t="shared" si="65"/>
        <v>43656</v>
      </c>
      <c r="F1106" t="s">
        <v>198</v>
      </c>
      <c r="G1106" t="s">
        <v>199</v>
      </c>
      <c r="H1106" t="s">
        <v>200</v>
      </c>
      <c r="I1106" t="s">
        <v>621</v>
      </c>
      <c r="J1106" s="23">
        <v>700</v>
      </c>
      <c r="K1106" t="str">
        <f t="shared" si="63"/>
        <v>juillet</v>
      </c>
      <c r="L1106" t="str">
        <f t="shared" si="64"/>
        <v>Recettes</v>
      </c>
    </row>
    <row r="1107" spans="1:12" x14ac:dyDescent="0.2">
      <c r="A1107" t="s">
        <v>658</v>
      </c>
      <c r="B1107" t="s">
        <v>70</v>
      </c>
      <c r="D1107" s="2">
        <v>43656</v>
      </c>
      <c r="E1107" s="2">
        <f t="shared" si="65"/>
        <v>43656</v>
      </c>
      <c r="F1107" t="s">
        <v>659</v>
      </c>
      <c r="G1107" t="s">
        <v>307</v>
      </c>
      <c r="H1107" t="s">
        <v>87</v>
      </c>
      <c r="I1107" t="s">
        <v>621</v>
      </c>
      <c r="J1107" s="22">
        <v>15</v>
      </c>
      <c r="K1107" t="str">
        <f t="shared" si="63"/>
        <v>juillet</v>
      </c>
      <c r="L1107" t="str">
        <f t="shared" si="64"/>
        <v>Recettes</v>
      </c>
    </row>
    <row r="1108" spans="1:12" x14ac:dyDescent="0.2">
      <c r="A1108" t="s">
        <v>660</v>
      </c>
      <c r="B1108" t="s">
        <v>70</v>
      </c>
      <c r="D1108" s="2">
        <v>43656</v>
      </c>
      <c r="E1108" s="2">
        <f t="shared" si="65"/>
        <v>43656</v>
      </c>
      <c r="F1108" t="s">
        <v>661</v>
      </c>
      <c r="G1108" t="s">
        <v>307</v>
      </c>
      <c r="H1108" t="s">
        <v>87</v>
      </c>
      <c r="I1108" t="s">
        <v>621</v>
      </c>
      <c r="J1108" s="22">
        <v>15</v>
      </c>
      <c r="K1108" t="str">
        <f t="shared" si="63"/>
        <v>juillet</v>
      </c>
      <c r="L1108" t="str">
        <f t="shared" si="64"/>
        <v>Recettes</v>
      </c>
    </row>
    <row r="1109" spans="1:12" x14ac:dyDescent="0.2">
      <c r="A1109" t="s">
        <v>108</v>
      </c>
      <c r="B1109" s="4" t="s">
        <v>70</v>
      </c>
      <c r="C1109" s="7" t="s">
        <v>1057</v>
      </c>
      <c r="D1109" s="2">
        <v>43656</v>
      </c>
      <c r="E1109" s="2">
        <f t="shared" si="65"/>
        <v>43656</v>
      </c>
      <c r="F1109" t="s">
        <v>206</v>
      </c>
      <c r="G1109" t="s">
        <v>111</v>
      </c>
      <c r="H1109" t="s">
        <v>207</v>
      </c>
      <c r="I1109" t="s">
        <v>621</v>
      </c>
      <c r="J1109" s="22">
        <v>-32.450000000000003</v>
      </c>
      <c r="K1109" t="str">
        <f t="shared" si="63"/>
        <v>juillet</v>
      </c>
      <c r="L1109" t="str">
        <f t="shared" si="64"/>
        <v>Dépenses</v>
      </c>
    </row>
    <row r="1110" spans="1:12" x14ac:dyDescent="0.2">
      <c r="A1110" t="s">
        <v>94</v>
      </c>
      <c r="B1110" s="4" t="s">
        <v>70</v>
      </c>
      <c r="C1110" s="7" t="s">
        <v>1058</v>
      </c>
      <c r="D1110" s="2">
        <v>43658</v>
      </c>
      <c r="E1110" s="2">
        <f t="shared" si="65"/>
        <v>43658</v>
      </c>
      <c r="F1110" t="s">
        <v>175</v>
      </c>
      <c r="G1110" t="s">
        <v>172</v>
      </c>
      <c r="H1110" t="s">
        <v>176</v>
      </c>
      <c r="I1110" t="s">
        <v>621</v>
      </c>
      <c r="J1110" s="23">
        <v>-35</v>
      </c>
      <c r="K1110" t="str">
        <f t="shared" si="63"/>
        <v>juillet</v>
      </c>
      <c r="L1110" t="str">
        <f t="shared" si="64"/>
        <v>Dépenses</v>
      </c>
    </row>
    <row r="1111" spans="1:12" x14ac:dyDescent="0.2">
      <c r="A1111" t="s">
        <v>94</v>
      </c>
      <c r="B1111" s="4" t="s">
        <v>70</v>
      </c>
      <c r="C1111" s="8" t="s">
        <v>1059</v>
      </c>
      <c r="D1111" s="2">
        <v>43661</v>
      </c>
      <c r="E1111" s="2">
        <f t="shared" si="65"/>
        <v>43661</v>
      </c>
      <c r="F1111" s="4" t="s">
        <v>232</v>
      </c>
      <c r="G1111" s="4" t="s">
        <v>79</v>
      </c>
      <c r="H1111" s="4" t="s">
        <v>233</v>
      </c>
      <c r="I1111" t="s">
        <v>621</v>
      </c>
      <c r="J1111" s="23">
        <v>-22.5</v>
      </c>
      <c r="K1111" t="str">
        <f t="shared" si="63"/>
        <v>juillet</v>
      </c>
      <c r="L1111" t="str">
        <f t="shared" si="64"/>
        <v>Dépenses</v>
      </c>
    </row>
    <row r="1112" spans="1:12" ht="15" customHeight="1" x14ac:dyDescent="0.2">
      <c r="A1112" t="s">
        <v>94</v>
      </c>
      <c r="B1112" t="s">
        <v>70</v>
      </c>
      <c r="C1112" s="1" t="s">
        <v>954</v>
      </c>
      <c r="D1112" s="2">
        <v>43661</v>
      </c>
      <c r="E1112" s="2">
        <f t="shared" si="65"/>
        <v>43661</v>
      </c>
      <c r="F1112" t="s">
        <v>958</v>
      </c>
      <c r="G1112" t="s">
        <v>158</v>
      </c>
      <c r="H1112" t="s">
        <v>956</v>
      </c>
      <c r="I1112" t="s">
        <v>621</v>
      </c>
      <c r="J1112" s="22">
        <v>-49.82</v>
      </c>
      <c r="K1112" t="str">
        <f t="shared" si="63"/>
        <v>juillet</v>
      </c>
      <c r="L1112" t="str">
        <f t="shared" si="64"/>
        <v>Dépenses</v>
      </c>
    </row>
    <row r="1113" spans="1:12" x14ac:dyDescent="0.2">
      <c r="A1113" t="s">
        <v>94</v>
      </c>
      <c r="B1113" s="4" t="s">
        <v>70</v>
      </c>
      <c r="C1113" s="7" t="s">
        <v>1060</v>
      </c>
      <c r="D1113" s="2">
        <v>43662</v>
      </c>
      <c r="E1113" s="2">
        <f t="shared" si="65"/>
        <v>43662</v>
      </c>
      <c r="F1113" s="4" t="s">
        <v>240</v>
      </c>
      <c r="G1113" s="4" t="s">
        <v>73</v>
      </c>
      <c r="H1113" s="4" t="s">
        <v>241</v>
      </c>
      <c r="I1113" t="s">
        <v>621</v>
      </c>
      <c r="J1113" s="23">
        <v>-164.14</v>
      </c>
      <c r="K1113" t="str">
        <f t="shared" si="63"/>
        <v>juillet</v>
      </c>
      <c r="L1113" t="str">
        <f t="shared" si="64"/>
        <v>Dépenses</v>
      </c>
    </row>
    <row r="1114" spans="1:12" ht="11.25" customHeight="1" x14ac:dyDescent="0.2">
      <c r="A1114" t="s">
        <v>94</v>
      </c>
      <c r="B1114" s="4" t="s">
        <v>70</v>
      </c>
      <c r="C1114" s="7" t="s">
        <v>1061</v>
      </c>
      <c r="D1114" s="2">
        <v>43662</v>
      </c>
      <c r="E1114" s="2">
        <f t="shared" si="65"/>
        <v>43662</v>
      </c>
      <c r="F1114" t="s">
        <v>243</v>
      </c>
      <c r="G1114" t="s">
        <v>244</v>
      </c>
      <c r="H1114" t="s">
        <v>245</v>
      </c>
      <c r="I1114" t="s">
        <v>621</v>
      </c>
      <c r="J1114" s="23">
        <v>-35</v>
      </c>
      <c r="K1114" t="str">
        <f t="shared" si="63"/>
        <v>juillet</v>
      </c>
      <c r="L1114" t="str">
        <f t="shared" si="64"/>
        <v>Dépenses</v>
      </c>
    </row>
    <row r="1115" spans="1:12" ht="11.25" customHeight="1" x14ac:dyDescent="0.2">
      <c r="A1115" t="s">
        <v>94</v>
      </c>
      <c r="B1115" s="4" t="s">
        <v>70</v>
      </c>
      <c r="C1115" s="7" t="s">
        <v>1062</v>
      </c>
      <c r="D1115" s="2">
        <v>43662</v>
      </c>
      <c r="E1115" s="2">
        <f t="shared" si="65"/>
        <v>43662</v>
      </c>
      <c r="F1115" t="s">
        <v>247</v>
      </c>
      <c r="G1115" t="s">
        <v>134</v>
      </c>
      <c r="H1115" t="s">
        <v>319</v>
      </c>
      <c r="I1115" t="s">
        <v>621</v>
      </c>
      <c r="J1115" s="23">
        <v>-40</v>
      </c>
      <c r="K1115" t="str">
        <f t="shared" si="63"/>
        <v>juillet</v>
      </c>
      <c r="L1115" t="str">
        <f t="shared" si="64"/>
        <v>Dépenses</v>
      </c>
    </row>
    <row r="1116" spans="1:12" ht="11.25" customHeight="1" x14ac:dyDescent="0.2">
      <c r="A1116" t="s">
        <v>94</v>
      </c>
      <c r="B1116" s="4" t="s">
        <v>70</v>
      </c>
      <c r="C1116" s="7" t="s">
        <v>1063</v>
      </c>
      <c r="D1116" s="2">
        <v>43662</v>
      </c>
      <c r="E1116" s="2">
        <f t="shared" si="65"/>
        <v>43662</v>
      </c>
      <c r="F1116" t="s">
        <v>249</v>
      </c>
      <c r="G1116" t="s">
        <v>134</v>
      </c>
      <c r="H1116" t="s">
        <v>319</v>
      </c>
      <c r="I1116" t="s">
        <v>621</v>
      </c>
      <c r="J1116" s="23">
        <v>-40</v>
      </c>
      <c r="K1116" t="str">
        <f t="shared" si="63"/>
        <v>juillet</v>
      </c>
      <c r="L1116" t="str">
        <f t="shared" si="64"/>
        <v>Dépenses</v>
      </c>
    </row>
    <row r="1117" spans="1:12" ht="11.25" customHeight="1" x14ac:dyDescent="0.2">
      <c r="A1117" t="s">
        <v>69</v>
      </c>
      <c r="B1117" s="4" t="s">
        <v>70</v>
      </c>
      <c r="C1117" s="7" t="s">
        <v>1064</v>
      </c>
      <c r="D1117" s="2">
        <v>43670</v>
      </c>
      <c r="E1117" s="2">
        <f t="shared" si="65"/>
        <v>43670</v>
      </c>
      <c r="F1117" t="s">
        <v>285</v>
      </c>
      <c r="G1117" t="s">
        <v>199</v>
      </c>
      <c r="H1117" t="s">
        <v>74</v>
      </c>
      <c r="I1117" t="s">
        <v>621</v>
      </c>
      <c r="J1117" s="23">
        <v>2900</v>
      </c>
      <c r="K1117" t="str">
        <f t="shared" si="63"/>
        <v>juillet</v>
      </c>
      <c r="L1117" t="str">
        <f t="shared" si="64"/>
        <v>Recettes</v>
      </c>
    </row>
    <row r="1118" spans="1:12" ht="15" customHeight="1" x14ac:dyDescent="0.2">
      <c r="A1118" t="s">
        <v>69</v>
      </c>
      <c r="B1118" s="4" t="s">
        <v>70</v>
      </c>
      <c r="C1118" s="7" t="s">
        <v>458</v>
      </c>
      <c r="D1118" s="2">
        <v>43671</v>
      </c>
      <c r="E1118" s="2">
        <f t="shared" si="65"/>
        <v>43671</v>
      </c>
      <c r="F1118" t="s">
        <v>102</v>
      </c>
      <c r="G1118" t="s">
        <v>459</v>
      </c>
      <c r="H1118" t="s">
        <v>94</v>
      </c>
      <c r="I1118" t="s">
        <v>621</v>
      </c>
      <c r="J1118" s="23">
        <v>-860</v>
      </c>
      <c r="K1118" t="str">
        <f t="shared" si="63"/>
        <v>juillet</v>
      </c>
      <c r="L1118" t="str">
        <f t="shared" si="64"/>
        <v>Dépenses</v>
      </c>
    </row>
    <row r="1119" spans="1:12" ht="11.25" customHeight="1" x14ac:dyDescent="0.2">
      <c r="A1119" t="s">
        <v>94</v>
      </c>
      <c r="B1119" s="4" t="s">
        <v>70</v>
      </c>
      <c r="C1119" s="7" t="s">
        <v>458</v>
      </c>
      <c r="D1119" s="2">
        <v>43671</v>
      </c>
      <c r="E1119" s="2">
        <f t="shared" si="65"/>
        <v>43671</v>
      </c>
      <c r="F1119" t="s">
        <v>135</v>
      </c>
      <c r="G1119" t="s">
        <v>459</v>
      </c>
      <c r="H1119" t="s">
        <v>69</v>
      </c>
      <c r="I1119" t="s">
        <v>621</v>
      </c>
      <c r="J1119" s="23">
        <v>860</v>
      </c>
      <c r="K1119" t="str">
        <f t="shared" si="63"/>
        <v>juillet</v>
      </c>
      <c r="L1119" t="str">
        <f t="shared" si="64"/>
        <v>Recettes</v>
      </c>
    </row>
    <row r="1120" spans="1:12" ht="15" customHeight="1" x14ac:dyDescent="0.2">
      <c r="A1120" t="s">
        <v>94</v>
      </c>
      <c r="B1120" t="s">
        <v>70</v>
      </c>
      <c r="D1120" s="2">
        <v>43671</v>
      </c>
      <c r="E1120" s="2">
        <f t="shared" si="65"/>
        <v>43671</v>
      </c>
      <c r="F1120" t="s">
        <v>460</v>
      </c>
      <c r="G1120" t="s">
        <v>127</v>
      </c>
      <c r="H1120" t="s">
        <v>88</v>
      </c>
      <c r="I1120" t="s">
        <v>621</v>
      </c>
      <c r="J1120" s="22">
        <v>-70</v>
      </c>
      <c r="K1120" t="str">
        <f t="shared" si="63"/>
        <v>juillet</v>
      </c>
      <c r="L1120" t="str">
        <f t="shared" si="64"/>
        <v>Dépenses</v>
      </c>
    </row>
    <row r="1121" spans="1:12" ht="15" customHeight="1" x14ac:dyDescent="0.2">
      <c r="A1121" t="s">
        <v>94</v>
      </c>
      <c r="B1121" t="s">
        <v>70</v>
      </c>
      <c r="D1121" s="2">
        <v>43671</v>
      </c>
      <c r="E1121" s="2">
        <f t="shared" si="65"/>
        <v>43671</v>
      </c>
      <c r="F1121" t="s">
        <v>461</v>
      </c>
      <c r="G1121" t="s">
        <v>28</v>
      </c>
      <c r="H1121" t="s">
        <v>88</v>
      </c>
      <c r="I1121" t="s">
        <v>621</v>
      </c>
      <c r="J1121" s="22">
        <v>-30</v>
      </c>
      <c r="K1121" t="str">
        <f t="shared" si="63"/>
        <v>juillet</v>
      </c>
      <c r="L1121" t="str">
        <f t="shared" si="64"/>
        <v>Dépenses</v>
      </c>
    </row>
    <row r="1122" spans="1:12" ht="15" customHeight="1" x14ac:dyDescent="0.2">
      <c r="A1122" t="s">
        <v>94</v>
      </c>
      <c r="B1122" t="s">
        <v>70</v>
      </c>
      <c r="D1122" s="2">
        <v>43671</v>
      </c>
      <c r="E1122" s="2">
        <f t="shared" si="65"/>
        <v>43671</v>
      </c>
      <c r="F1122" t="s">
        <v>462</v>
      </c>
      <c r="G1122" t="s">
        <v>254</v>
      </c>
      <c r="H1122" t="s">
        <v>88</v>
      </c>
      <c r="I1122" t="s">
        <v>621</v>
      </c>
      <c r="J1122" s="22">
        <v>-100</v>
      </c>
      <c r="K1122" t="str">
        <f t="shared" si="63"/>
        <v>juillet</v>
      </c>
      <c r="L1122" t="str">
        <f t="shared" si="64"/>
        <v>Dépenses</v>
      </c>
    </row>
    <row r="1123" spans="1:12" ht="15" customHeight="1" x14ac:dyDescent="0.2">
      <c r="A1123" t="s">
        <v>94</v>
      </c>
      <c r="B1123" t="s">
        <v>70</v>
      </c>
      <c r="D1123" s="2">
        <v>43671</v>
      </c>
      <c r="E1123" s="2">
        <f t="shared" si="65"/>
        <v>43671</v>
      </c>
      <c r="F1123" t="s">
        <v>463</v>
      </c>
      <c r="G1123" t="s">
        <v>270</v>
      </c>
      <c r="H1123" t="s">
        <v>88</v>
      </c>
      <c r="I1123" t="s">
        <v>621</v>
      </c>
      <c r="J1123" s="22">
        <v>-70</v>
      </c>
      <c r="K1123" t="str">
        <f t="shared" si="63"/>
        <v>juillet</v>
      </c>
      <c r="L1123" t="str">
        <f t="shared" si="64"/>
        <v>Dépenses</v>
      </c>
    </row>
    <row r="1124" spans="1:12" ht="11.25" customHeight="1" x14ac:dyDescent="0.2">
      <c r="A1124" t="s">
        <v>94</v>
      </c>
      <c r="B1124" t="s">
        <v>70</v>
      </c>
      <c r="D1124" s="2">
        <v>43671</v>
      </c>
      <c r="E1124" s="2">
        <f t="shared" si="65"/>
        <v>43671</v>
      </c>
      <c r="F1124" t="s">
        <v>464</v>
      </c>
      <c r="G1124" t="s">
        <v>118</v>
      </c>
      <c r="H1124" t="s">
        <v>88</v>
      </c>
      <c r="I1124" t="s">
        <v>621</v>
      </c>
      <c r="J1124" s="22">
        <v>-150</v>
      </c>
      <c r="K1124" t="str">
        <f t="shared" si="63"/>
        <v>juillet</v>
      </c>
      <c r="L1124" t="str">
        <f t="shared" si="64"/>
        <v>Dépenses</v>
      </c>
    </row>
    <row r="1125" spans="1:12" ht="11.25" customHeight="1" x14ac:dyDescent="0.2">
      <c r="A1125" t="s">
        <v>94</v>
      </c>
      <c r="B1125" t="s">
        <v>70</v>
      </c>
      <c r="D1125" s="2">
        <v>43671</v>
      </c>
      <c r="E1125" s="2">
        <f t="shared" si="65"/>
        <v>43671</v>
      </c>
      <c r="F1125" t="s">
        <v>465</v>
      </c>
      <c r="G1125" t="s">
        <v>16</v>
      </c>
      <c r="H1125" t="s">
        <v>88</v>
      </c>
      <c r="I1125" t="s">
        <v>621</v>
      </c>
      <c r="J1125" s="22">
        <v>-60</v>
      </c>
      <c r="K1125" t="str">
        <f t="shared" si="63"/>
        <v>juillet</v>
      </c>
      <c r="L1125" t="str">
        <f t="shared" si="64"/>
        <v>Dépenses</v>
      </c>
    </row>
    <row r="1126" spans="1:12" ht="11.25" customHeight="1" x14ac:dyDescent="0.2">
      <c r="A1126" t="s">
        <v>94</v>
      </c>
      <c r="B1126" t="s">
        <v>70</v>
      </c>
      <c r="D1126" s="2">
        <v>43671</v>
      </c>
      <c r="E1126" s="2">
        <f t="shared" si="65"/>
        <v>43671</v>
      </c>
      <c r="F1126" t="s">
        <v>466</v>
      </c>
      <c r="G1126" t="s">
        <v>111</v>
      </c>
      <c r="H1126" t="s">
        <v>88</v>
      </c>
      <c r="I1126" t="s">
        <v>621</v>
      </c>
      <c r="J1126" s="22">
        <v>-120</v>
      </c>
      <c r="K1126" t="str">
        <f t="shared" si="63"/>
        <v>juillet</v>
      </c>
      <c r="L1126" t="str">
        <f t="shared" si="64"/>
        <v>Dépenses</v>
      </c>
    </row>
    <row r="1127" spans="1:12" ht="11.25" customHeight="1" x14ac:dyDescent="0.2">
      <c r="A1127" t="s">
        <v>94</v>
      </c>
      <c r="B1127" t="s">
        <v>70</v>
      </c>
      <c r="D1127" s="2">
        <v>43671</v>
      </c>
      <c r="E1127" s="2">
        <f t="shared" si="65"/>
        <v>43671</v>
      </c>
      <c r="F1127" t="s">
        <v>467</v>
      </c>
      <c r="G1127" t="s">
        <v>229</v>
      </c>
      <c r="H1127" t="s">
        <v>88</v>
      </c>
      <c r="I1127" t="s">
        <v>621</v>
      </c>
      <c r="J1127" s="22">
        <v>-60</v>
      </c>
      <c r="K1127" t="str">
        <f t="shared" si="63"/>
        <v>juillet</v>
      </c>
      <c r="L1127" t="str">
        <f t="shared" si="64"/>
        <v>Dépenses</v>
      </c>
    </row>
    <row r="1128" spans="1:12" ht="11.25" customHeight="1" x14ac:dyDescent="0.2">
      <c r="A1128" t="s">
        <v>94</v>
      </c>
      <c r="B1128" t="s">
        <v>70</v>
      </c>
      <c r="D1128" s="2">
        <v>43671</v>
      </c>
      <c r="E1128" s="2">
        <f t="shared" si="65"/>
        <v>43671</v>
      </c>
      <c r="F1128" t="s">
        <v>469</v>
      </c>
      <c r="G1128" t="s">
        <v>52</v>
      </c>
      <c r="H1128" t="s">
        <v>88</v>
      </c>
      <c r="I1128" t="s">
        <v>621</v>
      </c>
      <c r="J1128" s="22">
        <v>-100</v>
      </c>
      <c r="K1128" t="str">
        <f t="shared" si="63"/>
        <v>juillet</v>
      </c>
      <c r="L1128" t="str">
        <f t="shared" si="64"/>
        <v>Dépenses</v>
      </c>
    </row>
    <row r="1129" spans="1:12" ht="11.25" customHeight="1" x14ac:dyDescent="0.2">
      <c r="A1129" t="s">
        <v>94</v>
      </c>
      <c r="B1129" t="s">
        <v>70</v>
      </c>
      <c r="D1129" s="2">
        <v>43671</v>
      </c>
      <c r="E1129" s="2">
        <f t="shared" si="65"/>
        <v>43671</v>
      </c>
      <c r="F1129" t="s">
        <v>470</v>
      </c>
      <c r="G1129" t="s">
        <v>39</v>
      </c>
      <c r="H1129" t="s">
        <v>88</v>
      </c>
      <c r="I1129" t="s">
        <v>621</v>
      </c>
      <c r="J1129" s="22">
        <v>-100</v>
      </c>
      <c r="K1129" t="str">
        <f t="shared" si="63"/>
        <v>juillet</v>
      </c>
      <c r="L1129" t="str">
        <f t="shared" si="64"/>
        <v>Dépenses</v>
      </c>
    </row>
    <row r="1130" spans="1:12" ht="11.25" customHeight="1" x14ac:dyDescent="0.2">
      <c r="A1130" t="s">
        <v>88</v>
      </c>
      <c r="B1130" t="s">
        <v>70</v>
      </c>
      <c r="D1130" s="2">
        <v>43671</v>
      </c>
      <c r="E1130" s="2">
        <f t="shared" si="65"/>
        <v>43671</v>
      </c>
      <c r="F1130" t="s">
        <v>471</v>
      </c>
      <c r="G1130" t="s">
        <v>76</v>
      </c>
      <c r="H1130" t="s">
        <v>94</v>
      </c>
      <c r="I1130" t="s">
        <v>621</v>
      </c>
      <c r="J1130" s="22">
        <v>860</v>
      </c>
      <c r="K1130" t="str">
        <f t="shared" si="63"/>
        <v>juillet</v>
      </c>
      <c r="L1130" t="str">
        <f t="shared" si="64"/>
        <v>Recettes</v>
      </c>
    </row>
    <row r="1131" spans="1:12" ht="11.25" customHeight="1" x14ac:dyDescent="0.2">
      <c r="A1131" t="s">
        <v>69</v>
      </c>
      <c r="B1131" t="s">
        <v>137</v>
      </c>
      <c r="C1131" s="7" t="s">
        <v>1065</v>
      </c>
      <c r="D1131" s="2">
        <v>43671</v>
      </c>
      <c r="E1131" s="2">
        <f t="shared" si="65"/>
        <v>43671</v>
      </c>
      <c r="F1131" t="s">
        <v>291</v>
      </c>
      <c r="G1131" t="s">
        <v>79</v>
      </c>
      <c r="H1131" t="s">
        <v>292</v>
      </c>
      <c r="I1131" t="s">
        <v>621</v>
      </c>
      <c r="J1131" s="22">
        <v>-2.38</v>
      </c>
      <c r="K1131" t="str">
        <f t="shared" si="63"/>
        <v>juillet</v>
      </c>
      <c r="L1131" t="str">
        <f t="shared" si="64"/>
        <v>Dépenses</v>
      </c>
    </row>
    <row r="1132" spans="1:12" ht="11.25" customHeight="1" x14ac:dyDescent="0.2">
      <c r="A1132" t="s">
        <v>69</v>
      </c>
      <c r="B1132" s="4" t="s">
        <v>70</v>
      </c>
      <c r="C1132" s="7" t="s">
        <v>1047</v>
      </c>
      <c r="D1132" s="2">
        <v>43674</v>
      </c>
      <c r="E1132" s="2">
        <f t="shared" si="65"/>
        <v>43674</v>
      </c>
      <c r="F1132" t="s">
        <v>147</v>
      </c>
      <c r="G1132" t="s">
        <v>115</v>
      </c>
      <c r="H1132" t="s">
        <v>148</v>
      </c>
      <c r="I1132" t="s">
        <v>621</v>
      </c>
      <c r="J1132" s="23">
        <v>-50</v>
      </c>
      <c r="K1132" t="str">
        <f t="shared" si="63"/>
        <v>juillet</v>
      </c>
      <c r="L1132" t="str">
        <f t="shared" si="64"/>
        <v>Dépenses</v>
      </c>
    </row>
    <row r="1133" spans="1:12" ht="11.25" customHeight="1" x14ac:dyDescent="0.2">
      <c r="A1133" t="s">
        <v>94</v>
      </c>
      <c r="B1133" s="4" t="s">
        <v>70</v>
      </c>
      <c r="C1133" s="7" t="s">
        <v>1066</v>
      </c>
      <c r="D1133" s="2">
        <v>43674</v>
      </c>
      <c r="E1133" s="2">
        <f t="shared" si="65"/>
        <v>43674</v>
      </c>
      <c r="F1133" t="s">
        <v>317</v>
      </c>
      <c r="G1133" t="s">
        <v>318</v>
      </c>
      <c r="H1133" t="s">
        <v>319</v>
      </c>
      <c r="I1133" t="s">
        <v>621</v>
      </c>
      <c r="J1133" s="22">
        <v>-80.33</v>
      </c>
      <c r="K1133" t="str">
        <f t="shared" si="63"/>
        <v>juillet</v>
      </c>
      <c r="L1133" t="str">
        <f t="shared" si="64"/>
        <v>Dépenses</v>
      </c>
    </row>
    <row r="1134" spans="1:12" ht="11.25" customHeight="1" x14ac:dyDescent="0.2">
      <c r="A1134" t="s">
        <v>108</v>
      </c>
      <c r="B1134" s="4" t="s">
        <v>70</v>
      </c>
      <c r="C1134" s="7" t="s">
        <v>1067</v>
      </c>
      <c r="D1134" s="2">
        <v>43676</v>
      </c>
      <c r="E1134" s="2">
        <f t="shared" si="65"/>
        <v>43676</v>
      </c>
      <c r="F1134" t="s">
        <v>184</v>
      </c>
      <c r="G1134" t="s">
        <v>106</v>
      </c>
      <c r="H1134" t="s">
        <v>185</v>
      </c>
      <c r="I1134" t="s">
        <v>621</v>
      </c>
      <c r="J1134" s="23">
        <v>-0.99</v>
      </c>
      <c r="K1134" t="str">
        <f t="shared" si="63"/>
        <v>juillet</v>
      </c>
      <c r="L1134" t="str">
        <f t="shared" si="64"/>
        <v>Dépenses</v>
      </c>
    </row>
    <row r="1135" spans="1:12" ht="11.25" customHeight="1" x14ac:dyDescent="0.2">
      <c r="A1135" t="s">
        <v>69</v>
      </c>
      <c r="B1135" s="4" t="s">
        <v>70</v>
      </c>
      <c r="C1135" s="7" t="s">
        <v>1068</v>
      </c>
      <c r="D1135" s="2">
        <v>43677</v>
      </c>
      <c r="E1135" s="2">
        <f t="shared" si="65"/>
        <v>43677</v>
      </c>
      <c r="F1135" t="s">
        <v>327</v>
      </c>
      <c r="G1135" t="s">
        <v>328</v>
      </c>
      <c r="H1135" t="s">
        <v>329</v>
      </c>
      <c r="I1135" t="s">
        <v>621</v>
      </c>
      <c r="J1135" s="22">
        <v>-12</v>
      </c>
      <c r="K1135" t="str">
        <f t="shared" si="63"/>
        <v>juillet</v>
      </c>
      <c r="L1135" t="str">
        <f t="shared" si="64"/>
        <v>Dépenses</v>
      </c>
    </row>
    <row r="1136" spans="1:12" ht="11.25" customHeight="1" x14ac:dyDescent="0.2">
      <c r="A1136" t="s">
        <v>69</v>
      </c>
      <c r="B1136" s="4" t="s">
        <v>70</v>
      </c>
      <c r="C1136" s="5" t="s">
        <v>1069</v>
      </c>
      <c r="D1136" s="2">
        <v>43678</v>
      </c>
      <c r="E1136" s="2">
        <f t="shared" si="65"/>
        <v>43678</v>
      </c>
      <c r="F1136" t="s">
        <v>72</v>
      </c>
      <c r="G1136" t="s">
        <v>73</v>
      </c>
      <c r="H1136" t="s">
        <v>74</v>
      </c>
      <c r="I1136" t="s">
        <v>621</v>
      </c>
      <c r="J1136" s="23">
        <v>-500</v>
      </c>
      <c r="K1136" t="str">
        <f t="shared" si="63"/>
        <v>août</v>
      </c>
      <c r="L1136" t="str">
        <f t="shared" si="64"/>
        <v>Dépenses</v>
      </c>
    </row>
    <row r="1137" spans="1:12" ht="11.25" customHeight="1" x14ac:dyDescent="0.2">
      <c r="A1137" t="s">
        <v>75</v>
      </c>
      <c r="B1137" s="4" t="s">
        <v>70</v>
      </c>
      <c r="C1137" s="5" t="s">
        <v>1069</v>
      </c>
      <c r="D1137" s="2">
        <v>43678</v>
      </c>
      <c r="E1137" s="2">
        <f t="shared" si="65"/>
        <v>43678</v>
      </c>
      <c r="F1137" t="s">
        <v>72</v>
      </c>
      <c r="G1137" t="s">
        <v>76</v>
      </c>
      <c r="H1137" t="s">
        <v>74</v>
      </c>
      <c r="I1137" t="s">
        <v>621</v>
      </c>
      <c r="J1137" s="23">
        <v>500</v>
      </c>
      <c r="K1137" t="str">
        <f t="shared" si="63"/>
        <v>août</v>
      </c>
      <c r="L1137" t="str">
        <f t="shared" si="64"/>
        <v>Recettes</v>
      </c>
    </row>
    <row r="1138" spans="1:12" ht="11.25" customHeight="1" x14ac:dyDescent="0.2">
      <c r="A1138" t="s">
        <v>658</v>
      </c>
      <c r="B1138" t="s">
        <v>70</v>
      </c>
      <c r="D1138" s="2">
        <v>43678</v>
      </c>
      <c r="E1138" s="2">
        <f t="shared" si="65"/>
        <v>43678</v>
      </c>
      <c r="F1138" t="s">
        <v>659</v>
      </c>
      <c r="G1138" t="s">
        <v>76</v>
      </c>
      <c r="H1138" t="s">
        <v>87</v>
      </c>
      <c r="I1138" t="s">
        <v>621</v>
      </c>
      <c r="J1138" s="22">
        <v>-15</v>
      </c>
      <c r="K1138" t="str">
        <f t="shared" si="63"/>
        <v>août</v>
      </c>
      <c r="L1138" t="str">
        <f t="shared" si="64"/>
        <v>Dépenses</v>
      </c>
    </row>
    <row r="1139" spans="1:12" ht="11.25" customHeight="1" x14ac:dyDescent="0.2">
      <c r="A1139" t="s">
        <v>660</v>
      </c>
      <c r="B1139" t="s">
        <v>70</v>
      </c>
      <c r="D1139" s="2">
        <v>43678</v>
      </c>
      <c r="E1139" s="2">
        <f t="shared" si="65"/>
        <v>43678</v>
      </c>
      <c r="F1139" t="s">
        <v>661</v>
      </c>
      <c r="G1139" t="s">
        <v>76</v>
      </c>
      <c r="H1139" t="s">
        <v>87</v>
      </c>
      <c r="I1139" t="s">
        <v>621</v>
      </c>
      <c r="J1139" s="22">
        <v>-15</v>
      </c>
      <c r="K1139" t="str">
        <f t="shared" si="63"/>
        <v>août</v>
      </c>
      <c r="L1139" t="str">
        <f t="shared" si="64"/>
        <v>Dépenses</v>
      </c>
    </row>
    <row r="1140" spans="1:12" ht="11.25" customHeight="1" x14ac:dyDescent="0.2">
      <c r="A1140" t="s">
        <v>94</v>
      </c>
      <c r="B1140" s="4" t="s">
        <v>70</v>
      </c>
      <c r="C1140" s="5" t="s">
        <v>1070</v>
      </c>
      <c r="D1140" s="2">
        <v>43679</v>
      </c>
      <c r="E1140" s="2">
        <f t="shared" si="65"/>
        <v>43679</v>
      </c>
      <c r="F1140" t="s">
        <v>96</v>
      </c>
      <c r="G1140" t="s">
        <v>86</v>
      </c>
      <c r="H1140" t="s">
        <v>87</v>
      </c>
      <c r="I1140" t="s">
        <v>621</v>
      </c>
      <c r="J1140" s="22">
        <v>-6.72</v>
      </c>
      <c r="K1140" t="str">
        <f t="shared" si="63"/>
        <v>août</v>
      </c>
      <c r="L1140" t="str">
        <f t="shared" si="64"/>
        <v>Dépenses</v>
      </c>
    </row>
    <row r="1141" spans="1:12" ht="11.25" customHeight="1" x14ac:dyDescent="0.2">
      <c r="A1141" t="s">
        <v>69</v>
      </c>
      <c r="B1141" s="4" t="s">
        <v>70</v>
      </c>
      <c r="C1141" s="7" t="s">
        <v>1071</v>
      </c>
      <c r="D1141" s="2">
        <v>43679</v>
      </c>
      <c r="E1141" s="2">
        <f t="shared" si="65"/>
        <v>43679</v>
      </c>
      <c r="F1141" t="s">
        <v>98</v>
      </c>
      <c r="G1141" t="s">
        <v>73</v>
      </c>
      <c r="H1141" t="s">
        <v>74</v>
      </c>
      <c r="I1141" t="s">
        <v>621</v>
      </c>
      <c r="J1141" s="23">
        <v>-597</v>
      </c>
      <c r="K1141" t="str">
        <f t="shared" si="63"/>
        <v>août</v>
      </c>
      <c r="L1141" t="str">
        <f t="shared" si="64"/>
        <v>Dépenses</v>
      </c>
    </row>
    <row r="1142" spans="1:12" ht="11.25" customHeight="1" x14ac:dyDescent="0.2">
      <c r="A1142" t="s">
        <v>69</v>
      </c>
      <c r="B1142" s="4" t="s">
        <v>70</v>
      </c>
      <c r="C1142" s="7" t="s">
        <v>1072</v>
      </c>
      <c r="D1142" s="2">
        <v>43679</v>
      </c>
      <c r="E1142" s="2">
        <f t="shared" si="65"/>
        <v>43679</v>
      </c>
      <c r="F1142" t="s">
        <v>100</v>
      </c>
      <c r="G1142" t="s">
        <v>73</v>
      </c>
      <c r="H1142" t="s">
        <v>74</v>
      </c>
      <c r="I1142" t="s">
        <v>621</v>
      </c>
      <c r="J1142" s="23">
        <v>-120</v>
      </c>
      <c r="K1142" t="str">
        <f t="shared" si="63"/>
        <v>août</v>
      </c>
      <c r="L1142" t="str">
        <f t="shared" si="64"/>
        <v>Dépenses</v>
      </c>
    </row>
    <row r="1143" spans="1:12" ht="11.25" customHeight="1" x14ac:dyDescent="0.2">
      <c r="A1143" t="s">
        <v>69</v>
      </c>
      <c r="B1143" s="4" t="s">
        <v>70</v>
      </c>
      <c r="C1143" s="7" t="s">
        <v>1073</v>
      </c>
      <c r="D1143" s="2">
        <v>43679</v>
      </c>
      <c r="E1143" s="2">
        <f t="shared" si="65"/>
        <v>43679</v>
      </c>
      <c r="F1143" t="s">
        <v>102</v>
      </c>
      <c r="G1143" t="s">
        <v>103</v>
      </c>
      <c r="H1143" t="s">
        <v>94</v>
      </c>
      <c r="I1143" t="s">
        <v>621</v>
      </c>
      <c r="J1143" s="23">
        <v>-600</v>
      </c>
      <c r="K1143" t="str">
        <f t="shared" si="63"/>
        <v>août</v>
      </c>
      <c r="L1143" t="str">
        <f t="shared" si="64"/>
        <v>Dépenses</v>
      </c>
    </row>
    <row r="1144" spans="1:12" ht="11.25" customHeight="1" x14ac:dyDescent="0.2">
      <c r="A1144" t="s">
        <v>108</v>
      </c>
      <c r="B1144" s="4" t="s">
        <v>70</v>
      </c>
      <c r="C1144" s="5" t="s">
        <v>1074</v>
      </c>
      <c r="D1144" s="2">
        <v>43679</v>
      </c>
      <c r="E1144" s="2">
        <f t="shared" si="65"/>
        <v>43679</v>
      </c>
      <c r="F1144" t="s">
        <v>96</v>
      </c>
      <c r="G1144" t="s">
        <v>86</v>
      </c>
      <c r="H1144" t="s">
        <v>87</v>
      </c>
      <c r="I1144" t="s">
        <v>621</v>
      </c>
      <c r="J1144" s="22">
        <v>-6.72</v>
      </c>
      <c r="K1144" t="str">
        <f t="shared" si="63"/>
        <v>août</v>
      </c>
      <c r="L1144" t="str">
        <f t="shared" si="64"/>
        <v>Dépenses</v>
      </c>
    </row>
    <row r="1145" spans="1:12" ht="11.25" customHeight="1" x14ac:dyDescent="0.2">
      <c r="A1145" t="s">
        <v>94</v>
      </c>
      <c r="B1145" s="4" t="s">
        <v>70</v>
      </c>
      <c r="C1145" s="7" t="s">
        <v>1073</v>
      </c>
      <c r="D1145" s="2">
        <v>43681</v>
      </c>
      <c r="E1145" s="2">
        <f t="shared" si="65"/>
        <v>43681</v>
      </c>
      <c r="F1145" t="s">
        <v>135</v>
      </c>
      <c r="G1145" t="s">
        <v>103</v>
      </c>
      <c r="H1145" t="s">
        <v>69</v>
      </c>
      <c r="I1145" t="s">
        <v>621</v>
      </c>
      <c r="J1145" s="23">
        <v>600</v>
      </c>
      <c r="K1145" t="str">
        <f t="shared" si="63"/>
        <v>août</v>
      </c>
      <c r="L1145" t="str">
        <f t="shared" si="64"/>
        <v>Recettes</v>
      </c>
    </row>
    <row r="1146" spans="1:12" ht="11.25" customHeight="1" x14ac:dyDescent="0.2">
      <c r="A1146" t="s">
        <v>69</v>
      </c>
      <c r="B1146" s="4" t="s">
        <v>70</v>
      </c>
      <c r="C1146" s="7" t="s">
        <v>1075</v>
      </c>
      <c r="D1146" s="2">
        <v>43681</v>
      </c>
      <c r="E1146" s="2">
        <f t="shared" si="65"/>
        <v>43681</v>
      </c>
      <c r="F1146" t="s">
        <v>105</v>
      </c>
      <c r="G1146" t="s">
        <v>106</v>
      </c>
      <c r="H1146" t="s">
        <v>107</v>
      </c>
      <c r="I1146" t="s">
        <v>621</v>
      </c>
      <c r="J1146" s="23">
        <v>-10.99</v>
      </c>
      <c r="K1146" t="str">
        <f t="shared" si="63"/>
        <v>août</v>
      </c>
      <c r="L1146" t="str">
        <f t="shared" si="64"/>
        <v>Dépenses</v>
      </c>
    </row>
    <row r="1147" spans="1:12" ht="11.25" customHeight="1" x14ac:dyDescent="0.2">
      <c r="A1147" t="s">
        <v>94</v>
      </c>
      <c r="B1147" s="4" t="s">
        <v>70</v>
      </c>
      <c r="C1147" s="7" t="s">
        <v>1076</v>
      </c>
      <c r="D1147" s="2">
        <v>43682</v>
      </c>
      <c r="E1147" s="2">
        <f t="shared" si="65"/>
        <v>43682</v>
      </c>
      <c r="F1147" t="s">
        <v>1014</v>
      </c>
      <c r="G1147" t="s">
        <v>162</v>
      </c>
      <c r="H1147" t="s">
        <v>163</v>
      </c>
      <c r="I1147" t="s">
        <v>621</v>
      </c>
      <c r="J1147" s="23">
        <v>-70</v>
      </c>
      <c r="K1147" t="str">
        <f t="shared" si="63"/>
        <v>août</v>
      </c>
      <c r="L1147" t="str">
        <f t="shared" si="64"/>
        <v>Dépenses</v>
      </c>
    </row>
    <row r="1148" spans="1:12" ht="11.25" customHeight="1" x14ac:dyDescent="0.2">
      <c r="A1148" t="s">
        <v>94</v>
      </c>
      <c r="B1148" s="4" t="s">
        <v>70</v>
      </c>
      <c r="C1148" s="7" t="s">
        <v>1077</v>
      </c>
      <c r="D1148" s="2">
        <v>43682</v>
      </c>
      <c r="E1148" s="2">
        <f t="shared" si="65"/>
        <v>43682</v>
      </c>
      <c r="F1148" t="s">
        <v>143</v>
      </c>
      <c r="G1148" t="s">
        <v>144</v>
      </c>
      <c r="H1148" t="s">
        <v>145</v>
      </c>
      <c r="I1148" t="s">
        <v>621</v>
      </c>
      <c r="J1148" s="23">
        <v>131.16</v>
      </c>
      <c r="K1148" t="str">
        <f t="shared" si="63"/>
        <v>août</v>
      </c>
      <c r="L1148" t="str">
        <f t="shared" si="64"/>
        <v>Recettes</v>
      </c>
    </row>
    <row r="1149" spans="1:12" ht="11.25" customHeight="1" x14ac:dyDescent="0.2">
      <c r="A1149" t="s">
        <v>69</v>
      </c>
      <c r="B1149" s="4" t="s">
        <v>70</v>
      </c>
      <c r="C1149" s="7" t="s">
        <v>1078</v>
      </c>
      <c r="D1149" s="2">
        <v>43682</v>
      </c>
      <c r="E1149" s="2">
        <f t="shared" si="65"/>
        <v>43682</v>
      </c>
      <c r="F1149" t="s">
        <v>147</v>
      </c>
      <c r="G1149" t="s">
        <v>115</v>
      </c>
      <c r="H1149" t="s">
        <v>148</v>
      </c>
      <c r="I1149" t="s">
        <v>621</v>
      </c>
      <c r="J1149" s="23">
        <v>-50</v>
      </c>
      <c r="K1149" t="str">
        <f t="shared" si="63"/>
        <v>août</v>
      </c>
      <c r="L1149" t="str">
        <f t="shared" si="64"/>
        <v>Dépenses</v>
      </c>
    </row>
    <row r="1150" spans="1:12" ht="11.25" customHeight="1" x14ac:dyDescent="0.2">
      <c r="A1150" t="s">
        <v>94</v>
      </c>
      <c r="B1150" t="s">
        <v>70</v>
      </c>
      <c r="D1150" s="2">
        <v>43682</v>
      </c>
      <c r="E1150" s="2">
        <f t="shared" si="65"/>
        <v>43682</v>
      </c>
      <c r="F1150" t="s">
        <v>1017</v>
      </c>
      <c r="G1150" t="s">
        <v>39</v>
      </c>
      <c r="H1150" t="s">
        <v>651</v>
      </c>
      <c r="I1150" t="s">
        <v>621</v>
      </c>
      <c r="J1150" s="22">
        <v>-190</v>
      </c>
      <c r="K1150" t="str">
        <f t="shared" si="63"/>
        <v>août</v>
      </c>
      <c r="L1150" t="str">
        <f t="shared" si="64"/>
        <v>Dépenses</v>
      </c>
    </row>
    <row r="1151" spans="1:12" ht="11.25" customHeight="1" x14ac:dyDescent="0.2">
      <c r="A1151" t="s">
        <v>94</v>
      </c>
      <c r="B1151" s="4" t="s">
        <v>70</v>
      </c>
      <c r="C1151" s="7" t="s">
        <v>1079</v>
      </c>
      <c r="D1151" s="2">
        <v>43683</v>
      </c>
      <c r="E1151" s="2">
        <f t="shared" si="65"/>
        <v>43683</v>
      </c>
      <c r="F1151" t="s">
        <v>157</v>
      </c>
      <c r="G1151" t="s">
        <v>158</v>
      </c>
      <c r="H1151" t="s">
        <v>87</v>
      </c>
      <c r="I1151" t="s">
        <v>621</v>
      </c>
      <c r="J1151" s="23">
        <v>-7.43</v>
      </c>
      <c r="K1151" t="str">
        <f t="shared" si="63"/>
        <v>août</v>
      </c>
      <c r="L1151" t="str">
        <f t="shared" si="64"/>
        <v>Dépenses</v>
      </c>
    </row>
    <row r="1152" spans="1:12" ht="11.25" customHeight="1" x14ac:dyDescent="0.2">
      <c r="A1152" t="s">
        <v>94</v>
      </c>
      <c r="B1152" s="4" t="s">
        <v>70</v>
      </c>
      <c r="C1152" s="7" t="s">
        <v>1080</v>
      </c>
      <c r="D1152" s="2">
        <v>43684</v>
      </c>
      <c r="E1152" s="2">
        <f t="shared" si="65"/>
        <v>43684</v>
      </c>
      <c r="F1152" t="s">
        <v>165</v>
      </c>
      <c r="G1152" t="s">
        <v>158</v>
      </c>
      <c r="H1152" t="s">
        <v>166</v>
      </c>
      <c r="I1152" t="s">
        <v>621</v>
      </c>
      <c r="J1152" s="23">
        <v>-27.35</v>
      </c>
      <c r="K1152" t="str">
        <f t="shared" si="63"/>
        <v>août</v>
      </c>
      <c r="L1152" t="str">
        <f t="shared" si="64"/>
        <v>Dépenses</v>
      </c>
    </row>
    <row r="1153" spans="1:12" ht="11.25" customHeight="1" x14ac:dyDescent="0.2">
      <c r="A1153" t="s">
        <v>94</v>
      </c>
      <c r="B1153" s="4" t="s">
        <v>70</v>
      </c>
      <c r="C1153" s="7" t="s">
        <v>1081</v>
      </c>
      <c r="D1153" s="2">
        <v>43684</v>
      </c>
      <c r="E1153" s="2">
        <f t="shared" si="65"/>
        <v>43684</v>
      </c>
      <c r="F1153" t="s">
        <v>165</v>
      </c>
      <c r="G1153" t="s">
        <v>158</v>
      </c>
      <c r="H1153" t="s">
        <v>166</v>
      </c>
      <c r="I1153" t="s">
        <v>621</v>
      </c>
      <c r="J1153" s="23">
        <v>-25.2</v>
      </c>
      <c r="K1153" t="str">
        <f t="shared" si="63"/>
        <v>août</v>
      </c>
      <c r="L1153" t="str">
        <f t="shared" si="64"/>
        <v>Dépenses</v>
      </c>
    </row>
    <row r="1154" spans="1:12" ht="15" customHeight="1" x14ac:dyDescent="0.2">
      <c r="A1154" t="s">
        <v>94</v>
      </c>
      <c r="B1154" s="4" t="s">
        <v>70</v>
      </c>
      <c r="C1154" s="7" t="s">
        <v>1082</v>
      </c>
      <c r="D1154" s="2">
        <v>43684</v>
      </c>
      <c r="E1154" s="2">
        <f t="shared" si="65"/>
        <v>43684</v>
      </c>
      <c r="F1154" t="s">
        <v>169</v>
      </c>
      <c r="G1154" t="s">
        <v>158</v>
      </c>
      <c r="H1154" t="s">
        <v>166</v>
      </c>
      <c r="I1154" t="s">
        <v>621</v>
      </c>
      <c r="J1154" s="23">
        <v>-34.33</v>
      </c>
      <c r="K1154" t="str">
        <f t="shared" ref="K1154:K1217" si="66">IF(D1154="","",TEXT(D1154,"Mmmm"))</f>
        <v>août</v>
      </c>
      <c r="L1154" t="str">
        <f t="shared" ref="L1154:L1217" si="67">IF(J1154="","",IF(J1154&lt;0,"Dépenses","Recettes"))</f>
        <v>Dépenses</v>
      </c>
    </row>
    <row r="1155" spans="1:12" ht="11.25" customHeight="1" x14ac:dyDescent="0.2">
      <c r="A1155" t="s">
        <v>94</v>
      </c>
      <c r="B1155" s="4" t="s">
        <v>70</v>
      </c>
      <c r="C1155" s="7" t="s">
        <v>1083</v>
      </c>
      <c r="D1155" s="2">
        <v>43686</v>
      </c>
      <c r="E1155" s="2">
        <f t="shared" si="65"/>
        <v>43686</v>
      </c>
      <c r="F1155" t="s">
        <v>187</v>
      </c>
      <c r="G1155" t="s">
        <v>158</v>
      </c>
      <c r="H1155" t="s">
        <v>188</v>
      </c>
      <c r="I1155" t="s">
        <v>621</v>
      </c>
      <c r="J1155" s="23">
        <v>-8.99</v>
      </c>
      <c r="K1155" t="str">
        <f t="shared" si="66"/>
        <v>août</v>
      </c>
      <c r="L1155" t="str">
        <f t="shared" si="67"/>
        <v>Dépenses</v>
      </c>
    </row>
    <row r="1156" spans="1:12" ht="11.25" customHeight="1" x14ac:dyDescent="0.2">
      <c r="A1156" t="s">
        <v>94</v>
      </c>
      <c r="B1156" s="4" t="s">
        <v>70</v>
      </c>
      <c r="C1156" s="7" t="s">
        <v>1083</v>
      </c>
      <c r="D1156" s="2">
        <v>43686</v>
      </c>
      <c r="E1156" s="2">
        <f t="shared" si="65"/>
        <v>43686</v>
      </c>
      <c r="F1156" t="s">
        <v>189</v>
      </c>
      <c r="G1156" t="s">
        <v>158</v>
      </c>
      <c r="H1156" t="s">
        <v>188</v>
      </c>
      <c r="I1156" t="s">
        <v>621</v>
      </c>
      <c r="J1156" s="23">
        <v>-6.99</v>
      </c>
      <c r="K1156" t="str">
        <f t="shared" si="66"/>
        <v>août</v>
      </c>
      <c r="L1156" t="str">
        <f t="shared" si="67"/>
        <v>Dépenses</v>
      </c>
    </row>
    <row r="1157" spans="1:12" ht="11.25" customHeight="1" x14ac:dyDescent="0.2">
      <c r="A1157" t="s">
        <v>108</v>
      </c>
      <c r="B1157" s="4" t="s">
        <v>70</v>
      </c>
      <c r="C1157" s="7" t="s">
        <v>1084</v>
      </c>
      <c r="D1157" s="2">
        <v>43686</v>
      </c>
      <c r="E1157" s="2">
        <f t="shared" si="65"/>
        <v>43686</v>
      </c>
      <c r="F1157" t="s">
        <v>171</v>
      </c>
      <c r="G1157" t="s">
        <v>172</v>
      </c>
      <c r="H1157" t="s">
        <v>173</v>
      </c>
      <c r="I1157" t="s">
        <v>621</v>
      </c>
      <c r="J1157" s="23">
        <v>-19.989999999999998</v>
      </c>
      <c r="K1157" t="str">
        <f t="shared" si="66"/>
        <v>août</v>
      </c>
      <c r="L1157" t="str">
        <f t="shared" si="67"/>
        <v>Dépenses</v>
      </c>
    </row>
    <row r="1158" spans="1:12" ht="11.25" customHeight="1" x14ac:dyDescent="0.2">
      <c r="A1158" t="s">
        <v>94</v>
      </c>
      <c r="B1158" s="4" t="s">
        <v>70</v>
      </c>
      <c r="C1158" s="7" t="s">
        <v>1085</v>
      </c>
      <c r="D1158" s="2">
        <v>43687</v>
      </c>
      <c r="E1158" s="2">
        <f t="shared" si="65"/>
        <v>43687</v>
      </c>
      <c r="F1158" t="s">
        <v>202</v>
      </c>
      <c r="G1158" t="s">
        <v>307</v>
      </c>
      <c r="H1158" t="s">
        <v>658</v>
      </c>
      <c r="I1158" t="s">
        <v>621</v>
      </c>
      <c r="J1158" s="23">
        <v>-15</v>
      </c>
      <c r="K1158" t="str">
        <f t="shared" si="66"/>
        <v>août</v>
      </c>
      <c r="L1158" t="str">
        <f t="shared" si="67"/>
        <v>Dépenses</v>
      </c>
    </row>
    <row r="1159" spans="1:12" ht="11.25" customHeight="1" x14ac:dyDescent="0.2">
      <c r="A1159" t="s">
        <v>94</v>
      </c>
      <c r="B1159" s="4" t="s">
        <v>70</v>
      </c>
      <c r="C1159" s="7" t="s">
        <v>1086</v>
      </c>
      <c r="D1159" s="2">
        <v>43687</v>
      </c>
      <c r="E1159" s="2">
        <f t="shared" si="65"/>
        <v>43687</v>
      </c>
      <c r="F1159" t="s">
        <v>204</v>
      </c>
      <c r="G1159" t="s">
        <v>307</v>
      </c>
      <c r="H1159" t="s">
        <v>660</v>
      </c>
      <c r="I1159" t="s">
        <v>621</v>
      </c>
      <c r="J1159" s="23">
        <v>-15</v>
      </c>
      <c r="K1159" t="str">
        <f t="shared" si="66"/>
        <v>août</v>
      </c>
      <c r="L1159" t="str">
        <f t="shared" si="67"/>
        <v>Dépenses</v>
      </c>
    </row>
    <row r="1160" spans="1:12" x14ac:dyDescent="0.2">
      <c r="A1160" t="s">
        <v>108</v>
      </c>
      <c r="B1160" s="4" t="s">
        <v>70</v>
      </c>
      <c r="C1160" s="7" t="s">
        <v>1087</v>
      </c>
      <c r="D1160" s="2">
        <v>43687</v>
      </c>
      <c r="E1160" s="2">
        <f t="shared" si="65"/>
        <v>43687</v>
      </c>
      <c r="F1160" t="s">
        <v>198</v>
      </c>
      <c r="G1160" t="s">
        <v>199</v>
      </c>
      <c r="H1160" t="s">
        <v>200</v>
      </c>
      <c r="I1160" t="s">
        <v>621</v>
      </c>
      <c r="J1160" s="23">
        <v>700</v>
      </c>
      <c r="K1160" t="str">
        <f t="shared" si="66"/>
        <v>août</v>
      </c>
      <c r="L1160" t="str">
        <f t="shared" si="67"/>
        <v>Recettes</v>
      </c>
    </row>
    <row r="1161" spans="1:12" x14ac:dyDescent="0.2">
      <c r="A1161" t="s">
        <v>658</v>
      </c>
      <c r="B1161" t="s">
        <v>70</v>
      </c>
      <c r="D1161" s="2">
        <v>43687</v>
      </c>
      <c r="E1161" s="2">
        <f t="shared" si="65"/>
        <v>43687</v>
      </c>
      <c r="F1161" t="s">
        <v>659</v>
      </c>
      <c r="G1161" t="s">
        <v>307</v>
      </c>
      <c r="H1161" t="s">
        <v>87</v>
      </c>
      <c r="I1161" t="s">
        <v>621</v>
      </c>
      <c r="J1161" s="22">
        <v>15</v>
      </c>
      <c r="K1161" t="str">
        <f t="shared" si="66"/>
        <v>août</v>
      </c>
      <c r="L1161" t="str">
        <f t="shared" si="67"/>
        <v>Recettes</v>
      </c>
    </row>
    <row r="1162" spans="1:12" x14ac:dyDescent="0.2">
      <c r="A1162" t="s">
        <v>660</v>
      </c>
      <c r="B1162" t="s">
        <v>70</v>
      </c>
      <c r="D1162" s="2">
        <v>43687</v>
      </c>
      <c r="E1162" s="2">
        <f t="shared" si="65"/>
        <v>43687</v>
      </c>
      <c r="F1162" t="s">
        <v>661</v>
      </c>
      <c r="G1162" t="s">
        <v>307</v>
      </c>
      <c r="H1162" t="s">
        <v>87</v>
      </c>
      <c r="I1162" t="s">
        <v>621</v>
      </c>
      <c r="J1162" s="22">
        <v>15</v>
      </c>
      <c r="K1162" t="str">
        <f t="shared" si="66"/>
        <v>août</v>
      </c>
      <c r="L1162" t="str">
        <f t="shared" si="67"/>
        <v>Recettes</v>
      </c>
    </row>
    <row r="1163" spans="1:12" x14ac:dyDescent="0.2">
      <c r="A1163" t="s">
        <v>108</v>
      </c>
      <c r="B1163" s="4" t="s">
        <v>70</v>
      </c>
      <c r="C1163" s="7" t="s">
        <v>1088</v>
      </c>
      <c r="D1163" s="2">
        <v>43687</v>
      </c>
      <c r="E1163" s="2">
        <f t="shared" si="65"/>
        <v>43687</v>
      </c>
      <c r="F1163" t="s">
        <v>206</v>
      </c>
      <c r="G1163" t="s">
        <v>111</v>
      </c>
      <c r="H1163" t="s">
        <v>207</v>
      </c>
      <c r="I1163" t="s">
        <v>621</v>
      </c>
      <c r="J1163" s="22">
        <v>-32.450000000000003</v>
      </c>
      <c r="K1163" t="str">
        <f t="shared" si="66"/>
        <v>août</v>
      </c>
      <c r="L1163" t="str">
        <f t="shared" si="67"/>
        <v>Dépenses</v>
      </c>
    </row>
    <row r="1164" spans="1:12" x14ac:dyDescent="0.2">
      <c r="A1164" t="s">
        <v>94</v>
      </c>
      <c r="B1164" s="4" t="s">
        <v>70</v>
      </c>
      <c r="C1164" s="7" t="s">
        <v>1089</v>
      </c>
      <c r="D1164" s="2">
        <v>43689</v>
      </c>
      <c r="E1164" s="2">
        <f t="shared" ref="E1164:E1227" si="68">IF(A1164="","",IF(A1164&lt;&gt;"Carte Lux",D1164,VLOOKUP(D1164,Periode_datedebit_2019,3)))</f>
        <v>43689</v>
      </c>
      <c r="F1164" t="s">
        <v>175</v>
      </c>
      <c r="G1164" t="s">
        <v>172</v>
      </c>
      <c r="H1164" t="s">
        <v>176</v>
      </c>
      <c r="I1164" t="s">
        <v>621</v>
      </c>
      <c r="J1164" s="23">
        <v>-35</v>
      </c>
      <c r="K1164" t="str">
        <f t="shared" si="66"/>
        <v>août</v>
      </c>
      <c r="L1164" t="str">
        <f t="shared" si="67"/>
        <v>Dépenses</v>
      </c>
    </row>
    <row r="1165" spans="1:12" x14ac:dyDescent="0.2">
      <c r="A1165" t="s">
        <v>94</v>
      </c>
      <c r="B1165" s="4" t="s">
        <v>70</v>
      </c>
      <c r="C1165" s="8" t="s">
        <v>1090</v>
      </c>
      <c r="D1165" s="2">
        <v>43692</v>
      </c>
      <c r="E1165" s="2">
        <f t="shared" si="68"/>
        <v>43692</v>
      </c>
      <c r="F1165" s="4" t="s">
        <v>232</v>
      </c>
      <c r="G1165" s="4" t="s">
        <v>79</v>
      </c>
      <c r="H1165" s="4" t="s">
        <v>233</v>
      </c>
      <c r="I1165" t="s">
        <v>621</v>
      </c>
      <c r="J1165" s="23">
        <v>-22.5</v>
      </c>
      <c r="K1165" t="str">
        <f t="shared" si="66"/>
        <v>août</v>
      </c>
      <c r="L1165" t="str">
        <f t="shared" si="67"/>
        <v>Dépenses</v>
      </c>
    </row>
    <row r="1166" spans="1:12" x14ac:dyDescent="0.2">
      <c r="A1166" t="s">
        <v>94</v>
      </c>
      <c r="B1166" s="4" t="s">
        <v>70</v>
      </c>
      <c r="C1166" s="7" t="s">
        <v>1091</v>
      </c>
      <c r="D1166" s="2">
        <v>43693</v>
      </c>
      <c r="E1166" s="2">
        <f t="shared" si="68"/>
        <v>43693</v>
      </c>
      <c r="F1166" s="4" t="s">
        <v>240</v>
      </c>
      <c r="G1166" s="4" t="s">
        <v>73</v>
      </c>
      <c r="H1166" s="4" t="s">
        <v>241</v>
      </c>
      <c r="I1166" t="s">
        <v>621</v>
      </c>
      <c r="J1166" s="23">
        <v>-164.14</v>
      </c>
      <c r="K1166" t="str">
        <f t="shared" si="66"/>
        <v>août</v>
      </c>
      <c r="L1166" t="str">
        <f t="shared" si="67"/>
        <v>Dépenses</v>
      </c>
    </row>
    <row r="1167" spans="1:12" x14ac:dyDescent="0.2">
      <c r="A1167" t="s">
        <v>94</v>
      </c>
      <c r="B1167" s="4" t="s">
        <v>70</v>
      </c>
      <c r="C1167" s="7" t="s">
        <v>1092</v>
      </c>
      <c r="D1167" s="2">
        <v>43693</v>
      </c>
      <c r="E1167" s="2">
        <f t="shared" si="68"/>
        <v>43693</v>
      </c>
      <c r="F1167" t="s">
        <v>243</v>
      </c>
      <c r="G1167" t="s">
        <v>244</v>
      </c>
      <c r="H1167" t="s">
        <v>245</v>
      </c>
      <c r="I1167" t="s">
        <v>621</v>
      </c>
      <c r="J1167" s="23">
        <v>-35</v>
      </c>
      <c r="K1167" t="str">
        <f t="shared" si="66"/>
        <v>août</v>
      </c>
      <c r="L1167" t="str">
        <f t="shared" si="67"/>
        <v>Dépenses</v>
      </c>
    </row>
    <row r="1168" spans="1:12" ht="11.25" customHeight="1" x14ac:dyDescent="0.2">
      <c r="A1168" t="s">
        <v>94</v>
      </c>
      <c r="B1168" s="4" t="s">
        <v>70</v>
      </c>
      <c r="C1168" s="7" t="s">
        <v>1093</v>
      </c>
      <c r="D1168" s="2">
        <v>43693</v>
      </c>
      <c r="E1168" s="2">
        <f t="shared" si="68"/>
        <v>43693</v>
      </c>
      <c r="F1168" t="s">
        <v>247</v>
      </c>
      <c r="G1168" t="s">
        <v>134</v>
      </c>
      <c r="H1168" t="s">
        <v>319</v>
      </c>
      <c r="I1168" t="s">
        <v>621</v>
      </c>
      <c r="J1168" s="23">
        <v>-40</v>
      </c>
      <c r="K1168" t="str">
        <f t="shared" si="66"/>
        <v>août</v>
      </c>
      <c r="L1168" t="str">
        <f t="shared" si="67"/>
        <v>Dépenses</v>
      </c>
    </row>
    <row r="1169" spans="1:12" ht="11.25" customHeight="1" x14ac:dyDescent="0.2">
      <c r="A1169" t="s">
        <v>94</v>
      </c>
      <c r="B1169" s="4" t="s">
        <v>70</v>
      </c>
      <c r="C1169" s="7" t="s">
        <v>1094</v>
      </c>
      <c r="D1169" s="2">
        <v>43693</v>
      </c>
      <c r="E1169" s="2">
        <f t="shared" si="68"/>
        <v>43693</v>
      </c>
      <c r="F1169" t="s">
        <v>249</v>
      </c>
      <c r="G1169" t="s">
        <v>134</v>
      </c>
      <c r="H1169" t="s">
        <v>319</v>
      </c>
      <c r="I1169" t="s">
        <v>621</v>
      </c>
      <c r="J1169" s="23">
        <v>-40</v>
      </c>
      <c r="K1169" t="str">
        <f t="shared" si="66"/>
        <v>août</v>
      </c>
      <c r="L1169" t="str">
        <f t="shared" si="67"/>
        <v>Dépenses</v>
      </c>
    </row>
    <row r="1170" spans="1:12" ht="11.25" customHeight="1" x14ac:dyDescent="0.2">
      <c r="A1170" t="s">
        <v>94</v>
      </c>
      <c r="B1170" t="s">
        <v>70</v>
      </c>
      <c r="C1170" s="1" t="s">
        <v>954</v>
      </c>
      <c r="D1170" s="2">
        <v>43693</v>
      </c>
      <c r="E1170" s="2">
        <f t="shared" si="68"/>
        <v>43693</v>
      </c>
      <c r="F1170" t="s">
        <v>958</v>
      </c>
      <c r="G1170" t="s">
        <v>158</v>
      </c>
      <c r="H1170" t="s">
        <v>956</v>
      </c>
      <c r="I1170" t="s">
        <v>621</v>
      </c>
      <c r="J1170" s="22">
        <v>-49.82</v>
      </c>
      <c r="K1170" t="str">
        <f t="shared" si="66"/>
        <v>août</v>
      </c>
      <c r="L1170" t="str">
        <f t="shared" si="67"/>
        <v>Dépenses</v>
      </c>
    </row>
    <row r="1171" spans="1:12" ht="11.25" customHeight="1" x14ac:dyDescent="0.2">
      <c r="A1171" t="s">
        <v>69</v>
      </c>
      <c r="B1171" s="4" t="s">
        <v>70</v>
      </c>
      <c r="C1171" s="7" t="s">
        <v>1095</v>
      </c>
      <c r="D1171" s="2">
        <v>43701</v>
      </c>
      <c r="E1171" s="2">
        <f t="shared" si="68"/>
        <v>43701</v>
      </c>
      <c r="F1171" t="s">
        <v>285</v>
      </c>
      <c r="G1171" t="s">
        <v>199</v>
      </c>
      <c r="H1171" t="s">
        <v>74</v>
      </c>
      <c r="I1171" t="s">
        <v>621</v>
      </c>
      <c r="J1171" s="23">
        <v>2900</v>
      </c>
      <c r="K1171" t="str">
        <f t="shared" si="66"/>
        <v>août</v>
      </c>
      <c r="L1171" t="str">
        <f t="shared" si="67"/>
        <v>Recettes</v>
      </c>
    </row>
    <row r="1172" spans="1:12" ht="11.25" customHeight="1" x14ac:dyDescent="0.2">
      <c r="A1172" t="s">
        <v>69</v>
      </c>
      <c r="B1172" s="4" t="s">
        <v>70</v>
      </c>
      <c r="C1172" s="7" t="s">
        <v>458</v>
      </c>
      <c r="D1172" s="2">
        <v>43702</v>
      </c>
      <c r="E1172" s="2">
        <f t="shared" si="68"/>
        <v>43702</v>
      </c>
      <c r="F1172" t="s">
        <v>102</v>
      </c>
      <c r="G1172" t="s">
        <v>459</v>
      </c>
      <c r="H1172" t="s">
        <v>94</v>
      </c>
      <c r="I1172" t="s">
        <v>621</v>
      </c>
      <c r="J1172" s="23">
        <v>-860</v>
      </c>
      <c r="K1172" t="str">
        <f t="shared" si="66"/>
        <v>août</v>
      </c>
      <c r="L1172" t="str">
        <f t="shared" si="67"/>
        <v>Dépenses</v>
      </c>
    </row>
    <row r="1173" spans="1:12" ht="11.25" customHeight="1" x14ac:dyDescent="0.2">
      <c r="A1173" t="s">
        <v>94</v>
      </c>
      <c r="B1173" s="4" t="s">
        <v>70</v>
      </c>
      <c r="C1173" s="7" t="s">
        <v>458</v>
      </c>
      <c r="D1173" s="2">
        <v>43702</v>
      </c>
      <c r="E1173" s="2">
        <f t="shared" si="68"/>
        <v>43702</v>
      </c>
      <c r="F1173" t="s">
        <v>135</v>
      </c>
      <c r="G1173" t="s">
        <v>459</v>
      </c>
      <c r="H1173" t="s">
        <v>69</v>
      </c>
      <c r="I1173" t="s">
        <v>621</v>
      </c>
      <c r="J1173" s="23">
        <v>860</v>
      </c>
      <c r="K1173" t="str">
        <f t="shared" si="66"/>
        <v>août</v>
      </c>
      <c r="L1173" t="str">
        <f t="shared" si="67"/>
        <v>Recettes</v>
      </c>
    </row>
    <row r="1174" spans="1:12" ht="11.25" customHeight="1" x14ac:dyDescent="0.2">
      <c r="A1174" t="s">
        <v>94</v>
      </c>
      <c r="B1174" t="s">
        <v>70</v>
      </c>
      <c r="D1174" s="2">
        <v>43702</v>
      </c>
      <c r="E1174" s="2">
        <f t="shared" si="68"/>
        <v>43702</v>
      </c>
      <c r="F1174" t="s">
        <v>460</v>
      </c>
      <c r="G1174" t="s">
        <v>127</v>
      </c>
      <c r="H1174" t="s">
        <v>88</v>
      </c>
      <c r="I1174" t="s">
        <v>621</v>
      </c>
      <c r="J1174" s="22">
        <v>-70</v>
      </c>
      <c r="K1174" t="str">
        <f t="shared" si="66"/>
        <v>août</v>
      </c>
      <c r="L1174" t="str">
        <f t="shared" si="67"/>
        <v>Dépenses</v>
      </c>
    </row>
    <row r="1175" spans="1:12" ht="11.25" customHeight="1" x14ac:dyDescent="0.2">
      <c r="A1175" t="s">
        <v>94</v>
      </c>
      <c r="B1175" t="s">
        <v>70</v>
      </c>
      <c r="D1175" s="2">
        <v>43702</v>
      </c>
      <c r="E1175" s="2">
        <f t="shared" si="68"/>
        <v>43702</v>
      </c>
      <c r="F1175" t="s">
        <v>461</v>
      </c>
      <c r="G1175" t="s">
        <v>28</v>
      </c>
      <c r="H1175" t="s">
        <v>88</v>
      </c>
      <c r="I1175" t="s">
        <v>621</v>
      </c>
      <c r="J1175" s="22">
        <v>-30</v>
      </c>
      <c r="K1175" t="str">
        <f t="shared" si="66"/>
        <v>août</v>
      </c>
      <c r="L1175" t="str">
        <f t="shared" si="67"/>
        <v>Dépenses</v>
      </c>
    </row>
    <row r="1176" spans="1:12" ht="11.25" customHeight="1" x14ac:dyDescent="0.2">
      <c r="A1176" t="s">
        <v>94</v>
      </c>
      <c r="B1176" t="s">
        <v>70</v>
      </c>
      <c r="D1176" s="2">
        <v>43702</v>
      </c>
      <c r="E1176" s="2">
        <f t="shared" si="68"/>
        <v>43702</v>
      </c>
      <c r="F1176" t="s">
        <v>462</v>
      </c>
      <c r="G1176" t="s">
        <v>254</v>
      </c>
      <c r="H1176" t="s">
        <v>88</v>
      </c>
      <c r="I1176" t="s">
        <v>621</v>
      </c>
      <c r="J1176" s="22">
        <v>-100</v>
      </c>
      <c r="K1176" t="str">
        <f t="shared" si="66"/>
        <v>août</v>
      </c>
      <c r="L1176" t="str">
        <f t="shared" si="67"/>
        <v>Dépenses</v>
      </c>
    </row>
    <row r="1177" spans="1:12" ht="11.25" customHeight="1" x14ac:dyDescent="0.2">
      <c r="A1177" t="s">
        <v>94</v>
      </c>
      <c r="B1177" t="s">
        <v>70</v>
      </c>
      <c r="D1177" s="2">
        <v>43702</v>
      </c>
      <c r="E1177" s="2">
        <f t="shared" si="68"/>
        <v>43702</v>
      </c>
      <c r="F1177" t="s">
        <v>463</v>
      </c>
      <c r="G1177" t="s">
        <v>270</v>
      </c>
      <c r="H1177" t="s">
        <v>88</v>
      </c>
      <c r="I1177" t="s">
        <v>621</v>
      </c>
      <c r="J1177" s="22">
        <v>-70</v>
      </c>
      <c r="K1177" t="str">
        <f t="shared" si="66"/>
        <v>août</v>
      </c>
      <c r="L1177" t="str">
        <f t="shared" si="67"/>
        <v>Dépenses</v>
      </c>
    </row>
    <row r="1178" spans="1:12" ht="11.25" customHeight="1" x14ac:dyDescent="0.2">
      <c r="A1178" t="s">
        <v>94</v>
      </c>
      <c r="B1178" t="s">
        <v>70</v>
      </c>
      <c r="D1178" s="2">
        <v>43702</v>
      </c>
      <c r="E1178" s="2">
        <f t="shared" si="68"/>
        <v>43702</v>
      </c>
      <c r="F1178" t="s">
        <v>464</v>
      </c>
      <c r="G1178" t="s">
        <v>118</v>
      </c>
      <c r="H1178" t="s">
        <v>88</v>
      </c>
      <c r="I1178" t="s">
        <v>621</v>
      </c>
      <c r="J1178" s="22">
        <v>-150</v>
      </c>
      <c r="K1178" t="str">
        <f t="shared" si="66"/>
        <v>août</v>
      </c>
      <c r="L1178" t="str">
        <f t="shared" si="67"/>
        <v>Dépenses</v>
      </c>
    </row>
    <row r="1179" spans="1:12" ht="11.25" customHeight="1" x14ac:dyDescent="0.2">
      <c r="A1179" t="s">
        <v>94</v>
      </c>
      <c r="B1179" t="s">
        <v>70</v>
      </c>
      <c r="D1179" s="2">
        <v>43702</v>
      </c>
      <c r="E1179" s="2">
        <f t="shared" si="68"/>
        <v>43702</v>
      </c>
      <c r="F1179" t="s">
        <v>465</v>
      </c>
      <c r="G1179" t="s">
        <v>16</v>
      </c>
      <c r="H1179" t="s">
        <v>88</v>
      </c>
      <c r="I1179" t="s">
        <v>621</v>
      </c>
      <c r="J1179" s="22">
        <v>-60</v>
      </c>
      <c r="K1179" t="str">
        <f t="shared" si="66"/>
        <v>août</v>
      </c>
      <c r="L1179" t="str">
        <f t="shared" si="67"/>
        <v>Dépenses</v>
      </c>
    </row>
    <row r="1180" spans="1:12" ht="11.25" customHeight="1" x14ac:dyDescent="0.2">
      <c r="A1180" t="s">
        <v>94</v>
      </c>
      <c r="B1180" t="s">
        <v>70</v>
      </c>
      <c r="D1180" s="2">
        <v>43702</v>
      </c>
      <c r="E1180" s="2">
        <f t="shared" si="68"/>
        <v>43702</v>
      </c>
      <c r="F1180" t="s">
        <v>466</v>
      </c>
      <c r="G1180" t="s">
        <v>111</v>
      </c>
      <c r="H1180" t="s">
        <v>88</v>
      </c>
      <c r="I1180" t="s">
        <v>621</v>
      </c>
      <c r="J1180" s="22">
        <v>-120</v>
      </c>
      <c r="K1180" t="str">
        <f t="shared" si="66"/>
        <v>août</v>
      </c>
      <c r="L1180" t="str">
        <f t="shared" si="67"/>
        <v>Dépenses</v>
      </c>
    </row>
    <row r="1181" spans="1:12" ht="11.25" customHeight="1" x14ac:dyDescent="0.2">
      <c r="A1181" t="s">
        <v>94</v>
      </c>
      <c r="B1181" t="s">
        <v>70</v>
      </c>
      <c r="D1181" s="2">
        <v>43702</v>
      </c>
      <c r="E1181" s="2">
        <f t="shared" si="68"/>
        <v>43702</v>
      </c>
      <c r="F1181" t="s">
        <v>467</v>
      </c>
      <c r="G1181" t="s">
        <v>229</v>
      </c>
      <c r="H1181" t="s">
        <v>88</v>
      </c>
      <c r="I1181" t="s">
        <v>621</v>
      </c>
      <c r="J1181" s="22">
        <v>-60</v>
      </c>
      <c r="K1181" t="str">
        <f t="shared" si="66"/>
        <v>août</v>
      </c>
      <c r="L1181" t="str">
        <f t="shared" si="67"/>
        <v>Dépenses</v>
      </c>
    </row>
    <row r="1182" spans="1:12" ht="11.25" customHeight="1" x14ac:dyDescent="0.2">
      <c r="A1182" t="s">
        <v>94</v>
      </c>
      <c r="B1182" t="s">
        <v>70</v>
      </c>
      <c r="D1182" s="2">
        <v>43702</v>
      </c>
      <c r="E1182" s="2">
        <f t="shared" si="68"/>
        <v>43702</v>
      </c>
      <c r="F1182" t="s">
        <v>469</v>
      </c>
      <c r="G1182" t="s">
        <v>52</v>
      </c>
      <c r="H1182" t="s">
        <v>88</v>
      </c>
      <c r="I1182" t="s">
        <v>621</v>
      </c>
      <c r="J1182" s="22">
        <v>-100</v>
      </c>
      <c r="K1182" t="str">
        <f t="shared" si="66"/>
        <v>août</v>
      </c>
      <c r="L1182" t="str">
        <f t="shared" si="67"/>
        <v>Dépenses</v>
      </c>
    </row>
    <row r="1183" spans="1:12" ht="15" customHeight="1" x14ac:dyDescent="0.2">
      <c r="A1183" t="s">
        <v>94</v>
      </c>
      <c r="B1183" t="s">
        <v>70</v>
      </c>
      <c r="D1183" s="2">
        <v>43702</v>
      </c>
      <c r="E1183" s="2">
        <f t="shared" si="68"/>
        <v>43702</v>
      </c>
      <c r="F1183" t="s">
        <v>470</v>
      </c>
      <c r="G1183" t="s">
        <v>39</v>
      </c>
      <c r="H1183" t="s">
        <v>88</v>
      </c>
      <c r="I1183" t="s">
        <v>621</v>
      </c>
      <c r="J1183" s="22">
        <v>-100</v>
      </c>
      <c r="K1183" t="str">
        <f t="shared" si="66"/>
        <v>août</v>
      </c>
      <c r="L1183" t="str">
        <f t="shared" si="67"/>
        <v>Dépenses</v>
      </c>
    </row>
    <row r="1184" spans="1:12" ht="11.25" customHeight="1" x14ac:dyDescent="0.2">
      <c r="A1184" t="s">
        <v>88</v>
      </c>
      <c r="B1184" t="s">
        <v>70</v>
      </c>
      <c r="D1184" s="2">
        <v>43702</v>
      </c>
      <c r="E1184" s="2">
        <f t="shared" si="68"/>
        <v>43702</v>
      </c>
      <c r="F1184" t="s">
        <v>471</v>
      </c>
      <c r="G1184" t="s">
        <v>76</v>
      </c>
      <c r="H1184" t="s">
        <v>94</v>
      </c>
      <c r="I1184" t="s">
        <v>621</v>
      </c>
      <c r="J1184" s="22">
        <v>860</v>
      </c>
      <c r="K1184" t="str">
        <f t="shared" si="66"/>
        <v>août</v>
      </c>
      <c r="L1184" t="str">
        <f t="shared" si="67"/>
        <v>Recettes</v>
      </c>
    </row>
    <row r="1185" spans="1:12" ht="11.25" customHeight="1" x14ac:dyDescent="0.2">
      <c r="A1185" t="s">
        <v>69</v>
      </c>
      <c r="B1185" t="s">
        <v>137</v>
      </c>
      <c r="C1185" s="7" t="s">
        <v>1096</v>
      </c>
      <c r="D1185" s="2">
        <v>43702</v>
      </c>
      <c r="E1185" s="2">
        <f t="shared" si="68"/>
        <v>43702</v>
      </c>
      <c r="F1185" t="s">
        <v>291</v>
      </c>
      <c r="G1185" t="s">
        <v>79</v>
      </c>
      <c r="H1185" t="s">
        <v>292</v>
      </c>
      <c r="I1185" t="s">
        <v>621</v>
      </c>
      <c r="J1185" s="22">
        <v>-2.38</v>
      </c>
      <c r="K1185" t="str">
        <f t="shared" si="66"/>
        <v>août</v>
      </c>
      <c r="L1185" t="str">
        <f t="shared" si="67"/>
        <v>Dépenses</v>
      </c>
    </row>
    <row r="1186" spans="1:12" ht="15" customHeight="1" x14ac:dyDescent="0.2">
      <c r="A1186" t="s">
        <v>69</v>
      </c>
      <c r="B1186" s="4" t="s">
        <v>70</v>
      </c>
      <c r="C1186" s="7" t="s">
        <v>1078</v>
      </c>
      <c r="D1186" s="2">
        <v>43705</v>
      </c>
      <c r="E1186" s="2">
        <f t="shared" si="68"/>
        <v>43705</v>
      </c>
      <c r="F1186" t="s">
        <v>147</v>
      </c>
      <c r="G1186" t="s">
        <v>115</v>
      </c>
      <c r="H1186" t="s">
        <v>148</v>
      </c>
      <c r="I1186" t="s">
        <v>621</v>
      </c>
      <c r="J1186" s="23">
        <v>-50</v>
      </c>
      <c r="K1186" t="str">
        <f t="shared" si="66"/>
        <v>août</v>
      </c>
      <c r="L1186" t="str">
        <f t="shared" si="67"/>
        <v>Dépenses</v>
      </c>
    </row>
    <row r="1187" spans="1:12" ht="11.25" customHeight="1" x14ac:dyDescent="0.2">
      <c r="A1187" t="s">
        <v>94</v>
      </c>
      <c r="B1187" s="4" t="s">
        <v>70</v>
      </c>
      <c r="C1187" s="7" t="s">
        <v>1097</v>
      </c>
      <c r="D1187" s="2">
        <v>43705</v>
      </c>
      <c r="E1187" s="2">
        <f t="shared" si="68"/>
        <v>43705</v>
      </c>
      <c r="F1187" t="s">
        <v>317</v>
      </c>
      <c r="G1187" t="s">
        <v>318</v>
      </c>
      <c r="H1187" t="s">
        <v>319</v>
      </c>
      <c r="I1187" t="s">
        <v>621</v>
      </c>
      <c r="J1187" s="22">
        <v>-80.33</v>
      </c>
      <c r="K1187" t="str">
        <f t="shared" si="66"/>
        <v>août</v>
      </c>
      <c r="L1187" t="str">
        <f t="shared" si="67"/>
        <v>Dépenses</v>
      </c>
    </row>
    <row r="1188" spans="1:12" ht="11.25" customHeight="1" x14ac:dyDescent="0.2">
      <c r="A1188" t="s">
        <v>108</v>
      </c>
      <c r="B1188" s="4" t="s">
        <v>70</v>
      </c>
      <c r="C1188" s="7" t="s">
        <v>1098</v>
      </c>
      <c r="D1188" s="2">
        <v>43707</v>
      </c>
      <c r="E1188" s="2">
        <f t="shared" si="68"/>
        <v>43707</v>
      </c>
      <c r="F1188" t="s">
        <v>184</v>
      </c>
      <c r="G1188" t="s">
        <v>106</v>
      </c>
      <c r="H1188" t="s">
        <v>185</v>
      </c>
      <c r="I1188" t="s">
        <v>621</v>
      </c>
      <c r="J1188" s="23">
        <v>-0.99</v>
      </c>
      <c r="K1188" t="str">
        <f t="shared" si="66"/>
        <v>août</v>
      </c>
      <c r="L1188" t="str">
        <f t="shared" si="67"/>
        <v>Dépenses</v>
      </c>
    </row>
    <row r="1189" spans="1:12" ht="11.25" customHeight="1" x14ac:dyDescent="0.2">
      <c r="A1189" t="s">
        <v>69</v>
      </c>
      <c r="B1189" s="4" t="s">
        <v>70</v>
      </c>
      <c r="C1189" s="7" t="s">
        <v>1078</v>
      </c>
      <c r="D1189" s="2">
        <v>43708</v>
      </c>
      <c r="E1189" s="2">
        <f t="shared" si="68"/>
        <v>43708</v>
      </c>
      <c r="F1189" t="s">
        <v>327</v>
      </c>
      <c r="G1189" t="s">
        <v>328</v>
      </c>
      <c r="H1189" t="s">
        <v>329</v>
      </c>
      <c r="I1189" t="s">
        <v>621</v>
      </c>
      <c r="J1189" s="22">
        <v>-12</v>
      </c>
      <c r="K1189" t="str">
        <f t="shared" si="66"/>
        <v>août</v>
      </c>
      <c r="L1189" t="str">
        <f t="shared" si="67"/>
        <v>Dépenses</v>
      </c>
    </row>
    <row r="1190" spans="1:12" ht="11.25" customHeight="1" x14ac:dyDescent="0.2">
      <c r="A1190" t="s">
        <v>69</v>
      </c>
      <c r="B1190" s="4" t="s">
        <v>70</v>
      </c>
      <c r="C1190" s="5" t="s">
        <v>1099</v>
      </c>
      <c r="D1190" s="2">
        <v>43709</v>
      </c>
      <c r="E1190" s="2">
        <f t="shared" si="68"/>
        <v>43709</v>
      </c>
      <c r="F1190" t="s">
        <v>72</v>
      </c>
      <c r="G1190" t="s">
        <v>73</v>
      </c>
      <c r="H1190" t="s">
        <v>74</v>
      </c>
      <c r="I1190" t="s">
        <v>621</v>
      </c>
      <c r="J1190" s="23">
        <v>-500</v>
      </c>
      <c r="K1190" t="str">
        <f t="shared" si="66"/>
        <v>septembre</v>
      </c>
      <c r="L1190" t="str">
        <f t="shared" si="67"/>
        <v>Dépenses</v>
      </c>
    </row>
    <row r="1191" spans="1:12" ht="11.25" customHeight="1" x14ac:dyDescent="0.2">
      <c r="A1191" t="s">
        <v>75</v>
      </c>
      <c r="B1191" s="4" t="s">
        <v>70</v>
      </c>
      <c r="C1191" s="5" t="s">
        <v>1099</v>
      </c>
      <c r="D1191" s="2">
        <v>43709</v>
      </c>
      <c r="E1191" s="2">
        <f t="shared" si="68"/>
        <v>43709</v>
      </c>
      <c r="F1191" t="s">
        <v>72</v>
      </c>
      <c r="G1191" t="s">
        <v>76</v>
      </c>
      <c r="H1191" t="s">
        <v>74</v>
      </c>
      <c r="I1191" t="s">
        <v>621</v>
      </c>
      <c r="J1191" s="23">
        <v>500</v>
      </c>
      <c r="K1191" t="str">
        <f t="shared" si="66"/>
        <v>septembre</v>
      </c>
      <c r="L1191" t="str">
        <f t="shared" si="67"/>
        <v>Recettes</v>
      </c>
    </row>
    <row r="1192" spans="1:12" ht="11.25" customHeight="1" x14ac:dyDescent="0.2">
      <c r="A1192" t="s">
        <v>658</v>
      </c>
      <c r="B1192" t="s">
        <v>70</v>
      </c>
      <c r="D1192" s="2">
        <v>43709</v>
      </c>
      <c r="E1192" s="2">
        <f t="shared" si="68"/>
        <v>43709</v>
      </c>
      <c r="F1192" t="s">
        <v>659</v>
      </c>
      <c r="G1192" t="s">
        <v>76</v>
      </c>
      <c r="H1192" t="s">
        <v>87</v>
      </c>
      <c r="I1192" t="s">
        <v>621</v>
      </c>
      <c r="J1192" s="22">
        <v>-15</v>
      </c>
      <c r="K1192" t="str">
        <f t="shared" si="66"/>
        <v>septembre</v>
      </c>
      <c r="L1192" t="str">
        <f t="shared" si="67"/>
        <v>Dépenses</v>
      </c>
    </row>
    <row r="1193" spans="1:12" ht="11.25" customHeight="1" x14ac:dyDescent="0.2">
      <c r="A1193" t="s">
        <v>660</v>
      </c>
      <c r="B1193" t="s">
        <v>70</v>
      </c>
      <c r="D1193" s="2">
        <v>43709</v>
      </c>
      <c r="E1193" s="2">
        <f t="shared" si="68"/>
        <v>43709</v>
      </c>
      <c r="F1193" t="s">
        <v>661</v>
      </c>
      <c r="G1193" t="s">
        <v>76</v>
      </c>
      <c r="H1193" t="s">
        <v>87</v>
      </c>
      <c r="I1193" t="s">
        <v>621</v>
      </c>
      <c r="J1193" s="22">
        <v>-15</v>
      </c>
      <c r="K1193" t="str">
        <f t="shared" si="66"/>
        <v>septembre</v>
      </c>
      <c r="L1193" t="str">
        <f t="shared" si="67"/>
        <v>Dépenses</v>
      </c>
    </row>
    <row r="1194" spans="1:12" ht="11.25" customHeight="1" x14ac:dyDescent="0.2">
      <c r="A1194" t="s">
        <v>94</v>
      </c>
      <c r="B1194" s="4" t="s">
        <v>70</v>
      </c>
      <c r="C1194" s="5" t="s">
        <v>1100</v>
      </c>
      <c r="D1194" s="2">
        <v>43710</v>
      </c>
      <c r="E1194" s="2">
        <f t="shared" si="68"/>
        <v>43710</v>
      </c>
      <c r="F1194" t="s">
        <v>96</v>
      </c>
      <c r="G1194" t="s">
        <v>86</v>
      </c>
      <c r="H1194" t="s">
        <v>87</v>
      </c>
      <c r="I1194" t="s">
        <v>621</v>
      </c>
      <c r="J1194" s="22">
        <v>-6.72</v>
      </c>
      <c r="K1194" t="str">
        <f t="shared" si="66"/>
        <v>septembre</v>
      </c>
      <c r="L1194" t="str">
        <f t="shared" si="67"/>
        <v>Dépenses</v>
      </c>
    </row>
    <row r="1195" spans="1:12" ht="11.25" customHeight="1" x14ac:dyDescent="0.2">
      <c r="A1195" t="s">
        <v>69</v>
      </c>
      <c r="B1195" s="4" t="s">
        <v>70</v>
      </c>
      <c r="C1195" s="7" t="s">
        <v>1101</v>
      </c>
      <c r="D1195" s="2">
        <v>43710</v>
      </c>
      <c r="E1195" s="2">
        <f t="shared" si="68"/>
        <v>43710</v>
      </c>
      <c r="F1195" t="s">
        <v>98</v>
      </c>
      <c r="G1195" t="s">
        <v>73</v>
      </c>
      <c r="H1195" t="s">
        <v>74</v>
      </c>
      <c r="I1195" t="s">
        <v>621</v>
      </c>
      <c r="J1195" s="23">
        <v>-597</v>
      </c>
      <c r="K1195" t="str">
        <f t="shared" si="66"/>
        <v>septembre</v>
      </c>
      <c r="L1195" t="str">
        <f t="shared" si="67"/>
        <v>Dépenses</v>
      </c>
    </row>
    <row r="1196" spans="1:12" ht="11.25" customHeight="1" x14ac:dyDescent="0.2">
      <c r="A1196" t="s">
        <v>69</v>
      </c>
      <c r="B1196" s="4" t="s">
        <v>70</v>
      </c>
      <c r="C1196" s="7" t="s">
        <v>1102</v>
      </c>
      <c r="D1196" s="2">
        <v>43710</v>
      </c>
      <c r="E1196" s="2">
        <f t="shared" si="68"/>
        <v>43710</v>
      </c>
      <c r="F1196" t="s">
        <v>100</v>
      </c>
      <c r="G1196" t="s">
        <v>73</v>
      </c>
      <c r="H1196" t="s">
        <v>74</v>
      </c>
      <c r="I1196" t="s">
        <v>621</v>
      </c>
      <c r="J1196" s="23">
        <v>-120</v>
      </c>
      <c r="K1196" t="str">
        <f t="shared" si="66"/>
        <v>septembre</v>
      </c>
      <c r="L1196" t="str">
        <f t="shared" si="67"/>
        <v>Dépenses</v>
      </c>
    </row>
    <row r="1197" spans="1:12" ht="11.25" customHeight="1" x14ac:dyDescent="0.2">
      <c r="A1197" t="s">
        <v>69</v>
      </c>
      <c r="B1197" s="4" t="s">
        <v>70</v>
      </c>
      <c r="C1197" s="7" t="s">
        <v>1103</v>
      </c>
      <c r="D1197" s="2">
        <v>43710</v>
      </c>
      <c r="E1197" s="2">
        <f t="shared" si="68"/>
        <v>43710</v>
      </c>
      <c r="F1197" t="s">
        <v>102</v>
      </c>
      <c r="G1197" t="s">
        <v>103</v>
      </c>
      <c r="H1197" t="s">
        <v>94</v>
      </c>
      <c r="I1197" t="s">
        <v>621</v>
      </c>
      <c r="J1197" s="23">
        <v>-600</v>
      </c>
      <c r="K1197" t="str">
        <f t="shared" si="66"/>
        <v>septembre</v>
      </c>
      <c r="L1197" t="str">
        <f t="shared" si="67"/>
        <v>Dépenses</v>
      </c>
    </row>
    <row r="1198" spans="1:12" ht="11.25" customHeight="1" x14ac:dyDescent="0.2">
      <c r="A1198" t="s">
        <v>108</v>
      </c>
      <c r="B1198" s="4" t="s">
        <v>70</v>
      </c>
      <c r="C1198" s="5" t="s">
        <v>1104</v>
      </c>
      <c r="D1198" s="2">
        <v>43710</v>
      </c>
      <c r="E1198" s="2">
        <f t="shared" si="68"/>
        <v>43710</v>
      </c>
      <c r="F1198" t="s">
        <v>96</v>
      </c>
      <c r="G1198" t="s">
        <v>86</v>
      </c>
      <c r="H1198" t="s">
        <v>87</v>
      </c>
      <c r="I1198" t="s">
        <v>621</v>
      </c>
      <c r="J1198" s="22">
        <v>-6.72</v>
      </c>
      <c r="K1198" t="str">
        <f t="shared" si="66"/>
        <v>septembre</v>
      </c>
      <c r="L1198" t="str">
        <f t="shared" si="67"/>
        <v>Dépenses</v>
      </c>
    </row>
    <row r="1199" spans="1:12" ht="15" customHeight="1" x14ac:dyDescent="0.2">
      <c r="A1199" t="s">
        <v>94</v>
      </c>
      <c r="B1199" s="4" t="s">
        <v>70</v>
      </c>
      <c r="C1199" s="7" t="s">
        <v>1103</v>
      </c>
      <c r="D1199" s="2">
        <v>43712</v>
      </c>
      <c r="E1199" s="2">
        <f t="shared" si="68"/>
        <v>43712</v>
      </c>
      <c r="F1199" t="s">
        <v>135</v>
      </c>
      <c r="G1199" t="s">
        <v>103</v>
      </c>
      <c r="H1199" t="s">
        <v>69</v>
      </c>
      <c r="I1199" t="s">
        <v>621</v>
      </c>
      <c r="J1199" s="23">
        <v>600</v>
      </c>
      <c r="K1199" t="str">
        <f t="shared" si="66"/>
        <v>septembre</v>
      </c>
      <c r="L1199" t="str">
        <f t="shared" si="67"/>
        <v>Recettes</v>
      </c>
    </row>
    <row r="1200" spans="1:12" ht="15" customHeight="1" x14ac:dyDescent="0.2">
      <c r="A1200" t="s">
        <v>69</v>
      </c>
      <c r="B1200" s="4" t="s">
        <v>70</v>
      </c>
      <c r="C1200" s="7" t="s">
        <v>1105</v>
      </c>
      <c r="D1200" s="2">
        <v>43712</v>
      </c>
      <c r="E1200" s="2">
        <f t="shared" si="68"/>
        <v>43712</v>
      </c>
      <c r="F1200" t="s">
        <v>105</v>
      </c>
      <c r="G1200" t="s">
        <v>106</v>
      </c>
      <c r="H1200" t="s">
        <v>107</v>
      </c>
      <c r="I1200" t="s">
        <v>621</v>
      </c>
      <c r="J1200" s="23">
        <v>-10.99</v>
      </c>
      <c r="K1200" t="str">
        <f t="shared" si="66"/>
        <v>septembre</v>
      </c>
      <c r="L1200" t="str">
        <f t="shared" si="67"/>
        <v>Dépenses</v>
      </c>
    </row>
    <row r="1201" spans="1:12" ht="15" customHeight="1" x14ac:dyDescent="0.2">
      <c r="A1201" t="s">
        <v>94</v>
      </c>
      <c r="B1201" s="4" t="s">
        <v>70</v>
      </c>
      <c r="C1201" s="7" t="s">
        <v>1106</v>
      </c>
      <c r="D1201" s="2">
        <v>43713</v>
      </c>
      <c r="E1201" s="2">
        <f t="shared" si="68"/>
        <v>43713</v>
      </c>
      <c r="F1201" t="s">
        <v>1014</v>
      </c>
      <c r="G1201" t="s">
        <v>162</v>
      </c>
      <c r="H1201" t="s">
        <v>163</v>
      </c>
      <c r="I1201" t="s">
        <v>621</v>
      </c>
      <c r="J1201" s="23">
        <v>-70</v>
      </c>
      <c r="K1201" t="str">
        <f t="shared" si="66"/>
        <v>septembre</v>
      </c>
      <c r="L1201" t="str">
        <f t="shared" si="67"/>
        <v>Dépenses</v>
      </c>
    </row>
    <row r="1202" spans="1:12" ht="15" customHeight="1" x14ac:dyDescent="0.2">
      <c r="A1202" t="s">
        <v>94</v>
      </c>
      <c r="B1202" s="4" t="s">
        <v>70</v>
      </c>
      <c r="C1202" s="7" t="s">
        <v>1107</v>
      </c>
      <c r="D1202" s="2">
        <v>43713</v>
      </c>
      <c r="E1202" s="2">
        <f t="shared" si="68"/>
        <v>43713</v>
      </c>
      <c r="F1202" t="s">
        <v>143</v>
      </c>
      <c r="G1202" t="s">
        <v>144</v>
      </c>
      <c r="H1202" t="s">
        <v>145</v>
      </c>
      <c r="I1202" t="s">
        <v>621</v>
      </c>
      <c r="J1202" s="23">
        <v>131.16</v>
      </c>
      <c r="K1202" t="str">
        <f t="shared" si="66"/>
        <v>septembre</v>
      </c>
      <c r="L1202" t="str">
        <f t="shared" si="67"/>
        <v>Recettes</v>
      </c>
    </row>
    <row r="1203" spans="1:12" ht="11.25" customHeight="1" x14ac:dyDescent="0.2">
      <c r="A1203" t="s">
        <v>69</v>
      </c>
      <c r="B1203" s="4" t="s">
        <v>70</v>
      </c>
      <c r="C1203" s="7" t="s">
        <v>1108</v>
      </c>
      <c r="D1203" s="2">
        <v>43713</v>
      </c>
      <c r="E1203" s="2">
        <f t="shared" si="68"/>
        <v>43713</v>
      </c>
      <c r="F1203" t="s">
        <v>147</v>
      </c>
      <c r="G1203" t="s">
        <v>115</v>
      </c>
      <c r="H1203" t="s">
        <v>148</v>
      </c>
      <c r="I1203" t="s">
        <v>621</v>
      </c>
      <c r="J1203" s="23">
        <v>-50</v>
      </c>
      <c r="K1203" t="str">
        <f t="shared" si="66"/>
        <v>septembre</v>
      </c>
      <c r="L1203" t="str">
        <f t="shared" si="67"/>
        <v>Dépenses</v>
      </c>
    </row>
    <row r="1204" spans="1:12" ht="11.25" customHeight="1" x14ac:dyDescent="0.2">
      <c r="A1204" t="s">
        <v>94</v>
      </c>
      <c r="B1204" t="s">
        <v>70</v>
      </c>
      <c r="D1204" s="2">
        <v>43713</v>
      </c>
      <c r="E1204" s="2">
        <f t="shared" si="68"/>
        <v>43713</v>
      </c>
      <c r="F1204" t="s">
        <v>1017</v>
      </c>
      <c r="G1204" t="s">
        <v>39</v>
      </c>
      <c r="H1204" t="s">
        <v>651</v>
      </c>
      <c r="I1204" t="s">
        <v>621</v>
      </c>
      <c r="J1204" s="22">
        <v>-190</v>
      </c>
      <c r="K1204" t="str">
        <f t="shared" si="66"/>
        <v>septembre</v>
      </c>
      <c r="L1204" t="str">
        <f t="shared" si="67"/>
        <v>Dépenses</v>
      </c>
    </row>
    <row r="1205" spans="1:12" ht="11.25" customHeight="1" x14ac:dyDescent="0.2">
      <c r="A1205" t="s">
        <v>94</v>
      </c>
      <c r="B1205" s="4" t="s">
        <v>70</v>
      </c>
      <c r="C1205" s="7" t="s">
        <v>1109</v>
      </c>
      <c r="D1205" s="2">
        <v>43714</v>
      </c>
      <c r="E1205" s="2">
        <f t="shared" si="68"/>
        <v>43714</v>
      </c>
      <c r="F1205" t="s">
        <v>157</v>
      </c>
      <c r="G1205" t="s">
        <v>158</v>
      </c>
      <c r="H1205" t="s">
        <v>87</v>
      </c>
      <c r="I1205" t="s">
        <v>621</v>
      </c>
      <c r="J1205" s="23">
        <v>-7.43</v>
      </c>
      <c r="K1205" t="str">
        <f t="shared" si="66"/>
        <v>septembre</v>
      </c>
      <c r="L1205" t="str">
        <f t="shared" si="67"/>
        <v>Dépenses</v>
      </c>
    </row>
    <row r="1206" spans="1:12" ht="11.25" customHeight="1" x14ac:dyDescent="0.2">
      <c r="A1206" t="s">
        <v>94</v>
      </c>
      <c r="B1206" s="4" t="s">
        <v>70</v>
      </c>
      <c r="C1206" s="7" t="s">
        <v>1110</v>
      </c>
      <c r="D1206" s="2">
        <v>43715</v>
      </c>
      <c r="E1206" s="2">
        <f t="shared" si="68"/>
        <v>43715</v>
      </c>
      <c r="F1206" t="s">
        <v>165</v>
      </c>
      <c r="G1206" t="s">
        <v>158</v>
      </c>
      <c r="H1206" t="s">
        <v>166</v>
      </c>
      <c r="I1206" t="s">
        <v>621</v>
      </c>
      <c r="J1206" s="23">
        <v>-27.35</v>
      </c>
      <c r="K1206" t="str">
        <f t="shared" si="66"/>
        <v>septembre</v>
      </c>
      <c r="L1206" t="str">
        <f t="shared" si="67"/>
        <v>Dépenses</v>
      </c>
    </row>
    <row r="1207" spans="1:12" ht="11.25" customHeight="1" x14ac:dyDescent="0.2">
      <c r="A1207" t="s">
        <v>94</v>
      </c>
      <c r="B1207" s="4" t="s">
        <v>70</v>
      </c>
      <c r="C1207" s="7" t="s">
        <v>1111</v>
      </c>
      <c r="D1207" s="2">
        <v>43715</v>
      </c>
      <c r="E1207" s="2">
        <f t="shared" si="68"/>
        <v>43715</v>
      </c>
      <c r="F1207" t="s">
        <v>165</v>
      </c>
      <c r="G1207" t="s">
        <v>158</v>
      </c>
      <c r="H1207" t="s">
        <v>166</v>
      </c>
      <c r="I1207" t="s">
        <v>621</v>
      </c>
      <c r="J1207" s="23">
        <v>-25.2</v>
      </c>
      <c r="K1207" t="str">
        <f t="shared" si="66"/>
        <v>septembre</v>
      </c>
      <c r="L1207" t="str">
        <f t="shared" si="67"/>
        <v>Dépenses</v>
      </c>
    </row>
    <row r="1208" spans="1:12" ht="11.25" customHeight="1" x14ac:dyDescent="0.2">
      <c r="A1208" t="s">
        <v>94</v>
      </c>
      <c r="B1208" s="4" t="s">
        <v>70</v>
      </c>
      <c r="C1208" s="7" t="s">
        <v>1112</v>
      </c>
      <c r="D1208" s="2">
        <v>43715</v>
      </c>
      <c r="E1208" s="2">
        <f t="shared" si="68"/>
        <v>43715</v>
      </c>
      <c r="F1208" t="s">
        <v>169</v>
      </c>
      <c r="G1208" t="s">
        <v>158</v>
      </c>
      <c r="H1208" t="s">
        <v>166</v>
      </c>
      <c r="I1208" t="s">
        <v>621</v>
      </c>
      <c r="J1208" s="23">
        <v>-34.33</v>
      </c>
      <c r="K1208" t="str">
        <f t="shared" si="66"/>
        <v>septembre</v>
      </c>
      <c r="L1208" t="str">
        <f t="shared" si="67"/>
        <v>Dépenses</v>
      </c>
    </row>
    <row r="1209" spans="1:12" ht="11.25" customHeight="1" x14ac:dyDescent="0.2">
      <c r="A1209" t="s">
        <v>94</v>
      </c>
      <c r="B1209" s="4" t="s">
        <v>70</v>
      </c>
      <c r="C1209" s="7" t="s">
        <v>1113</v>
      </c>
      <c r="D1209" s="2">
        <v>43717</v>
      </c>
      <c r="E1209" s="2">
        <f t="shared" si="68"/>
        <v>43717</v>
      </c>
      <c r="F1209" t="s">
        <v>187</v>
      </c>
      <c r="G1209" t="s">
        <v>158</v>
      </c>
      <c r="H1209" t="s">
        <v>188</v>
      </c>
      <c r="I1209" t="s">
        <v>621</v>
      </c>
      <c r="J1209" s="23">
        <v>-8.99</v>
      </c>
      <c r="K1209" t="str">
        <f t="shared" si="66"/>
        <v>septembre</v>
      </c>
      <c r="L1209" t="str">
        <f t="shared" si="67"/>
        <v>Dépenses</v>
      </c>
    </row>
    <row r="1210" spans="1:12" ht="15" customHeight="1" x14ac:dyDescent="0.2">
      <c r="A1210" t="s">
        <v>94</v>
      </c>
      <c r="B1210" s="4" t="s">
        <v>70</v>
      </c>
      <c r="C1210" s="7" t="s">
        <v>1113</v>
      </c>
      <c r="D1210" s="2">
        <v>43717</v>
      </c>
      <c r="E1210" s="2">
        <f t="shared" si="68"/>
        <v>43717</v>
      </c>
      <c r="F1210" t="s">
        <v>189</v>
      </c>
      <c r="G1210" t="s">
        <v>158</v>
      </c>
      <c r="H1210" t="s">
        <v>188</v>
      </c>
      <c r="I1210" t="s">
        <v>621</v>
      </c>
      <c r="J1210" s="23">
        <v>-6.99</v>
      </c>
      <c r="K1210" t="str">
        <f t="shared" si="66"/>
        <v>septembre</v>
      </c>
      <c r="L1210" t="str">
        <f t="shared" si="67"/>
        <v>Dépenses</v>
      </c>
    </row>
    <row r="1211" spans="1:12" ht="11.25" customHeight="1" x14ac:dyDescent="0.2">
      <c r="A1211" t="s">
        <v>108</v>
      </c>
      <c r="B1211" s="4" t="s">
        <v>70</v>
      </c>
      <c r="C1211" s="7" t="s">
        <v>1114</v>
      </c>
      <c r="D1211" s="2">
        <v>43717</v>
      </c>
      <c r="E1211" s="2">
        <f t="shared" si="68"/>
        <v>43717</v>
      </c>
      <c r="F1211" t="s">
        <v>171</v>
      </c>
      <c r="G1211" t="s">
        <v>172</v>
      </c>
      <c r="H1211" t="s">
        <v>173</v>
      </c>
      <c r="I1211" t="s">
        <v>621</v>
      </c>
      <c r="J1211" s="23">
        <v>-19.989999999999998</v>
      </c>
      <c r="K1211" t="str">
        <f t="shared" si="66"/>
        <v>septembre</v>
      </c>
      <c r="L1211" t="str">
        <f t="shared" si="67"/>
        <v>Dépenses</v>
      </c>
    </row>
    <row r="1212" spans="1:12" ht="11.25" customHeight="1" x14ac:dyDescent="0.2">
      <c r="A1212" t="s">
        <v>94</v>
      </c>
      <c r="B1212" s="4" t="s">
        <v>70</v>
      </c>
      <c r="C1212" s="7" t="s">
        <v>1115</v>
      </c>
      <c r="D1212" s="2">
        <v>43718</v>
      </c>
      <c r="E1212" s="2">
        <f t="shared" si="68"/>
        <v>43718</v>
      </c>
      <c r="F1212" t="s">
        <v>202</v>
      </c>
      <c r="G1212" t="s">
        <v>307</v>
      </c>
      <c r="H1212" t="s">
        <v>658</v>
      </c>
      <c r="I1212" t="s">
        <v>621</v>
      </c>
      <c r="J1212" s="23">
        <v>-15</v>
      </c>
      <c r="K1212" t="str">
        <f t="shared" si="66"/>
        <v>septembre</v>
      </c>
      <c r="L1212" t="str">
        <f t="shared" si="67"/>
        <v>Dépenses</v>
      </c>
    </row>
    <row r="1213" spans="1:12" ht="11.25" customHeight="1" x14ac:dyDescent="0.2">
      <c r="A1213" t="s">
        <v>94</v>
      </c>
      <c r="B1213" s="4" t="s">
        <v>70</v>
      </c>
      <c r="C1213" s="7" t="s">
        <v>1116</v>
      </c>
      <c r="D1213" s="2">
        <v>43718</v>
      </c>
      <c r="E1213" s="2">
        <f t="shared" si="68"/>
        <v>43718</v>
      </c>
      <c r="F1213" t="s">
        <v>204</v>
      </c>
      <c r="G1213" t="s">
        <v>307</v>
      </c>
      <c r="H1213" t="s">
        <v>660</v>
      </c>
      <c r="I1213" t="s">
        <v>621</v>
      </c>
      <c r="J1213" s="23">
        <v>-15</v>
      </c>
      <c r="K1213" t="str">
        <f t="shared" si="66"/>
        <v>septembre</v>
      </c>
      <c r="L1213" t="str">
        <f t="shared" si="67"/>
        <v>Dépenses</v>
      </c>
    </row>
    <row r="1214" spans="1:12" x14ac:dyDescent="0.2">
      <c r="A1214" t="s">
        <v>108</v>
      </c>
      <c r="B1214" s="4" t="s">
        <v>70</v>
      </c>
      <c r="C1214" s="7" t="s">
        <v>1117</v>
      </c>
      <c r="D1214" s="2">
        <v>43718</v>
      </c>
      <c r="E1214" s="2">
        <f t="shared" si="68"/>
        <v>43718</v>
      </c>
      <c r="F1214" t="s">
        <v>198</v>
      </c>
      <c r="G1214" t="s">
        <v>199</v>
      </c>
      <c r="H1214" t="s">
        <v>200</v>
      </c>
      <c r="I1214" t="s">
        <v>621</v>
      </c>
      <c r="J1214" s="23">
        <v>700</v>
      </c>
      <c r="K1214" t="str">
        <f t="shared" si="66"/>
        <v>septembre</v>
      </c>
      <c r="L1214" t="str">
        <f t="shared" si="67"/>
        <v>Recettes</v>
      </c>
    </row>
    <row r="1215" spans="1:12" x14ac:dyDescent="0.2">
      <c r="A1215" t="s">
        <v>658</v>
      </c>
      <c r="B1215" t="s">
        <v>70</v>
      </c>
      <c r="D1215" s="2">
        <v>43718</v>
      </c>
      <c r="E1215" s="2">
        <f t="shared" si="68"/>
        <v>43718</v>
      </c>
      <c r="F1215" t="s">
        <v>659</v>
      </c>
      <c r="G1215" t="s">
        <v>307</v>
      </c>
      <c r="H1215" t="s">
        <v>87</v>
      </c>
      <c r="I1215" t="s">
        <v>621</v>
      </c>
      <c r="J1215" s="22">
        <v>15</v>
      </c>
      <c r="K1215" t="str">
        <f t="shared" si="66"/>
        <v>septembre</v>
      </c>
      <c r="L1215" t="str">
        <f t="shared" si="67"/>
        <v>Recettes</v>
      </c>
    </row>
    <row r="1216" spans="1:12" x14ac:dyDescent="0.2">
      <c r="A1216" t="s">
        <v>660</v>
      </c>
      <c r="B1216" t="s">
        <v>70</v>
      </c>
      <c r="D1216" s="2">
        <v>43718</v>
      </c>
      <c r="E1216" s="2">
        <f t="shared" si="68"/>
        <v>43718</v>
      </c>
      <c r="F1216" t="s">
        <v>661</v>
      </c>
      <c r="G1216" t="s">
        <v>307</v>
      </c>
      <c r="H1216" t="s">
        <v>87</v>
      </c>
      <c r="I1216" t="s">
        <v>621</v>
      </c>
      <c r="J1216" s="22">
        <v>15</v>
      </c>
      <c r="K1216" t="str">
        <f t="shared" si="66"/>
        <v>septembre</v>
      </c>
      <c r="L1216" t="str">
        <f t="shared" si="67"/>
        <v>Recettes</v>
      </c>
    </row>
    <row r="1217" spans="1:12" ht="15" customHeight="1" x14ac:dyDescent="0.2">
      <c r="A1217" t="s">
        <v>108</v>
      </c>
      <c r="B1217" s="4" t="s">
        <v>70</v>
      </c>
      <c r="C1217" s="7" t="s">
        <v>1118</v>
      </c>
      <c r="D1217" s="2">
        <v>43718</v>
      </c>
      <c r="E1217" s="2">
        <f t="shared" si="68"/>
        <v>43718</v>
      </c>
      <c r="F1217" t="s">
        <v>206</v>
      </c>
      <c r="G1217" t="s">
        <v>111</v>
      </c>
      <c r="H1217" t="s">
        <v>207</v>
      </c>
      <c r="I1217" t="s">
        <v>621</v>
      </c>
      <c r="J1217" s="22">
        <v>-32.450000000000003</v>
      </c>
      <c r="K1217" t="str">
        <f t="shared" si="66"/>
        <v>septembre</v>
      </c>
      <c r="L1217" t="str">
        <f t="shared" si="67"/>
        <v>Dépenses</v>
      </c>
    </row>
    <row r="1218" spans="1:12" x14ac:dyDescent="0.2">
      <c r="A1218" t="s">
        <v>94</v>
      </c>
      <c r="B1218" s="4" t="s">
        <v>70</v>
      </c>
      <c r="C1218" s="7" t="s">
        <v>1119</v>
      </c>
      <c r="D1218" s="2">
        <v>43720</v>
      </c>
      <c r="E1218" s="2">
        <f t="shared" si="68"/>
        <v>43720</v>
      </c>
      <c r="F1218" t="s">
        <v>175</v>
      </c>
      <c r="G1218" t="s">
        <v>172</v>
      </c>
      <c r="H1218" t="s">
        <v>176</v>
      </c>
      <c r="I1218" t="s">
        <v>621</v>
      </c>
      <c r="J1218" s="23">
        <v>-35</v>
      </c>
      <c r="K1218" t="str">
        <f t="shared" ref="K1218:K1281" si="69">IF(D1218="","",TEXT(D1218,"Mmmm"))</f>
        <v>septembre</v>
      </c>
      <c r="L1218" t="str">
        <f t="shared" ref="L1218:L1281" si="70">IF(J1218="","",IF(J1218&lt;0,"Dépenses","Recettes"))</f>
        <v>Dépenses</v>
      </c>
    </row>
    <row r="1219" spans="1:12" ht="15" customHeight="1" x14ac:dyDescent="0.2">
      <c r="A1219" t="s">
        <v>94</v>
      </c>
      <c r="B1219" s="4" t="s">
        <v>70</v>
      </c>
      <c r="C1219" s="8" t="s">
        <v>1120</v>
      </c>
      <c r="D1219" s="2">
        <v>43723</v>
      </c>
      <c r="E1219" s="2">
        <f t="shared" si="68"/>
        <v>43723</v>
      </c>
      <c r="F1219" s="4" t="s">
        <v>232</v>
      </c>
      <c r="G1219" s="4" t="s">
        <v>79</v>
      </c>
      <c r="H1219" s="4" t="s">
        <v>233</v>
      </c>
      <c r="I1219" t="s">
        <v>621</v>
      </c>
      <c r="J1219" s="23">
        <v>-22.5</v>
      </c>
      <c r="K1219" t="str">
        <f t="shared" si="69"/>
        <v>septembre</v>
      </c>
      <c r="L1219" t="str">
        <f t="shared" si="70"/>
        <v>Dépenses</v>
      </c>
    </row>
    <row r="1220" spans="1:12" ht="15" customHeight="1" x14ac:dyDescent="0.2">
      <c r="A1220" t="s">
        <v>94</v>
      </c>
      <c r="B1220" s="4" t="s">
        <v>70</v>
      </c>
      <c r="C1220" s="7" t="s">
        <v>1121</v>
      </c>
      <c r="D1220" s="2">
        <v>43724</v>
      </c>
      <c r="E1220" s="2">
        <f t="shared" si="68"/>
        <v>43724</v>
      </c>
      <c r="F1220" s="4" t="s">
        <v>240</v>
      </c>
      <c r="G1220" s="4" t="s">
        <v>73</v>
      </c>
      <c r="H1220" s="4" t="s">
        <v>241</v>
      </c>
      <c r="I1220" t="s">
        <v>621</v>
      </c>
      <c r="J1220" s="23">
        <v>-164.14</v>
      </c>
      <c r="K1220" t="str">
        <f t="shared" si="69"/>
        <v>septembre</v>
      </c>
      <c r="L1220" t="str">
        <f t="shared" si="70"/>
        <v>Dépenses</v>
      </c>
    </row>
    <row r="1221" spans="1:12" x14ac:dyDescent="0.2">
      <c r="A1221" t="s">
        <v>94</v>
      </c>
      <c r="B1221" s="4" t="s">
        <v>70</v>
      </c>
      <c r="C1221" s="7" t="s">
        <v>1122</v>
      </c>
      <c r="D1221" s="2">
        <v>43724</v>
      </c>
      <c r="E1221" s="2">
        <f t="shared" si="68"/>
        <v>43724</v>
      </c>
      <c r="F1221" t="s">
        <v>243</v>
      </c>
      <c r="G1221" t="s">
        <v>244</v>
      </c>
      <c r="H1221" t="s">
        <v>245</v>
      </c>
      <c r="I1221" t="s">
        <v>621</v>
      </c>
      <c r="J1221" s="23">
        <v>-35</v>
      </c>
      <c r="K1221" t="str">
        <f t="shared" si="69"/>
        <v>septembre</v>
      </c>
      <c r="L1221" t="str">
        <f t="shared" si="70"/>
        <v>Dépenses</v>
      </c>
    </row>
    <row r="1222" spans="1:12" ht="11.25" customHeight="1" x14ac:dyDescent="0.2">
      <c r="A1222" t="s">
        <v>94</v>
      </c>
      <c r="B1222" s="4" t="s">
        <v>70</v>
      </c>
      <c r="C1222" s="7" t="s">
        <v>1123</v>
      </c>
      <c r="D1222" s="2">
        <v>43724</v>
      </c>
      <c r="E1222" s="2">
        <f t="shared" si="68"/>
        <v>43724</v>
      </c>
      <c r="F1222" t="s">
        <v>247</v>
      </c>
      <c r="G1222" t="s">
        <v>134</v>
      </c>
      <c r="H1222" t="s">
        <v>319</v>
      </c>
      <c r="I1222" t="s">
        <v>621</v>
      </c>
      <c r="J1222" s="23">
        <v>-40</v>
      </c>
      <c r="K1222" t="str">
        <f t="shared" si="69"/>
        <v>septembre</v>
      </c>
      <c r="L1222" t="str">
        <f t="shared" si="70"/>
        <v>Dépenses</v>
      </c>
    </row>
    <row r="1223" spans="1:12" ht="11.25" customHeight="1" x14ac:dyDescent="0.2">
      <c r="A1223" t="s">
        <v>94</v>
      </c>
      <c r="B1223" s="4" t="s">
        <v>70</v>
      </c>
      <c r="C1223" s="7" t="s">
        <v>1124</v>
      </c>
      <c r="D1223" s="2">
        <v>43724</v>
      </c>
      <c r="E1223" s="2">
        <f t="shared" si="68"/>
        <v>43724</v>
      </c>
      <c r="F1223" t="s">
        <v>249</v>
      </c>
      <c r="G1223" t="s">
        <v>134</v>
      </c>
      <c r="H1223" t="s">
        <v>319</v>
      </c>
      <c r="I1223" t="s">
        <v>621</v>
      </c>
      <c r="J1223" s="23">
        <v>-40</v>
      </c>
      <c r="K1223" t="str">
        <f t="shared" si="69"/>
        <v>septembre</v>
      </c>
      <c r="L1223" t="str">
        <f t="shared" si="70"/>
        <v>Dépenses</v>
      </c>
    </row>
    <row r="1224" spans="1:12" ht="11.25" customHeight="1" x14ac:dyDescent="0.2">
      <c r="A1224" t="s">
        <v>94</v>
      </c>
      <c r="B1224" t="s">
        <v>70</v>
      </c>
      <c r="C1224" s="1" t="s">
        <v>954</v>
      </c>
      <c r="D1224" s="2">
        <v>43724</v>
      </c>
      <c r="E1224" s="2">
        <f t="shared" si="68"/>
        <v>43724</v>
      </c>
      <c r="F1224" t="s">
        <v>958</v>
      </c>
      <c r="G1224" t="s">
        <v>158</v>
      </c>
      <c r="H1224" t="s">
        <v>956</v>
      </c>
      <c r="I1224" t="s">
        <v>621</v>
      </c>
      <c r="J1224" s="22">
        <v>-49.82</v>
      </c>
      <c r="K1224" t="str">
        <f t="shared" si="69"/>
        <v>septembre</v>
      </c>
      <c r="L1224" t="str">
        <f t="shared" si="70"/>
        <v>Dépenses</v>
      </c>
    </row>
    <row r="1225" spans="1:12" ht="15" customHeight="1" x14ac:dyDescent="0.2">
      <c r="A1225" t="s">
        <v>69</v>
      </c>
      <c r="B1225" s="4" t="s">
        <v>70</v>
      </c>
      <c r="C1225" s="7" t="s">
        <v>1125</v>
      </c>
      <c r="D1225" s="2">
        <v>43732</v>
      </c>
      <c r="E1225" s="2">
        <f t="shared" si="68"/>
        <v>43732</v>
      </c>
      <c r="F1225" t="s">
        <v>285</v>
      </c>
      <c r="G1225" t="s">
        <v>199</v>
      </c>
      <c r="H1225" t="s">
        <v>74</v>
      </c>
      <c r="I1225" t="s">
        <v>621</v>
      </c>
      <c r="J1225" s="23">
        <v>2900</v>
      </c>
      <c r="K1225" t="str">
        <f t="shared" si="69"/>
        <v>septembre</v>
      </c>
      <c r="L1225" t="str">
        <f t="shared" si="70"/>
        <v>Recettes</v>
      </c>
    </row>
    <row r="1226" spans="1:12" ht="15" customHeight="1" x14ac:dyDescent="0.2">
      <c r="A1226" t="s">
        <v>69</v>
      </c>
      <c r="B1226" s="4" t="s">
        <v>70</v>
      </c>
      <c r="C1226" s="7" t="s">
        <v>458</v>
      </c>
      <c r="D1226" s="2">
        <v>43733</v>
      </c>
      <c r="E1226" s="2">
        <f t="shared" si="68"/>
        <v>43733</v>
      </c>
      <c r="F1226" t="s">
        <v>102</v>
      </c>
      <c r="G1226" t="s">
        <v>459</v>
      </c>
      <c r="H1226" t="s">
        <v>94</v>
      </c>
      <c r="I1226" t="s">
        <v>621</v>
      </c>
      <c r="J1226" s="23">
        <v>-860</v>
      </c>
      <c r="K1226" t="str">
        <f t="shared" si="69"/>
        <v>septembre</v>
      </c>
      <c r="L1226" t="str">
        <f t="shared" si="70"/>
        <v>Dépenses</v>
      </c>
    </row>
    <row r="1227" spans="1:12" ht="11.25" customHeight="1" x14ac:dyDescent="0.2">
      <c r="A1227" t="s">
        <v>94</v>
      </c>
      <c r="B1227" s="4" t="s">
        <v>70</v>
      </c>
      <c r="C1227" s="7" t="s">
        <v>458</v>
      </c>
      <c r="D1227" s="2">
        <v>43733</v>
      </c>
      <c r="E1227" s="2">
        <f t="shared" si="68"/>
        <v>43733</v>
      </c>
      <c r="F1227" t="s">
        <v>135</v>
      </c>
      <c r="G1227" t="s">
        <v>459</v>
      </c>
      <c r="H1227" t="s">
        <v>69</v>
      </c>
      <c r="I1227" t="s">
        <v>621</v>
      </c>
      <c r="J1227" s="23">
        <v>860</v>
      </c>
      <c r="K1227" t="str">
        <f t="shared" si="69"/>
        <v>septembre</v>
      </c>
      <c r="L1227" t="str">
        <f t="shared" si="70"/>
        <v>Recettes</v>
      </c>
    </row>
    <row r="1228" spans="1:12" ht="11.25" customHeight="1" x14ac:dyDescent="0.2">
      <c r="A1228" t="s">
        <v>94</v>
      </c>
      <c r="B1228" t="s">
        <v>70</v>
      </c>
      <c r="D1228" s="2">
        <v>43733</v>
      </c>
      <c r="E1228" s="2">
        <f>IF(A1235="","",IF(A1235&lt;&gt;"Carte Lux",D1235,VLOOKUP(D1235,Periode_datedebit_2019,3)))</f>
        <v>43733</v>
      </c>
      <c r="F1228" t="s">
        <v>460</v>
      </c>
      <c r="G1228" t="s">
        <v>127</v>
      </c>
      <c r="H1228" t="s">
        <v>88</v>
      </c>
      <c r="I1228" t="s">
        <v>621</v>
      </c>
      <c r="J1228" s="22">
        <v>-70</v>
      </c>
      <c r="K1228" t="str">
        <f t="shared" si="69"/>
        <v>septembre</v>
      </c>
      <c r="L1228" t="str">
        <f t="shared" si="70"/>
        <v>Dépenses</v>
      </c>
    </row>
    <row r="1229" spans="1:12" ht="11.25" customHeight="1" x14ac:dyDescent="0.2">
      <c r="A1229" t="s">
        <v>94</v>
      </c>
      <c r="B1229" t="s">
        <v>70</v>
      </c>
      <c r="D1229" s="2">
        <v>43733</v>
      </c>
      <c r="E1229" s="2">
        <f t="shared" ref="E1229:E1260" si="71">IF(A1229="","",IF(A1229&lt;&gt;"Carte Lux",D1229,VLOOKUP(D1229,Periode_datedebit_2019,3)))</f>
        <v>43733</v>
      </c>
      <c r="F1229" t="s">
        <v>461</v>
      </c>
      <c r="G1229" t="s">
        <v>28</v>
      </c>
      <c r="H1229" t="s">
        <v>88</v>
      </c>
      <c r="I1229" t="s">
        <v>621</v>
      </c>
      <c r="J1229" s="22">
        <v>-30</v>
      </c>
      <c r="K1229" t="str">
        <f t="shared" si="69"/>
        <v>septembre</v>
      </c>
      <c r="L1229" t="str">
        <f t="shared" si="70"/>
        <v>Dépenses</v>
      </c>
    </row>
    <row r="1230" spans="1:12" ht="11.25" customHeight="1" x14ac:dyDescent="0.2">
      <c r="A1230" t="s">
        <v>94</v>
      </c>
      <c r="B1230" t="s">
        <v>70</v>
      </c>
      <c r="D1230" s="2">
        <v>43733</v>
      </c>
      <c r="E1230" s="2">
        <f t="shared" si="71"/>
        <v>43733</v>
      </c>
      <c r="F1230" t="s">
        <v>462</v>
      </c>
      <c r="G1230" t="s">
        <v>254</v>
      </c>
      <c r="H1230" t="s">
        <v>88</v>
      </c>
      <c r="I1230" t="s">
        <v>621</v>
      </c>
      <c r="J1230" s="22">
        <v>-100</v>
      </c>
      <c r="K1230" t="str">
        <f t="shared" si="69"/>
        <v>septembre</v>
      </c>
      <c r="L1230" t="str">
        <f t="shared" si="70"/>
        <v>Dépenses</v>
      </c>
    </row>
    <row r="1231" spans="1:12" ht="11.25" customHeight="1" x14ac:dyDescent="0.2">
      <c r="A1231" t="s">
        <v>94</v>
      </c>
      <c r="B1231" t="s">
        <v>70</v>
      </c>
      <c r="D1231" s="2">
        <v>43733</v>
      </c>
      <c r="E1231" s="2">
        <f t="shared" si="71"/>
        <v>43733</v>
      </c>
      <c r="F1231" t="s">
        <v>463</v>
      </c>
      <c r="G1231" t="s">
        <v>270</v>
      </c>
      <c r="H1231" t="s">
        <v>88</v>
      </c>
      <c r="I1231" t="s">
        <v>621</v>
      </c>
      <c r="J1231" s="22">
        <v>-70</v>
      </c>
      <c r="K1231" t="str">
        <f t="shared" si="69"/>
        <v>septembre</v>
      </c>
      <c r="L1231" t="str">
        <f t="shared" si="70"/>
        <v>Dépenses</v>
      </c>
    </row>
    <row r="1232" spans="1:12" ht="11.25" customHeight="1" x14ac:dyDescent="0.2">
      <c r="A1232" t="s">
        <v>94</v>
      </c>
      <c r="B1232" t="s">
        <v>70</v>
      </c>
      <c r="D1232" s="2">
        <v>43733</v>
      </c>
      <c r="E1232" s="2">
        <f t="shared" si="71"/>
        <v>43733</v>
      </c>
      <c r="F1232" t="s">
        <v>464</v>
      </c>
      <c r="G1232" t="s">
        <v>118</v>
      </c>
      <c r="H1232" t="s">
        <v>88</v>
      </c>
      <c r="I1232" t="s">
        <v>621</v>
      </c>
      <c r="J1232" s="22">
        <v>-150</v>
      </c>
      <c r="K1232" t="str">
        <f t="shared" si="69"/>
        <v>septembre</v>
      </c>
      <c r="L1232" t="str">
        <f t="shared" si="70"/>
        <v>Dépenses</v>
      </c>
    </row>
    <row r="1233" spans="1:12" ht="15" customHeight="1" x14ac:dyDescent="0.2">
      <c r="A1233" t="s">
        <v>94</v>
      </c>
      <c r="B1233" t="s">
        <v>70</v>
      </c>
      <c r="D1233" s="2">
        <v>43733</v>
      </c>
      <c r="E1233" s="2">
        <f t="shared" si="71"/>
        <v>43733</v>
      </c>
      <c r="F1233" t="s">
        <v>465</v>
      </c>
      <c r="G1233" t="s">
        <v>16</v>
      </c>
      <c r="H1233" t="s">
        <v>88</v>
      </c>
      <c r="I1233" t="s">
        <v>621</v>
      </c>
      <c r="J1233" s="22">
        <v>-60</v>
      </c>
      <c r="K1233" t="str">
        <f t="shared" si="69"/>
        <v>septembre</v>
      </c>
      <c r="L1233" t="str">
        <f t="shared" si="70"/>
        <v>Dépenses</v>
      </c>
    </row>
    <row r="1234" spans="1:12" ht="11.25" customHeight="1" x14ac:dyDescent="0.2">
      <c r="A1234" t="s">
        <v>94</v>
      </c>
      <c r="B1234" t="s">
        <v>70</v>
      </c>
      <c r="D1234" s="2">
        <v>43733</v>
      </c>
      <c r="E1234" s="2">
        <f t="shared" si="71"/>
        <v>43733</v>
      </c>
      <c r="F1234" t="s">
        <v>466</v>
      </c>
      <c r="G1234" t="s">
        <v>111</v>
      </c>
      <c r="H1234" t="s">
        <v>88</v>
      </c>
      <c r="I1234" t="s">
        <v>621</v>
      </c>
      <c r="J1234" s="22">
        <v>-120</v>
      </c>
      <c r="K1234" t="str">
        <f t="shared" si="69"/>
        <v>septembre</v>
      </c>
      <c r="L1234" t="str">
        <f t="shared" si="70"/>
        <v>Dépenses</v>
      </c>
    </row>
    <row r="1235" spans="1:12" ht="11.25" customHeight="1" x14ac:dyDescent="0.2">
      <c r="A1235" t="s">
        <v>94</v>
      </c>
      <c r="B1235" t="s">
        <v>70</v>
      </c>
      <c r="D1235" s="2">
        <v>43733</v>
      </c>
      <c r="E1235" s="2">
        <f t="shared" si="71"/>
        <v>43733</v>
      </c>
      <c r="F1235" t="s">
        <v>467</v>
      </c>
      <c r="G1235" t="s">
        <v>229</v>
      </c>
      <c r="H1235" t="s">
        <v>88</v>
      </c>
      <c r="I1235" t="s">
        <v>621</v>
      </c>
      <c r="J1235" s="22">
        <v>-60</v>
      </c>
      <c r="K1235" t="str">
        <f t="shared" si="69"/>
        <v>septembre</v>
      </c>
      <c r="L1235" t="str">
        <f t="shared" si="70"/>
        <v>Dépenses</v>
      </c>
    </row>
    <row r="1236" spans="1:12" ht="11.25" customHeight="1" x14ac:dyDescent="0.2">
      <c r="A1236" t="s">
        <v>94</v>
      </c>
      <c r="B1236" t="s">
        <v>70</v>
      </c>
      <c r="D1236" s="2">
        <v>43733</v>
      </c>
      <c r="E1236" s="2">
        <f t="shared" si="71"/>
        <v>43733</v>
      </c>
      <c r="F1236" t="s">
        <v>469</v>
      </c>
      <c r="G1236" t="s">
        <v>52</v>
      </c>
      <c r="H1236" t="s">
        <v>88</v>
      </c>
      <c r="I1236" t="s">
        <v>621</v>
      </c>
      <c r="J1236" s="22">
        <v>-100</v>
      </c>
      <c r="K1236" t="str">
        <f t="shared" si="69"/>
        <v>septembre</v>
      </c>
      <c r="L1236" t="str">
        <f t="shared" si="70"/>
        <v>Dépenses</v>
      </c>
    </row>
    <row r="1237" spans="1:12" ht="11.25" customHeight="1" x14ac:dyDescent="0.2">
      <c r="A1237" t="s">
        <v>94</v>
      </c>
      <c r="B1237" t="s">
        <v>70</v>
      </c>
      <c r="D1237" s="2">
        <v>43733</v>
      </c>
      <c r="E1237" s="2">
        <f t="shared" si="71"/>
        <v>43733</v>
      </c>
      <c r="F1237" t="s">
        <v>470</v>
      </c>
      <c r="G1237" t="s">
        <v>39</v>
      </c>
      <c r="H1237" t="s">
        <v>88</v>
      </c>
      <c r="I1237" t="s">
        <v>621</v>
      </c>
      <c r="J1237" s="22">
        <v>-100</v>
      </c>
      <c r="K1237" t="str">
        <f t="shared" si="69"/>
        <v>septembre</v>
      </c>
      <c r="L1237" t="str">
        <f t="shared" si="70"/>
        <v>Dépenses</v>
      </c>
    </row>
    <row r="1238" spans="1:12" ht="11.25" customHeight="1" x14ac:dyDescent="0.2">
      <c r="A1238" t="s">
        <v>88</v>
      </c>
      <c r="B1238" t="s">
        <v>70</v>
      </c>
      <c r="D1238" s="2">
        <v>43733</v>
      </c>
      <c r="E1238" s="2">
        <f t="shared" si="71"/>
        <v>43733</v>
      </c>
      <c r="F1238" t="s">
        <v>471</v>
      </c>
      <c r="G1238" t="s">
        <v>76</v>
      </c>
      <c r="H1238" t="s">
        <v>94</v>
      </c>
      <c r="I1238" t="s">
        <v>621</v>
      </c>
      <c r="J1238" s="22">
        <v>860</v>
      </c>
      <c r="K1238" t="str">
        <f t="shared" si="69"/>
        <v>septembre</v>
      </c>
      <c r="L1238" t="str">
        <f t="shared" si="70"/>
        <v>Recettes</v>
      </c>
    </row>
    <row r="1239" spans="1:12" ht="11.25" customHeight="1" x14ac:dyDescent="0.2">
      <c r="A1239" t="s">
        <v>69</v>
      </c>
      <c r="B1239" t="s">
        <v>137</v>
      </c>
      <c r="C1239" s="7" t="s">
        <v>1126</v>
      </c>
      <c r="D1239" s="2">
        <v>43733</v>
      </c>
      <c r="E1239" s="2">
        <f t="shared" si="71"/>
        <v>43733</v>
      </c>
      <c r="F1239" t="s">
        <v>291</v>
      </c>
      <c r="G1239" t="s">
        <v>79</v>
      </c>
      <c r="H1239" t="s">
        <v>292</v>
      </c>
      <c r="I1239" t="s">
        <v>621</v>
      </c>
      <c r="J1239" s="22">
        <v>-2.38</v>
      </c>
      <c r="K1239" t="str">
        <f t="shared" si="69"/>
        <v>septembre</v>
      </c>
      <c r="L1239" t="str">
        <f t="shared" si="70"/>
        <v>Dépenses</v>
      </c>
    </row>
    <row r="1240" spans="1:12" ht="15" customHeight="1" x14ac:dyDescent="0.2">
      <c r="A1240" t="s">
        <v>69</v>
      </c>
      <c r="B1240" s="4" t="s">
        <v>70</v>
      </c>
      <c r="C1240" s="7" t="s">
        <v>1108</v>
      </c>
      <c r="D1240" s="2">
        <v>43736</v>
      </c>
      <c r="E1240" s="2">
        <f t="shared" si="71"/>
        <v>43736</v>
      </c>
      <c r="F1240" t="s">
        <v>147</v>
      </c>
      <c r="G1240" t="s">
        <v>115</v>
      </c>
      <c r="H1240" t="s">
        <v>148</v>
      </c>
      <c r="I1240" t="s">
        <v>621</v>
      </c>
      <c r="J1240" s="23">
        <v>-50</v>
      </c>
      <c r="K1240" t="str">
        <f t="shared" si="69"/>
        <v>septembre</v>
      </c>
      <c r="L1240" t="str">
        <f t="shared" si="70"/>
        <v>Dépenses</v>
      </c>
    </row>
    <row r="1241" spans="1:12" ht="11.25" customHeight="1" x14ac:dyDescent="0.2">
      <c r="A1241" t="s">
        <v>94</v>
      </c>
      <c r="B1241" s="4" t="s">
        <v>70</v>
      </c>
      <c r="C1241" s="7" t="s">
        <v>1127</v>
      </c>
      <c r="D1241" s="2">
        <v>43736</v>
      </c>
      <c r="E1241" s="2">
        <f t="shared" si="71"/>
        <v>43736</v>
      </c>
      <c r="F1241" t="s">
        <v>317</v>
      </c>
      <c r="G1241" t="s">
        <v>318</v>
      </c>
      <c r="H1241" t="s">
        <v>319</v>
      </c>
      <c r="I1241" t="s">
        <v>621</v>
      </c>
      <c r="J1241" s="22">
        <v>-80.33</v>
      </c>
      <c r="K1241" t="str">
        <f t="shared" si="69"/>
        <v>septembre</v>
      </c>
      <c r="L1241" t="str">
        <f t="shared" si="70"/>
        <v>Dépenses</v>
      </c>
    </row>
    <row r="1242" spans="1:12" ht="15" customHeight="1" x14ac:dyDescent="0.2">
      <c r="A1242" t="s">
        <v>69</v>
      </c>
      <c r="B1242" s="4" t="s">
        <v>70</v>
      </c>
      <c r="C1242" s="7" t="s">
        <v>1128</v>
      </c>
      <c r="D1242" s="2">
        <v>43738</v>
      </c>
      <c r="E1242" s="2">
        <f t="shared" si="71"/>
        <v>43738</v>
      </c>
      <c r="F1242" t="s">
        <v>327</v>
      </c>
      <c r="G1242" t="s">
        <v>328</v>
      </c>
      <c r="H1242" t="s">
        <v>329</v>
      </c>
      <c r="I1242" t="s">
        <v>621</v>
      </c>
      <c r="J1242" s="22">
        <v>-12</v>
      </c>
      <c r="K1242" t="str">
        <f t="shared" si="69"/>
        <v>septembre</v>
      </c>
      <c r="L1242" t="str">
        <f t="shared" si="70"/>
        <v>Dépenses</v>
      </c>
    </row>
    <row r="1243" spans="1:12" ht="15" customHeight="1" x14ac:dyDescent="0.2">
      <c r="A1243" t="s">
        <v>108</v>
      </c>
      <c r="B1243" s="4" t="s">
        <v>70</v>
      </c>
      <c r="C1243" s="7" t="s">
        <v>1129</v>
      </c>
      <c r="D1243" s="2">
        <v>43738</v>
      </c>
      <c r="E1243" s="2">
        <f t="shared" si="71"/>
        <v>43738</v>
      </c>
      <c r="F1243" t="s">
        <v>184</v>
      </c>
      <c r="G1243" t="s">
        <v>106</v>
      </c>
      <c r="H1243" t="s">
        <v>185</v>
      </c>
      <c r="I1243" t="s">
        <v>621</v>
      </c>
      <c r="J1243" s="23">
        <v>-0.99</v>
      </c>
      <c r="K1243" t="str">
        <f t="shared" si="69"/>
        <v>septembre</v>
      </c>
      <c r="L1243" t="str">
        <f t="shared" si="70"/>
        <v>Dépenses</v>
      </c>
    </row>
    <row r="1244" spans="1:12" ht="15" customHeight="1" x14ac:dyDescent="0.2">
      <c r="A1244" t="s">
        <v>69</v>
      </c>
      <c r="B1244" s="4" t="s">
        <v>70</v>
      </c>
      <c r="C1244" s="5" t="s">
        <v>1130</v>
      </c>
      <c r="D1244" s="2">
        <v>43739</v>
      </c>
      <c r="E1244" s="2">
        <f t="shared" si="71"/>
        <v>43739</v>
      </c>
      <c r="F1244" t="s">
        <v>72</v>
      </c>
      <c r="G1244" t="s">
        <v>73</v>
      </c>
      <c r="H1244" t="s">
        <v>74</v>
      </c>
      <c r="I1244" t="s">
        <v>621</v>
      </c>
      <c r="J1244" s="23">
        <v>-500</v>
      </c>
      <c r="K1244" t="str">
        <f t="shared" si="69"/>
        <v>octobre</v>
      </c>
      <c r="L1244" t="str">
        <f t="shared" si="70"/>
        <v>Dépenses</v>
      </c>
    </row>
    <row r="1245" spans="1:12" ht="11.25" customHeight="1" x14ac:dyDescent="0.2">
      <c r="A1245" t="s">
        <v>75</v>
      </c>
      <c r="B1245" s="4" t="s">
        <v>70</v>
      </c>
      <c r="C1245" s="5" t="s">
        <v>1130</v>
      </c>
      <c r="D1245" s="2">
        <v>43739</v>
      </c>
      <c r="E1245" s="2">
        <f t="shared" si="71"/>
        <v>43739</v>
      </c>
      <c r="F1245" t="s">
        <v>72</v>
      </c>
      <c r="G1245" t="s">
        <v>76</v>
      </c>
      <c r="H1245" t="s">
        <v>74</v>
      </c>
      <c r="I1245" t="s">
        <v>621</v>
      </c>
      <c r="J1245" s="23">
        <v>500</v>
      </c>
      <c r="K1245" t="str">
        <f t="shared" si="69"/>
        <v>octobre</v>
      </c>
      <c r="L1245" t="str">
        <f t="shared" si="70"/>
        <v>Recettes</v>
      </c>
    </row>
    <row r="1246" spans="1:12" ht="11.25" customHeight="1" x14ac:dyDescent="0.2">
      <c r="A1246" t="s">
        <v>658</v>
      </c>
      <c r="B1246" t="s">
        <v>70</v>
      </c>
      <c r="D1246" s="2">
        <v>43739</v>
      </c>
      <c r="E1246" s="2">
        <f t="shared" si="71"/>
        <v>43739</v>
      </c>
      <c r="F1246" t="s">
        <v>659</v>
      </c>
      <c r="G1246" t="s">
        <v>76</v>
      </c>
      <c r="H1246" t="s">
        <v>87</v>
      </c>
      <c r="I1246" t="s">
        <v>621</v>
      </c>
      <c r="J1246" s="22">
        <v>-15</v>
      </c>
      <c r="K1246" t="str">
        <f t="shared" si="69"/>
        <v>octobre</v>
      </c>
      <c r="L1246" t="str">
        <f t="shared" si="70"/>
        <v>Dépenses</v>
      </c>
    </row>
    <row r="1247" spans="1:12" ht="11.25" customHeight="1" x14ac:dyDescent="0.2">
      <c r="A1247" t="s">
        <v>660</v>
      </c>
      <c r="B1247" t="s">
        <v>70</v>
      </c>
      <c r="D1247" s="2">
        <v>43739</v>
      </c>
      <c r="E1247" s="2">
        <f t="shared" si="71"/>
        <v>43739</v>
      </c>
      <c r="F1247" t="s">
        <v>661</v>
      </c>
      <c r="G1247" t="s">
        <v>76</v>
      </c>
      <c r="H1247" t="s">
        <v>87</v>
      </c>
      <c r="I1247" t="s">
        <v>621</v>
      </c>
      <c r="J1247" s="22">
        <v>-15</v>
      </c>
      <c r="K1247" t="str">
        <f t="shared" si="69"/>
        <v>octobre</v>
      </c>
      <c r="L1247" t="str">
        <f t="shared" si="70"/>
        <v>Dépenses</v>
      </c>
    </row>
    <row r="1248" spans="1:12" ht="11.25" customHeight="1" x14ac:dyDescent="0.2">
      <c r="A1248" t="s">
        <v>94</v>
      </c>
      <c r="B1248" s="4" t="s">
        <v>70</v>
      </c>
      <c r="C1248" s="5" t="s">
        <v>1131</v>
      </c>
      <c r="D1248" s="2">
        <v>43740</v>
      </c>
      <c r="E1248" s="2">
        <f t="shared" si="71"/>
        <v>43740</v>
      </c>
      <c r="F1248" t="s">
        <v>96</v>
      </c>
      <c r="G1248" t="s">
        <v>86</v>
      </c>
      <c r="H1248" t="s">
        <v>87</v>
      </c>
      <c r="I1248" t="s">
        <v>621</v>
      </c>
      <c r="J1248" s="22">
        <v>-6.72</v>
      </c>
      <c r="K1248" t="str">
        <f t="shared" si="69"/>
        <v>octobre</v>
      </c>
      <c r="L1248" t="str">
        <f t="shared" si="70"/>
        <v>Dépenses</v>
      </c>
    </row>
    <row r="1249" spans="1:12" ht="11.25" customHeight="1" x14ac:dyDescent="0.2">
      <c r="A1249" t="s">
        <v>69</v>
      </c>
      <c r="B1249" s="4" t="s">
        <v>70</v>
      </c>
      <c r="C1249" s="7" t="s">
        <v>1132</v>
      </c>
      <c r="D1249" s="2">
        <v>43740</v>
      </c>
      <c r="E1249" s="2">
        <f t="shared" si="71"/>
        <v>43740</v>
      </c>
      <c r="F1249" t="s">
        <v>98</v>
      </c>
      <c r="G1249" t="s">
        <v>73</v>
      </c>
      <c r="H1249" t="s">
        <v>74</v>
      </c>
      <c r="I1249" t="s">
        <v>621</v>
      </c>
      <c r="J1249" s="23">
        <v>-597</v>
      </c>
      <c r="K1249" t="str">
        <f t="shared" si="69"/>
        <v>octobre</v>
      </c>
      <c r="L1249" t="str">
        <f t="shared" si="70"/>
        <v>Dépenses</v>
      </c>
    </row>
    <row r="1250" spans="1:12" x14ac:dyDescent="0.2">
      <c r="A1250" t="s">
        <v>69</v>
      </c>
      <c r="B1250" s="4" t="s">
        <v>70</v>
      </c>
      <c r="C1250" s="7" t="s">
        <v>1133</v>
      </c>
      <c r="D1250" s="2">
        <v>43740</v>
      </c>
      <c r="E1250" s="2">
        <f t="shared" si="71"/>
        <v>43740</v>
      </c>
      <c r="F1250" t="s">
        <v>100</v>
      </c>
      <c r="G1250" t="s">
        <v>73</v>
      </c>
      <c r="H1250" t="s">
        <v>74</v>
      </c>
      <c r="I1250" t="s">
        <v>621</v>
      </c>
      <c r="J1250" s="23">
        <v>-120</v>
      </c>
      <c r="K1250" t="str">
        <f t="shared" si="69"/>
        <v>octobre</v>
      </c>
      <c r="L1250" t="str">
        <f t="shared" si="70"/>
        <v>Dépenses</v>
      </c>
    </row>
    <row r="1251" spans="1:12" ht="15" customHeight="1" x14ac:dyDescent="0.2">
      <c r="A1251" t="s">
        <v>69</v>
      </c>
      <c r="B1251" s="4" t="s">
        <v>70</v>
      </c>
      <c r="C1251" s="7" t="s">
        <v>1134</v>
      </c>
      <c r="D1251" s="2">
        <v>43740</v>
      </c>
      <c r="E1251" s="2">
        <f t="shared" si="71"/>
        <v>43740</v>
      </c>
      <c r="F1251" t="s">
        <v>102</v>
      </c>
      <c r="G1251" t="s">
        <v>103</v>
      </c>
      <c r="H1251" t="s">
        <v>94</v>
      </c>
      <c r="I1251" t="s">
        <v>621</v>
      </c>
      <c r="J1251" s="23">
        <v>-600</v>
      </c>
      <c r="K1251" t="str">
        <f t="shared" si="69"/>
        <v>octobre</v>
      </c>
      <c r="L1251" t="str">
        <f t="shared" si="70"/>
        <v>Dépenses</v>
      </c>
    </row>
    <row r="1252" spans="1:12" ht="11.25" customHeight="1" x14ac:dyDescent="0.2">
      <c r="A1252" t="s">
        <v>108</v>
      </c>
      <c r="B1252" s="4" t="s">
        <v>70</v>
      </c>
      <c r="C1252" s="5" t="s">
        <v>1135</v>
      </c>
      <c r="D1252" s="2">
        <v>43740</v>
      </c>
      <c r="E1252" s="2">
        <f t="shared" si="71"/>
        <v>43740</v>
      </c>
      <c r="F1252" t="s">
        <v>96</v>
      </c>
      <c r="G1252" t="s">
        <v>86</v>
      </c>
      <c r="H1252" t="s">
        <v>87</v>
      </c>
      <c r="I1252" t="s">
        <v>621</v>
      </c>
      <c r="J1252" s="22">
        <v>-6.72</v>
      </c>
      <c r="K1252" t="str">
        <f t="shared" si="69"/>
        <v>octobre</v>
      </c>
      <c r="L1252" t="str">
        <f t="shared" si="70"/>
        <v>Dépenses</v>
      </c>
    </row>
    <row r="1253" spans="1:12" ht="11.25" customHeight="1" x14ac:dyDescent="0.2">
      <c r="A1253" t="s">
        <v>94</v>
      </c>
      <c r="B1253" s="4" t="s">
        <v>70</v>
      </c>
      <c r="C1253" s="7" t="s">
        <v>1134</v>
      </c>
      <c r="D1253" s="2">
        <v>43742</v>
      </c>
      <c r="E1253" s="2">
        <f t="shared" si="71"/>
        <v>43742</v>
      </c>
      <c r="F1253" t="s">
        <v>135</v>
      </c>
      <c r="G1253" t="s">
        <v>103</v>
      </c>
      <c r="H1253" t="s">
        <v>69</v>
      </c>
      <c r="I1253" t="s">
        <v>621</v>
      </c>
      <c r="J1253" s="23">
        <v>600</v>
      </c>
      <c r="K1253" t="str">
        <f t="shared" si="69"/>
        <v>octobre</v>
      </c>
      <c r="L1253" t="str">
        <f t="shared" si="70"/>
        <v>Recettes</v>
      </c>
    </row>
    <row r="1254" spans="1:12" ht="11.25" customHeight="1" x14ac:dyDescent="0.2">
      <c r="A1254" t="s">
        <v>69</v>
      </c>
      <c r="B1254" s="4" t="s">
        <v>70</v>
      </c>
      <c r="C1254" s="7" t="s">
        <v>1136</v>
      </c>
      <c r="D1254" s="2">
        <v>43742</v>
      </c>
      <c r="E1254" s="2">
        <f t="shared" si="71"/>
        <v>43742</v>
      </c>
      <c r="F1254" t="s">
        <v>105</v>
      </c>
      <c r="G1254" t="s">
        <v>106</v>
      </c>
      <c r="H1254" t="s">
        <v>107</v>
      </c>
      <c r="I1254" t="s">
        <v>621</v>
      </c>
      <c r="J1254" s="23">
        <v>-10.99</v>
      </c>
      <c r="K1254" t="str">
        <f t="shared" si="69"/>
        <v>octobre</v>
      </c>
      <c r="L1254" t="str">
        <f t="shared" si="70"/>
        <v>Dépenses</v>
      </c>
    </row>
    <row r="1255" spans="1:12" ht="11.25" customHeight="1" x14ac:dyDescent="0.2">
      <c r="A1255" t="s">
        <v>94</v>
      </c>
      <c r="B1255" s="4" t="s">
        <v>70</v>
      </c>
      <c r="C1255" s="7" t="s">
        <v>1137</v>
      </c>
      <c r="D1255" s="2">
        <v>43743</v>
      </c>
      <c r="E1255" s="2">
        <f t="shared" si="71"/>
        <v>43743</v>
      </c>
      <c r="F1255" t="s">
        <v>1014</v>
      </c>
      <c r="G1255" t="s">
        <v>162</v>
      </c>
      <c r="H1255" t="s">
        <v>163</v>
      </c>
      <c r="I1255" t="s">
        <v>621</v>
      </c>
      <c r="J1255" s="23">
        <v>-70</v>
      </c>
      <c r="K1255" t="str">
        <f t="shared" si="69"/>
        <v>octobre</v>
      </c>
      <c r="L1255" t="str">
        <f t="shared" si="70"/>
        <v>Dépenses</v>
      </c>
    </row>
    <row r="1256" spans="1:12" ht="11.25" customHeight="1" x14ac:dyDescent="0.2">
      <c r="A1256" t="s">
        <v>94</v>
      </c>
      <c r="B1256" s="4" t="s">
        <v>70</v>
      </c>
      <c r="C1256" s="7" t="s">
        <v>1138</v>
      </c>
      <c r="D1256" s="2">
        <v>43743</v>
      </c>
      <c r="E1256" s="2">
        <f t="shared" si="71"/>
        <v>43743</v>
      </c>
      <c r="F1256" t="s">
        <v>143</v>
      </c>
      <c r="G1256" t="s">
        <v>144</v>
      </c>
      <c r="H1256" t="s">
        <v>145</v>
      </c>
      <c r="I1256" t="s">
        <v>621</v>
      </c>
      <c r="J1256" s="23">
        <v>131.16</v>
      </c>
      <c r="K1256" t="str">
        <f t="shared" si="69"/>
        <v>octobre</v>
      </c>
      <c r="L1256" t="str">
        <f t="shared" si="70"/>
        <v>Recettes</v>
      </c>
    </row>
    <row r="1257" spans="1:12" ht="11.25" customHeight="1" x14ac:dyDescent="0.2">
      <c r="A1257" t="s">
        <v>69</v>
      </c>
      <c r="B1257" s="4" t="s">
        <v>70</v>
      </c>
      <c r="C1257" s="7" t="s">
        <v>1139</v>
      </c>
      <c r="D1257" s="2">
        <v>43743</v>
      </c>
      <c r="E1257" s="2">
        <f t="shared" si="71"/>
        <v>43743</v>
      </c>
      <c r="F1257" t="s">
        <v>147</v>
      </c>
      <c r="G1257" t="s">
        <v>115</v>
      </c>
      <c r="H1257" t="s">
        <v>148</v>
      </c>
      <c r="I1257" t="s">
        <v>621</v>
      </c>
      <c r="J1257" s="23">
        <v>-50</v>
      </c>
      <c r="K1257" t="str">
        <f t="shared" si="69"/>
        <v>octobre</v>
      </c>
      <c r="L1257" t="str">
        <f t="shared" si="70"/>
        <v>Dépenses</v>
      </c>
    </row>
    <row r="1258" spans="1:12" ht="11.25" customHeight="1" x14ac:dyDescent="0.2">
      <c r="A1258" t="s">
        <v>94</v>
      </c>
      <c r="B1258" t="s">
        <v>70</v>
      </c>
      <c r="D1258" s="2">
        <v>43743</v>
      </c>
      <c r="E1258" s="2">
        <f t="shared" si="71"/>
        <v>43743</v>
      </c>
      <c r="F1258" t="s">
        <v>1017</v>
      </c>
      <c r="G1258" t="s">
        <v>39</v>
      </c>
      <c r="H1258" t="s">
        <v>651</v>
      </c>
      <c r="I1258" t="s">
        <v>621</v>
      </c>
      <c r="J1258" s="22">
        <v>-190</v>
      </c>
      <c r="K1258" t="str">
        <f t="shared" si="69"/>
        <v>octobre</v>
      </c>
      <c r="L1258" t="str">
        <f t="shared" si="70"/>
        <v>Dépenses</v>
      </c>
    </row>
    <row r="1259" spans="1:12" ht="11.25" customHeight="1" x14ac:dyDescent="0.2">
      <c r="A1259" t="s">
        <v>94</v>
      </c>
      <c r="B1259" s="4" t="s">
        <v>70</v>
      </c>
      <c r="C1259" s="7" t="s">
        <v>1140</v>
      </c>
      <c r="D1259" s="2">
        <v>43744</v>
      </c>
      <c r="E1259" s="2">
        <f t="shared" si="71"/>
        <v>43744</v>
      </c>
      <c r="F1259" t="s">
        <v>157</v>
      </c>
      <c r="G1259" t="s">
        <v>158</v>
      </c>
      <c r="H1259" t="s">
        <v>87</v>
      </c>
      <c r="I1259" t="s">
        <v>621</v>
      </c>
      <c r="J1259" s="23">
        <v>-7.43</v>
      </c>
      <c r="K1259" t="str">
        <f t="shared" si="69"/>
        <v>octobre</v>
      </c>
      <c r="L1259" t="str">
        <f t="shared" si="70"/>
        <v>Dépenses</v>
      </c>
    </row>
    <row r="1260" spans="1:12" ht="15" customHeight="1" x14ac:dyDescent="0.2">
      <c r="A1260" t="s">
        <v>94</v>
      </c>
      <c r="B1260" s="4" t="s">
        <v>70</v>
      </c>
      <c r="C1260" s="7" t="s">
        <v>1141</v>
      </c>
      <c r="D1260" s="2">
        <v>43745</v>
      </c>
      <c r="E1260" s="2">
        <f t="shared" si="71"/>
        <v>43745</v>
      </c>
      <c r="F1260" t="s">
        <v>165</v>
      </c>
      <c r="G1260" t="s">
        <v>158</v>
      </c>
      <c r="H1260" t="s">
        <v>166</v>
      </c>
      <c r="I1260" t="s">
        <v>621</v>
      </c>
      <c r="J1260" s="23">
        <v>-27.35</v>
      </c>
      <c r="K1260" t="str">
        <f t="shared" si="69"/>
        <v>octobre</v>
      </c>
      <c r="L1260" t="str">
        <f t="shared" si="70"/>
        <v>Dépenses</v>
      </c>
    </row>
    <row r="1261" spans="1:12" ht="11.25" customHeight="1" x14ac:dyDescent="0.2">
      <c r="A1261" t="s">
        <v>94</v>
      </c>
      <c r="B1261" s="4" t="s">
        <v>70</v>
      </c>
      <c r="C1261" s="7" t="s">
        <v>1142</v>
      </c>
      <c r="D1261" s="2">
        <v>43745</v>
      </c>
      <c r="E1261" s="2">
        <f t="shared" ref="E1261:E1292" si="72">IF(A1261="","",IF(A1261&lt;&gt;"Carte Lux",D1261,VLOOKUP(D1261,Periode_datedebit_2019,3)))</f>
        <v>43745</v>
      </c>
      <c r="F1261" t="s">
        <v>165</v>
      </c>
      <c r="G1261" t="s">
        <v>158</v>
      </c>
      <c r="H1261" t="s">
        <v>166</v>
      </c>
      <c r="I1261" t="s">
        <v>621</v>
      </c>
      <c r="J1261" s="23">
        <v>-25.2</v>
      </c>
      <c r="K1261" t="str">
        <f t="shared" si="69"/>
        <v>octobre</v>
      </c>
      <c r="L1261" t="str">
        <f t="shared" si="70"/>
        <v>Dépenses</v>
      </c>
    </row>
    <row r="1262" spans="1:12" ht="11.25" customHeight="1" x14ac:dyDescent="0.2">
      <c r="A1262" t="s">
        <v>94</v>
      </c>
      <c r="B1262" s="4" t="s">
        <v>70</v>
      </c>
      <c r="C1262" s="7" t="s">
        <v>1143</v>
      </c>
      <c r="D1262" s="2">
        <v>43745</v>
      </c>
      <c r="E1262" s="2">
        <f t="shared" si="72"/>
        <v>43745</v>
      </c>
      <c r="F1262" t="s">
        <v>169</v>
      </c>
      <c r="G1262" t="s">
        <v>158</v>
      </c>
      <c r="H1262" t="s">
        <v>166</v>
      </c>
      <c r="I1262" t="s">
        <v>621</v>
      </c>
      <c r="J1262" s="23">
        <v>-34.33</v>
      </c>
      <c r="K1262" t="str">
        <f t="shared" si="69"/>
        <v>octobre</v>
      </c>
      <c r="L1262" t="str">
        <f t="shared" si="70"/>
        <v>Dépenses</v>
      </c>
    </row>
    <row r="1263" spans="1:12" ht="11.25" customHeight="1" x14ac:dyDescent="0.2">
      <c r="A1263" t="s">
        <v>94</v>
      </c>
      <c r="B1263" s="4" t="s">
        <v>70</v>
      </c>
      <c r="C1263" s="7" t="s">
        <v>1144</v>
      </c>
      <c r="D1263" s="2">
        <v>43747</v>
      </c>
      <c r="E1263" s="2">
        <f t="shared" si="72"/>
        <v>43747</v>
      </c>
      <c r="F1263" t="s">
        <v>187</v>
      </c>
      <c r="G1263" t="s">
        <v>158</v>
      </c>
      <c r="H1263" t="s">
        <v>188</v>
      </c>
      <c r="I1263" t="s">
        <v>621</v>
      </c>
      <c r="J1263" s="23">
        <v>-8.99</v>
      </c>
      <c r="K1263" t="str">
        <f t="shared" si="69"/>
        <v>octobre</v>
      </c>
      <c r="L1263" t="str">
        <f t="shared" si="70"/>
        <v>Dépenses</v>
      </c>
    </row>
    <row r="1264" spans="1:12" ht="15" customHeight="1" x14ac:dyDescent="0.2">
      <c r="A1264" t="s">
        <v>94</v>
      </c>
      <c r="B1264" s="4" t="s">
        <v>70</v>
      </c>
      <c r="C1264" s="7" t="s">
        <v>1144</v>
      </c>
      <c r="D1264" s="2">
        <v>43747</v>
      </c>
      <c r="E1264" s="2">
        <f t="shared" si="72"/>
        <v>43747</v>
      </c>
      <c r="F1264" t="s">
        <v>189</v>
      </c>
      <c r="G1264" t="s">
        <v>158</v>
      </c>
      <c r="H1264" t="s">
        <v>188</v>
      </c>
      <c r="I1264" t="s">
        <v>621</v>
      </c>
      <c r="J1264" s="23">
        <v>-6.99</v>
      </c>
      <c r="K1264" t="str">
        <f t="shared" si="69"/>
        <v>octobre</v>
      </c>
      <c r="L1264" t="str">
        <f t="shared" si="70"/>
        <v>Dépenses</v>
      </c>
    </row>
    <row r="1265" spans="1:12" ht="15" customHeight="1" x14ac:dyDescent="0.2">
      <c r="A1265" t="s">
        <v>108</v>
      </c>
      <c r="B1265" s="4" t="s">
        <v>70</v>
      </c>
      <c r="C1265" s="7" t="s">
        <v>1145</v>
      </c>
      <c r="D1265" s="2">
        <v>43747</v>
      </c>
      <c r="E1265" s="2">
        <f t="shared" si="72"/>
        <v>43747</v>
      </c>
      <c r="F1265" t="s">
        <v>171</v>
      </c>
      <c r="G1265" t="s">
        <v>172</v>
      </c>
      <c r="H1265" t="s">
        <v>173</v>
      </c>
      <c r="I1265" t="s">
        <v>621</v>
      </c>
      <c r="J1265" s="23">
        <v>-19.989999999999998</v>
      </c>
      <c r="K1265" t="str">
        <f t="shared" si="69"/>
        <v>octobre</v>
      </c>
      <c r="L1265" t="str">
        <f t="shared" si="70"/>
        <v>Dépenses</v>
      </c>
    </row>
    <row r="1266" spans="1:12" ht="11.25" customHeight="1" x14ac:dyDescent="0.2">
      <c r="A1266" t="s">
        <v>94</v>
      </c>
      <c r="B1266" s="4" t="s">
        <v>70</v>
      </c>
      <c r="C1266" s="7" t="s">
        <v>1146</v>
      </c>
      <c r="D1266" s="2">
        <v>43748</v>
      </c>
      <c r="E1266" s="2">
        <f t="shared" si="72"/>
        <v>43748</v>
      </c>
      <c r="F1266" t="s">
        <v>202</v>
      </c>
      <c r="G1266" t="s">
        <v>307</v>
      </c>
      <c r="H1266" t="s">
        <v>658</v>
      </c>
      <c r="I1266" t="s">
        <v>621</v>
      </c>
      <c r="J1266" s="23">
        <v>-15</v>
      </c>
      <c r="K1266" t="str">
        <f t="shared" si="69"/>
        <v>octobre</v>
      </c>
      <c r="L1266" t="str">
        <f t="shared" si="70"/>
        <v>Dépenses</v>
      </c>
    </row>
    <row r="1267" spans="1:12" ht="15" customHeight="1" x14ac:dyDescent="0.2">
      <c r="A1267" t="s">
        <v>94</v>
      </c>
      <c r="B1267" s="4" t="s">
        <v>70</v>
      </c>
      <c r="C1267" s="7" t="s">
        <v>1147</v>
      </c>
      <c r="D1267" s="2">
        <v>43748</v>
      </c>
      <c r="E1267" s="2">
        <f t="shared" si="72"/>
        <v>43748</v>
      </c>
      <c r="F1267" t="s">
        <v>204</v>
      </c>
      <c r="G1267" t="s">
        <v>307</v>
      </c>
      <c r="H1267" t="s">
        <v>660</v>
      </c>
      <c r="I1267" t="s">
        <v>621</v>
      </c>
      <c r="J1267" s="23">
        <v>-15</v>
      </c>
      <c r="K1267" t="str">
        <f t="shared" si="69"/>
        <v>octobre</v>
      </c>
      <c r="L1267" t="str">
        <f t="shared" si="70"/>
        <v>Dépenses</v>
      </c>
    </row>
    <row r="1268" spans="1:12" x14ac:dyDescent="0.2">
      <c r="A1268" t="s">
        <v>108</v>
      </c>
      <c r="B1268" s="4" t="s">
        <v>70</v>
      </c>
      <c r="C1268" s="7" t="s">
        <v>1148</v>
      </c>
      <c r="D1268" s="2">
        <v>43748</v>
      </c>
      <c r="E1268" s="2">
        <f t="shared" si="72"/>
        <v>43748</v>
      </c>
      <c r="F1268" t="s">
        <v>198</v>
      </c>
      <c r="G1268" t="s">
        <v>199</v>
      </c>
      <c r="H1268" t="s">
        <v>200</v>
      </c>
      <c r="I1268" t="s">
        <v>621</v>
      </c>
      <c r="J1268" s="23">
        <v>700</v>
      </c>
      <c r="K1268" t="str">
        <f t="shared" si="69"/>
        <v>octobre</v>
      </c>
      <c r="L1268" t="str">
        <f t="shared" si="70"/>
        <v>Recettes</v>
      </c>
    </row>
    <row r="1269" spans="1:12" x14ac:dyDescent="0.2">
      <c r="A1269" t="s">
        <v>658</v>
      </c>
      <c r="B1269" t="s">
        <v>70</v>
      </c>
      <c r="D1269" s="2">
        <v>43748</v>
      </c>
      <c r="E1269" s="2">
        <f t="shared" si="72"/>
        <v>43748</v>
      </c>
      <c r="F1269" t="s">
        <v>659</v>
      </c>
      <c r="G1269" t="s">
        <v>307</v>
      </c>
      <c r="H1269" t="s">
        <v>87</v>
      </c>
      <c r="I1269" t="s">
        <v>621</v>
      </c>
      <c r="J1269" s="22">
        <v>15</v>
      </c>
      <c r="K1269" t="str">
        <f t="shared" si="69"/>
        <v>octobre</v>
      </c>
      <c r="L1269" t="str">
        <f t="shared" si="70"/>
        <v>Recettes</v>
      </c>
    </row>
    <row r="1270" spans="1:12" x14ac:dyDescent="0.2">
      <c r="A1270" t="s">
        <v>660</v>
      </c>
      <c r="B1270" t="s">
        <v>70</v>
      </c>
      <c r="D1270" s="2">
        <v>43748</v>
      </c>
      <c r="E1270" s="2">
        <f t="shared" si="72"/>
        <v>43748</v>
      </c>
      <c r="F1270" t="s">
        <v>661</v>
      </c>
      <c r="G1270" t="s">
        <v>307</v>
      </c>
      <c r="H1270" t="s">
        <v>87</v>
      </c>
      <c r="I1270" t="s">
        <v>621</v>
      </c>
      <c r="J1270" s="22">
        <v>15</v>
      </c>
      <c r="K1270" t="str">
        <f t="shared" si="69"/>
        <v>octobre</v>
      </c>
      <c r="L1270" t="str">
        <f t="shared" si="70"/>
        <v>Recettes</v>
      </c>
    </row>
    <row r="1271" spans="1:12" x14ac:dyDescent="0.2">
      <c r="A1271" t="s">
        <v>108</v>
      </c>
      <c r="B1271" s="4" t="s">
        <v>70</v>
      </c>
      <c r="C1271" s="7" t="s">
        <v>1149</v>
      </c>
      <c r="D1271" s="2">
        <v>43748</v>
      </c>
      <c r="E1271" s="2">
        <f t="shared" si="72"/>
        <v>43748</v>
      </c>
      <c r="F1271" t="s">
        <v>206</v>
      </c>
      <c r="G1271" t="s">
        <v>111</v>
      </c>
      <c r="H1271" t="s">
        <v>207</v>
      </c>
      <c r="I1271" t="s">
        <v>621</v>
      </c>
      <c r="J1271" s="22">
        <v>-32.450000000000003</v>
      </c>
      <c r="K1271" t="str">
        <f t="shared" si="69"/>
        <v>octobre</v>
      </c>
      <c r="L1271" t="str">
        <f t="shared" si="70"/>
        <v>Dépenses</v>
      </c>
    </row>
    <row r="1272" spans="1:12" x14ac:dyDescent="0.2">
      <c r="A1272" t="s">
        <v>94</v>
      </c>
      <c r="B1272" s="4" t="s">
        <v>70</v>
      </c>
      <c r="C1272" s="7" t="s">
        <v>1150</v>
      </c>
      <c r="D1272" s="2">
        <v>43750</v>
      </c>
      <c r="E1272" s="2">
        <f t="shared" si="72"/>
        <v>43750</v>
      </c>
      <c r="F1272" t="s">
        <v>175</v>
      </c>
      <c r="G1272" t="s">
        <v>172</v>
      </c>
      <c r="H1272" t="s">
        <v>176</v>
      </c>
      <c r="I1272" t="s">
        <v>621</v>
      </c>
      <c r="J1272" s="23">
        <v>-35</v>
      </c>
      <c r="K1272" t="str">
        <f t="shared" si="69"/>
        <v>octobre</v>
      </c>
      <c r="L1272" t="str">
        <f t="shared" si="70"/>
        <v>Dépenses</v>
      </c>
    </row>
    <row r="1273" spans="1:12" x14ac:dyDescent="0.2">
      <c r="A1273" t="s">
        <v>94</v>
      </c>
      <c r="B1273" s="4" t="s">
        <v>70</v>
      </c>
      <c r="C1273" s="8" t="s">
        <v>1151</v>
      </c>
      <c r="D1273" s="2">
        <v>43753</v>
      </c>
      <c r="E1273" s="2">
        <f t="shared" si="72"/>
        <v>43753</v>
      </c>
      <c r="F1273" s="4" t="s">
        <v>232</v>
      </c>
      <c r="G1273" s="4" t="s">
        <v>79</v>
      </c>
      <c r="H1273" s="4" t="s">
        <v>233</v>
      </c>
      <c r="I1273" t="s">
        <v>621</v>
      </c>
      <c r="J1273" s="23">
        <v>-22.5</v>
      </c>
      <c r="K1273" t="str">
        <f t="shared" si="69"/>
        <v>octobre</v>
      </c>
      <c r="L1273" t="str">
        <f t="shared" si="70"/>
        <v>Dépenses</v>
      </c>
    </row>
    <row r="1274" spans="1:12" x14ac:dyDescent="0.2">
      <c r="A1274" t="s">
        <v>94</v>
      </c>
      <c r="B1274" t="s">
        <v>70</v>
      </c>
      <c r="C1274" s="1" t="s">
        <v>954</v>
      </c>
      <c r="D1274" s="2">
        <v>43753</v>
      </c>
      <c r="E1274" s="2">
        <f t="shared" si="72"/>
        <v>43753</v>
      </c>
      <c r="F1274" t="s">
        <v>958</v>
      </c>
      <c r="G1274" t="s">
        <v>158</v>
      </c>
      <c r="H1274" t="s">
        <v>956</v>
      </c>
      <c r="I1274" t="s">
        <v>621</v>
      </c>
      <c r="J1274" s="22">
        <v>-49.82</v>
      </c>
      <c r="K1274" t="str">
        <f t="shared" si="69"/>
        <v>octobre</v>
      </c>
      <c r="L1274" t="str">
        <f t="shared" si="70"/>
        <v>Dépenses</v>
      </c>
    </row>
    <row r="1275" spans="1:12" ht="15" customHeight="1" x14ac:dyDescent="0.2">
      <c r="A1275" t="s">
        <v>94</v>
      </c>
      <c r="B1275" s="4" t="s">
        <v>70</v>
      </c>
      <c r="C1275" s="7" t="s">
        <v>1152</v>
      </c>
      <c r="D1275" s="2">
        <v>43754</v>
      </c>
      <c r="E1275" s="2">
        <f t="shared" si="72"/>
        <v>43754</v>
      </c>
      <c r="F1275" s="4" t="s">
        <v>240</v>
      </c>
      <c r="G1275" s="4" t="s">
        <v>73</v>
      </c>
      <c r="H1275" s="4" t="s">
        <v>241</v>
      </c>
      <c r="I1275" t="s">
        <v>621</v>
      </c>
      <c r="J1275" s="23">
        <v>-164.14</v>
      </c>
      <c r="K1275" t="str">
        <f t="shared" si="69"/>
        <v>octobre</v>
      </c>
      <c r="L1275" t="str">
        <f t="shared" si="70"/>
        <v>Dépenses</v>
      </c>
    </row>
    <row r="1276" spans="1:12" ht="11.25" customHeight="1" x14ac:dyDescent="0.2">
      <c r="A1276" t="s">
        <v>94</v>
      </c>
      <c r="B1276" s="4" t="s">
        <v>70</v>
      </c>
      <c r="C1276" s="7" t="s">
        <v>1153</v>
      </c>
      <c r="D1276" s="2">
        <v>43754</v>
      </c>
      <c r="E1276" s="2">
        <f t="shared" si="72"/>
        <v>43754</v>
      </c>
      <c r="F1276" t="s">
        <v>243</v>
      </c>
      <c r="G1276" t="s">
        <v>244</v>
      </c>
      <c r="H1276" t="s">
        <v>245</v>
      </c>
      <c r="I1276" t="s">
        <v>621</v>
      </c>
      <c r="J1276" s="23">
        <v>-35</v>
      </c>
      <c r="K1276" t="str">
        <f t="shared" si="69"/>
        <v>octobre</v>
      </c>
      <c r="L1276" t="str">
        <f t="shared" si="70"/>
        <v>Dépenses</v>
      </c>
    </row>
    <row r="1277" spans="1:12" ht="11.25" customHeight="1" x14ac:dyDescent="0.2">
      <c r="A1277" t="s">
        <v>94</v>
      </c>
      <c r="B1277" s="4" t="s">
        <v>70</v>
      </c>
      <c r="C1277" s="7" t="s">
        <v>1154</v>
      </c>
      <c r="D1277" s="2">
        <v>43754</v>
      </c>
      <c r="E1277" s="2">
        <f t="shared" si="72"/>
        <v>43754</v>
      </c>
      <c r="F1277" t="s">
        <v>247</v>
      </c>
      <c r="G1277" t="s">
        <v>134</v>
      </c>
      <c r="H1277" t="s">
        <v>319</v>
      </c>
      <c r="I1277" t="s">
        <v>621</v>
      </c>
      <c r="J1277" s="23">
        <v>-40</v>
      </c>
      <c r="K1277" t="str">
        <f t="shared" si="69"/>
        <v>octobre</v>
      </c>
      <c r="L1277" t="str">
        <f t="shared" si="70"/>
        <v>Dépenses</v>
      </c>
    </row>
    <row r="1278" spans="1:12" ht="11.25" customHeight="1" x14ac:dyDescent="0.2">
      <c r="A1278" t="s">
        <v>94</v>
      </c>
      <c r="B1278" s="4" t="s">
        <v>70</v>
      </c>
      <c r="C1278" s="7" t="s">
        <v>1155</v>
      </c>
      <c r="D1278" s="2">
        <v>43754</v>
      </c>
      <c r="E1278" s="2">
        <f t="shared" si="72"/>
        <v>43754</v>
      </c>
      <c r="F1278" t="s">
        <v>249</v>
      </c>
      <c r="G1278" t="s">
        <v>134</v>
      </c>
      <c r="H1278" t="s">
        <v>319</v>
      </c>
      <c r="I1278" t="s">
        <v>621</v>
      </c>
      <c r="J1278" s="23">
        <v>-40</v>
      </c>
      <c r="K1278" t="str">
        <f t="shared" si="69"/>
        <v>octobre</v>
      </c>
      <c r="L1278" t="str">
        <f t="shared" si="70"/>
        <v>Dépenses</v>
      </c>
    </row>
    <row r="1279" spans="1:12" ht="11.25" customHeight="1" x14ac:dyDescent="0.2">
      <c r="A1279" t="s">
        <v>69</v>
      </c>
      <c r="B1279" s="4" t="s">
        <v>70</v>
      </c>
      <c r="C1279" s="7" t="s">
        <v>1156</v>
      </c>
      <c r="D1279" s="2">
        <v>43762</v>
      </c>
      <c r="E1279" s="2">
        <f t="shared" si="72"/>
        <v>43762</v>
      </c>
      <c r="F1279" t="s">
        <v>285</v>
      </c>
      <c r="G1279" t="s">
        <v>199</v>
      </c>
      <c r="H1279" t="s">
        <v>74</v>
      </c>
      <c r="I1279" t="s">
        <v>621</v>
      </c>
      <c r="J1279" s="23">
        <v>2900</v>
      </c>
      <c r="K1279" t="str">
        <f t="shared" si="69"/>
        <v>octobre</v>
      </c>
      <c r="L1279" t="str">
        <f t="shared" si="70"/>
        <v>Recettes</v>
      </c>
    </row>
    <row r="1280" spans="1:12" ht="11.25" customHeight="1" x14ac:dyDescent="0.2">
      <c r="A1280" t="s">
        <v>69</v>
      </c>
      <c r="B1280" s="4" t="s">
        <v>70</v>
      </c>
      <c r="C1280" s="7" t="s">
        <v>458</v>
      </c>
      <c r="D1280" s="2">
        <v>43763</v>
      </c>
      <c r="E1280" s="2">
        <f t="shared" si="72"/>
        <v>43763</v>
      </c>
      <c r="F1280" t="s">
        <v>102</v>
      </c>
      <c r="G1280" t="s">
        <v>459</v>
      </c>
      <c r="H1280" t="s">
        <v>94</v>
      </c>
      <c r="I1280" t="s">
        <v>621</v>
      </c>
      <c r="J1280" s="23">
        <v>-860</v>
      </c>
      <c r="K1280" t="str">
        <f t="shared" si="69"/>
        <v>octobre</v>
      </c>
      <c r="L1280" t="str">
        <f t="shared" si="70"/>
        <v>Dépenses</v>
      </c>
    </row>
    <row r="1281" spans="1:12" ht="11.25" customHeight="1" x14ac:dyDescent="0.2">
      <c r="A1281" t="s">
        <v>94</v>
      </c>
      <c r="B1281" s="4" t="s">
        <v>70</v>
      </c>
      <c r="C1281" s="7" t="s">
        <v>458</v>
      </c>
      <c r="D1281" s="2">
        <v>43763</v>
      </c>
      <c r="E1281" s="2">
        <f t="shared" si="72"/>
        <v>43763</v>
      </c>
      <c r="F1281" t="s">
        <v>135</v>
      </c>
      <c r="G1281" t="s">
        <v>459</v>
      </c>
      <c r="H1281" t="s">
        <v>69</v>
      </c>
      <c r="I1281" t="s">
        <v>621</v>
      </c>
      <c r="J1281" s="23">
        <v>860</v>
      </c>
      <c r="K1281" t="str">
        <f t="shared" si="69"/>
        <v>octobre</v>
      </c>
      <c r="L1281" t="str">
        <f t="shared" si="70"/>
        <v>Recettes</v>
      </c>
    </row>
    <row r="1282" spans="1:12" ht="11.25" customHeight="1" x14ac:dyDescent="0.2">
      <c r="A1282" t="s">
        <v>94</v>
      </c>
      <c r="B1282" t="s">
        <v>70</v>
      </c>
      <c r="D1282" s="2">
        <v>43763</v>
      </c>
      <c r="E1282" s="2">
        <f t="shared" si="72"/>
        <v>43763</v>
      </c>
      <c r="F1282" t="s">
        <v>460</v>
      </c>
      <c r="G1282" t="s">
        <v>127</v>
      </c>
      <c r="H1282" t="s">
        <v>88</v>
      </c>
      <c r="I1282" t="s">
        <v>621</v>
      </c>
      <c r="J1282" s="22">
        <v>-70</v>
      </c>
      <c r="K1282" t="str">
        <f t="shared" ref="K1282:K1345" si="73">IF(D1282="","",TEXT(D1282,"Mmmm"))</f>
        <v>octobre</v>
      </c>
      <c r="L1282" t="str">
        <f t="shared" ref="L1282:L1345" si="74">IF(J1282="","",IF(J1282&lt;0,"Dépenses","Recettes"))</f>
        <v>Dépenses</v>
      </c>
    </row>
    <row r="1283" spans="1:12" ht="11.25" customHeight="1" x14ac:dyDescent="0.2">
      <c r="A1283" t="s">
        <v>94</v>
      </c>
      <c r="B1283" t="s">
        <v>70</v>
      </c>
      <c r="D1283" s="2">
        <v>43763</v>
      </c>
      <c r="E1283" s="2">
        <f t="shared" si="72"/>
        <v>43763</v>
      </c>
      <c r="F1283" t="s">
        <v>461</v>
      </c>
      <c r="G1283" t="s">
        <v>28</v>
      </c>
      <c r="H1283" t="s">
        <v>88</v>
      </c>
      <c r="I1283" t="s">
        <v>621</v>
      </c>
      <c r="J1283" s="22">
        <v>-30</v>
      </c>
      <c r="K1283" t="str">
        <f t="shared" si="73"/>
        <v>octobre</v>
      </c>
      <c r="L1283" t="str">
        <f t="shared" si="74"/>
        <v>Dépenses</v>
      </c>
    </row>
    <row r="1284" spans="1:12" ht="11.25" customHeight="1" x14ac:dyDescent="0.2">
      <c r="A1284" t="s">
        <v>94</v>
      </c>
      <c r="B1284" t="s">
        <v>70</v>
      </c>
      <c r="D1284" s="2">
        <v>43763</v>
      </c>
      <c r="E1284" s="2">
        <f t="shared" si="72"/>
        <v>43763</v>
      </c>
      <c r="F1284" t="s">
        <v>462</v>
      </c>
      <c r="G1284" t="s">
        <v>254</v>
      </c>
      <c r="H1284" t="s">
        <v>88</v>
      </c>
      <c r="I1284" t="s">
        <v>621</v>
      </c>
      <c r="J1284" s="22">
        <v>-100</v>
      </c>
      <c r="K1284" t="str">
        <f t="shared" si="73"/>
        <v>octobre</v>
      </c>
      <c r="L1284" t="str">
        <f t="shared" si="74"/>
        <v>Dépenses</v>
      </c>
    </row>
    <row r="1285" spans="1:12" ht="11.25" customHeight="1" x14ac:dyDescent="0.2">
      <c r="A1285" t="s">
        <v>94</v>
      </c>
      <c r="B1285" t="s">
        <v>70</v>
      </c>
      <c r="D1285" s="2">
        <v>43763</v>
      </c>
      <c r="E1285" s="2">
        <f t="shared" si="72"/>
        <v>43763</v>
      </c>
      <c r="F1285" t="s">
        <v>463</v>
      </c>
      <c r="G1285" t="s">
        <v>270</v>
      </c>
      <c r="H1285" t="s">
        <v>88</v>
      </c>
      <c r="I1285" t="s">
        <v>621</v>
      </c>
      <c r="J1285" s="22">
        <v>-70</v>
      </c>
      <c r="K1285" t="str">
        <f t="shared" si="73"/>
        <v>octobre</v>
      </c>
      <c r="L1285" t="str">
        <f t="shared" si="74"/>
        <v>Dépenses</v>
      </c>
    </row>
    <row r="1286" spans="1:12" ht="11.25" customHeight="1" x14ac:dyDescent="0.2">
      <c r="A1286" t="s">
        <v>94</v>
      </c>
      <c r="B1286" t="s">
        <v>70</v>
      </c>
      <c r="D1286" s="2">
        <v>43763</v>
      </c>
      <c r="E1286" s="2">
        <f t="shared" si="72"/>
        <v>43763</v>
      </c>
      <c r="F1286" t="s">
        <v>464</v>
      </c>
      <c r="G1286" t="s">
        <v>118</v>
      </c>
      <c r="H1286" t="s">
        <v>88</v>
      </c>
      <c r="I1286" t="s">
        <v>621</v>
      </c>
      <c r="J1286" s="22">
        <v>-150</v>
      </c>
      <c r="K1286" t="str">
        <f t="shared" si="73"/>
        <v>octobre</v>
      </c>
      <c r="L1286" t="str">
        <f t="shared" si="74"/>
        <v>Dépenses</v>
      </c>
    </row>
    <row r="1287" spans="1:12" ht="11.25" customHeight="1" x14ac:dyDescent="0.2">
      <c r="A1287" t="s">
        <v>94</v>
      </c>
      <c r="B1287" t="s">
        <v>70</v>
      </c>
      <c r="D1287" s="2">
        <v>43763</v>
      </c>
      <c r="E1287" s="2">
        <f t="shared" si="72"/>
        <v>43763</v>
      </c>
      <c r="F1287" t="s">
        <v>465</v>
      </c>
      <c r="G1287" t="s">
        <v>16</v>
      </c>
      <c r="H1287" t="s">
        <v>88</v>
      </c>
      <c r="I1287" t="s">
        <v>621</v>
      </c>
      <c r="J1287" s="22">
        <v>-60</v>
      </c>
      <c r="K1287" t="str">
        <f t="shared" si="73"/>
        <v>octobre</v>
      </c>
      <c r="L1287" t="str">
        <f t="shared" si="74"/>
        <v>Dépenses</v>
      </c>
    </row>
    <row r="1288" spans="1:12" ht="11.25" customHeight="1" x14ac:dyDescent="0.2">
      <c r="A1288" t="s">
        <v>94</v>
      </c>
      <c r="B1288" t="s">
        <v>70</v>
      </c>
      <c r="D1288" s="2">
        <v>43763</v>
      </c>
      <c r="E1288" s="2">
        <f t="shared" si="72"/>
        <v>43763</v>
      </c>
      <c r="F1288" t="s">
        <v>466</v>
      </c>
      <c r="G1288" t="s">
        <v>111</v>
      </c>
      <c r="H1288" t="s">
        <v>88</v>
      </c>
      <c r="I1288" t="s">
        <v>621</v>
      </c>
      <c r="J1288" s="22">
        <v>-120</v>
      </c>
      <c r="K1288" t="str">
        <f t="shared" si="73"/>
        <v>octobre</v>
      </c>
      <c r="L1288" t="str">
        <f t="shared" si="74"/>
        <v>Dépenses</v>
      </c>
    </row>
    <row r="1289" spans="1:12" ht="11.25" customHeight="1" x14ac:dyDescent="0.2">
      <c r="A1289" t="s">
        <v>94</v>
      </c>
      <c r="B1289" t="s">
        <v>70</v>
      </c>
      <c r="D1289" s="2">
        <v>43763</v>
      </c>
      <c r="E1289" s="2">
        <f t="shared" si="72"/>
        <v>43763</v>
      </c>
      <c r="F1289" t="s">
        <v>467</v>
      </c>
      <c r="G1289" t="s">
        <v>229</v>
      </c>
      <c r="H1289" t="s">
        <v>88</v>
      </c>
      <c r="I1289" t="s">
        <v>621</v>
      </c>
      <c r="J1289" s="22">
        <v>-60</v>
      </c>
      <c r="K1289" t="str">
        <f t="shared" si="73"/>
        <v>octobre</v>
      </c>
      <c r="L1289" t="str">
        <f t="shared" si="74"/>
        <v>Dépenses</v>
      </c>
    </row>
    <row r="1290" spans="1:12" ht="11.25" customHeight="1" x14ac:dyDescent="0.2">
      <c r="A1290" t="s">
        <v>94</v>
      </c>
      <c r="B1290" t="s">
        <v>70</v>
      </c>
      <c r="D1290" s="2">
        <v>43763</v>
      </c>
      <c r="E1290" s="2">
        <f t="shared" si="72"/>
        <v>43763</v>
      </c>
      <c r="F1290" t="s">
        <v>469</v>
      </c>
      <c r="G1290" t="s">
        <v>52</v>
      </c>
      <c r="H1290" t="s">
        <v>88</v>
      </c>
      <c r="I1290" t="s">
        <v>621</v>
      </c>
      <c r="J1290" s="22">
        <v>-100</v>
      </c>
      <c r="K1290" t="str">
        <f t="shared" si="73"/>
        <v>octobre</v>
      </c>
      <c r="L1290" t="str">
        <f t="shared" si="74"/>
        <v>Dépenses</v>
      </c>
    </row>
    <row r="1291" spans="1:12" ht="11.25" customHeight="1" x14ac:dyDescent="0.2">
      <c r="A1291" t="s">
        <v>94</v>
      </c>
      <c r="B1291" t="s">
        <v>70</v>
      </c>
      <c r="D1291" s="2">
        <v>43763</v>
      </c>
      <c r="E1291" s="2">
        <f t="shared" si="72"/>
        <v>43763</v>
      </c>
      <c r="F1291" t="s">
        <v>470</v>
      </c>
      <c r="G1291" t="s">
        <v>39</v>
      </c>
      <c r="H1291" t="s">
        <v>88</v>
      </c>
      <c r="I1291" t="s">
        <v>621</v>
      </c>
      <c r="J1291" s="22">
        <v>-100</v>
      </c>
      <c r="K1291" t="str">
        <f t="shared" si="73"/>
        <v>octobre</v>
      </c>
      <c r="L1291" t="str">
        <f t="shared" si="74"/>
        <v>Dépenses</v>
      </c>
    </row>
    <row r="1292" spans="1:12" ht="11.25" customHeight="1" x14ac:dyDescent="0.2">
      <c r="A1292" t="s">
        <v>88</v>
      </c>
      <c r="B1292" t="s">
        <v>70</v>
      </c>
      <c r="D1292" s="2">
        <v>43763</v>
      </c>
      <c r="E1292" s="2">
        <f t="shared" si="72"/>
        <v>43763</v>
      </c>
      <c r="F1292" t="s">
        <v>471</v>
      </c>
      <c r="G1292" t="s">
        <v>76</v>
      </c>
      <c r="H1292" t="s">
        <v>94</v>
      </c>
      <c r="I1292" t="s">
        <v>621</v>
      </c>
      <c r="J1292" s="22">
        <v>860</v>
      </c>
      <c r="K1292" t="str">
        <f t="shared" si="73"/>
        <v>octobre</v>
      </c>
      <c r="L1292" t="str">
        <f t="shared" si="74"/>
        <v>Recettes</v>
      </c>
    </row>
    <row r="1293" spans="1:12" ht="11.25" customHeight="1" x14ac:dyDescent="0.2">
      <c r="A1293" t="s">
        <v>69</v>
      </c>
      <c r="B1293" t="s">
        <v>137</v>
      </c>
      <c r="C1293" s="7" t="s">
        <v>1157</v>
      </c>
      <c r="D1293" s="2">
        <v>43763</v>
      </c>
      <c r="E1293" s="2">
        <f t="shared" ref="E1293:E1324" si="75">IF(A1293="","",IF(A1293&lt;&gt;"Carte Lux",D1293,VLOOKUP(D1293,Periode_datedebit_2019,3)))</f>
        <v>43763</v>
      </c>
      <c r="F1293" t="s">
        <v>291</v>
      </c>
      <c r="G1293" t="s">
        <v>79</v>
      </c>
      <c r="H1293" t="s">
        <v>292</v>
      </c>
      <c r="I1293" t="s">
        <v>621</v>
      </c>
      <c r="J1293" s="22">
        <v>-2.38</v>
      </c>
      <c r="K1293" t="str">
        <f t="shared" si="73"/>
        <v>octobre</v>
      </c>
      <c r="L1293" t="str">
        <f t="shared" si="74"/>
        <v>Dépenses</v>
      </c>
    </row>
    <row r="1294" spans="1:12" ht="11.25" customHeight="1" x14ac:dyDescent="0.2">
      <c r="A1294" t="s">
        <v>69</v>
      </c>
      <c r="B1294" s="4" t="s">
        <v>70</v>
      </c>
      <c r="C1294" s="7" t="s">
        <v>1139</v>
      </c>
      <c r="D1294" s="2">
        <v>43766</v>
      </c>
      <c r="E1294" s="2">
        <f t="shared" si="75"/>
        <v>43766</v>
      </c>
      <c r="F1294" t="s">
        <v>147</v>
      </c>
      <c r="G1294" t="s">
        <v>115</v>
      </c>
      <c r="H1294" t="s">
        <v>148</v>
      </c>
      <c r="I1294" t="s">
        <v>621</v>
      </c>
      <c r="J1294" s="23">
        <v>-50</v>
      </c>
      <c r="K1294" t="str">
        <f t="shared" si="73"/>
        <v>octobre</v>
      </c>
      <c r="L1294" t="str">
        <f t="shared" si="74"/>
        <v>Dépenses</v>
      </c>
    </row>
    <row r="1295" spans="1:12" ht="11.25" customHeight="1" x14ac:dyDescent="0.2">
      <c r="A1295" t="s">
        <v>94</v>
      </c>
      <c r="B1295" s="4" t="s">
        <v>70</v>
      </c>
      <c r="C1295" s="7" t="s">
        <v>1158</v>
      </c>
      <c r="D1295" s="2">
        <v>43766</v>
      </c>
      <c r="E1295" s="2">
        <f t="shared" si="75"/>
        <v>43766</v>
      </c>
      <c r="F1295" t="s">
        <v>317</v>
      </c>
      <c r="G1295" t="s">
        <v>318</v>
      </c>
      <c r="H1295" t="s">
        <v>319</v>
      </c>
      <c r="I1295" t="s">
        <v>621</v>
      </c>
      <c r="J1295" s="22">
        <v>-80.33</v>
      </c>
      <c r="K1295" t="str">
        <f t="shared" si="73"/>
        <v>octobre</v>
      </c>
      <c r="L1295" t="str">
        <f t="shared" si="74"/>
        <v>Dépenses</v>
      </c>
    </row>
    <row r="1296" spans="1:12" ht="11.25" customHeight="1" x14ac:dyDescent="0.2">
      <c r="A1296" t="s">
        <v>108</v>
      </c>
      <c r="B1296" s="4" t="s">
        <v>70</v>
      </c>
      <c r="C1296" s="7" t="s">
        <v>1159</v>
      </c>
      <c r="D1296" s="2">
        <v>43768</v>
      </c>
      <c r="E1296" s="2">
        <f t="shared" si="75"/>
        <v>43768</v>
      </c>
      <c r="F1296" t="s">
        <v>184</v>
      </c>
      <c r="G1296" t="s">
        <v>106</v>
      </c>
      <c r="H1296" t="s">
        <v>185</v>
      </c>
      <c r="I1296" t="s">
        <v>621</v>
      </c>
      <c r="J1296" s="23">
        <v>-0.99</v>
      </c>
      <c r="K1296" t="str">
        <f t="shared" si="73"/>
        <v>octobre</v>
      </c>
      <c r="L1296" t="str">
        <f t="shared" si="74"/>
        <v>Dépenses</v>
      </c>
    </row>
    <row r="1297" spans="1:12" ht="11.25" customHeight="1" x14ac:dyDescent="0.2">
      <c r="A1297" t="s">
        <v>69</v>
      </c>
      <c r="B1297" s="4" t="s">
        <v>70</v>
      </c>
      <c r="C1297" s="7" t="s">
        <v>1160</v>
      </c>
      <c r="D1297" s="2">
        <v>43769</v>
      </c>
      <c r="E1297" s="2">
        <f t="shared" si="75"/>
        <v>43769</v>
      </c>
      <c r="F1297" t="s">
        <v>327</v>
      </c>
      <c r="G1297" t="s">
        <v>328</v>
      </c>
      <c r="H1297" t="s">
        <v>329</v>
      </c>
      <c r="I1297" t="s">
        <v>621</v>
      </c>
      <c r="J1297" s="22">
        <v>-12</v>
      </c>
      <c r="K1297" t="str">
        <f t="shared" si="73"/>
        <v>octobre</v>
      </c>
      <c r="L1297" t="str">
        <f t="shared" si="74"/>
        <v>Dépenses</v>
      </c>
    </row>
    <row r="1298" spans="1:12" ht="11.25" customHeight="1" x14ac:dyDescent="0.2">
      <c r="A1298" t="s">
        <v>69</v>
      </c>
      <c r="B1298" s="4" t="s">
        <v>70</v>
      </c>
      <c r="C1298" s="5" t="s">
        <v>1161</v>
      </c>
      <c r="D1298" s="2">
        <v>43770</v>
      </c>
      <c r="E1298" s="2">
        <f t="shared" si="75"/>
        <v>43770</v>
      </c>
      <c r="F1298" t="s">
        <v>72</v>
      </c>
      <c r="G1298" t="s">
        <v>73</v>
      </c>
      <c r="H1298" t="s">
        <v>74</v>
      </c>
      <c r="I1298" t="s">
        <v>621</v>
      </c>
      <c r="J1298" s="23">
        <v>-500</v>
      </c>
      <c r="K1298" t="str">
        <f t="shared" si="73"/>
        <v>novembre</v>
      </c>
      <c r="L1298" t="str">
        <f t="shared" si="74"/>
        <v>Dépenses</v>
      </c>
    </row>
    <row r="1299" spans="1:12" ht="11.25" customHeight="1" x14ac:dyDescent="0.2">
      <c r="A1299" t="s">
        <v>75</v>
      </c>
      <c r="B1299" s="4" t="s">
        <v>70</v>
      </c>
      <c r="C1299" s="5" t="s">
        <v>1161</v>
      </c>
      <c r="D1299" s="2">
        <v>43770</v>
      </c>
      <c r="E1299" s="2">
        <f t="shared" si="75"/>
        <v>43770</v>
      </c>
      <c r="F1299" t="s">
        <v>72</v>
      </c>
      <c r="G1299" t="s">
        <v>76</v>
      </c>
      <c r="H1299" t="s">
        <v>74</v>
      </c>
      <c r="I1299" t="s">
        <v>621</v>
      </c>
      <c r="J1299" s="23">
        <v>500</v>
      </c>
      <c r="K1299" t="str">
        <f t="shared" si="73"/>
        <v>novembre</v>
      </c>
      <c r="L1299" t="str">
        <f t="shared" si="74"/>
        <v>Recettes</v>
      </c>
    </row>
    <row r="1300" spans="1:12" ht="11.25" customHeight="1" x14ac:dyDescent="0.2">
      <c r="A1300" t="s">
        <v>658</v>
      </c>
      <c r="B1300" t="s">
        <v>70</v>
      </c>
      <c r="D1300" s="2">
        <v>43770</v>
      </c>
      <c r="E1300" s="2">
        <f t="shared" si="75"/>
        <v>43770</v>
      </c>
      <c r="F1300" t="s">
        <v>659</v>
      </c>
      <c r="G1300" t="s">
        <v>76</v>
      </c>
      <c r="H1300" t="s">
        <v>87</v>
      </c>
      <c r="I1300" t="s">
        <v>621</v>
      </c>
      <c r="J1300" s="22">
        <v>-15</v>
      </c>
      <c r="K1300" t="str">
        <f t="shared" si="73"/>
        <v>novembre</v>
      </c>
      <c r="L1300" t="str">
        <f t="shared" si="74"/>
        <v>Dépenses</v>
      </c>
    </row>
    <row r="1301" spans="1:12" ht="11.25" customHeight="1" x14ac:dyDescent="0.2">
      <c r="A1301" t="s">
        <v>660</v>
      </c>
      <c r="B1301" t="s">
        <v>70</v>
      </c>
      <c r="D1301" s="2">
        <v>43770</v>
      </c>
      <c r="E1301" s="2">
        <f t="shared" si="75"/>
        <v>43770</v>
      </c>
      <c r="F1301" t="s">
        <v>661</v>
      </c>
      <c r="G1301" t="s">
        <v>76</v>
      </c>
      <c r="H1301" t="s">
        <v>87</v>
      </c>
      <c r="I1301" t="s">
        <v>621</v>
      </c>
      <c r="J1301" s="22">
        <v>-15</v>
      </c>
      <c r="K1301" t="str">
        <f t="shared" si="73"/>
        <v>novembre</v>
      </c>
      <c r="L1301" t="str">
        <f t="shared" si="74"/>
        <v>Dépenses</v>
      </c>
    </row>
    <row r="1302" spans="1:12" ht="11.25" customHeight="1" x14ac:dyDescent="0.2">
      <c r="A1302" t="s">
        <v>94</v>
      </c>
      <c r="B1302" s="4" t="s">
        <v>70</v>
      </c>
      <c r="C1302" s="5" t="s">
        <v>1162</v>
      </c>
      <c r="D1302" s="2">
        <v>43771</v>
      </c>
      <c r="E1302" s="2">
        <f t="shared" si="75"/>
        <v>43771</v>
      </c>
      <c r="F1302" t="s">
        <v>96</v>
      </c>
      <c r="G1302" t="s">
        <v>86</v>
      </c>
      <c r="H1302" t="s">
        <v>87</v>
      </c>
      <c r="I1302" t="s">
        <v>621</v>
      </c>
      <c r="J1302" s="22">
        <v>-6.72</v>
      </c>
      <c r="K1302" t="str">
        <f t="shared" si="73"/>
        <v>novembre</v>
      </c>
      <c r="L1302" t="str">
        <f t="shared" si="74"/>
        <v>Dépenses</v>
      </c>
    </row>
    <row r="1303" spans="1:12" x14ac:dyDescent="0.2">
      <c r="A1303" t="s">
        <v>69</v>
      </c>
      <c r="B1303" s="4" t="s">
        <v>70</v>
      </c>
      <c r="C1303" s="7" t="s">
        <v>1163</v>
      </c>
      <c r="D1303" s="2">
        <v>43771</v>
      </c>
      <c r="E1303" s="2">
        <f t="shared" si="75"/>
        <v>43771</v>
      </c>
      <c r="F1303" t="s">
        <v>98</v>
      </c>
      <c r="G1303" t="s">
        <v>73</v>
      </c>
      <c r="H1303" t="s">
        <v>74</v>
      </c>
      <c r="I1303" t="s">
        <v>621</v>
      </c>
      <c r="J1303" s="23">
        <v>-597</v>
      </c>
      <c r="K1303" t="str">
        <f t="shared" si="73"/>
        <v>novembre</v>
      </c>
      <c r="L1303" t="str">
        <f t="shared" si="74"/>
        <v>Dépenses</v>
      </c>
    </row>
    <row r="1304" spans="1:12" ht="11.25" customHeight="1" x14ac:dyDescent="0.2">
      <c r="A1304" t="s">
        <v>69</v>
      </c>
      <c r="B1304" s="4" t="s">
        <v>70</v>
      </c>
      <c r="C1304" s="7" t="s">
        <v>1164</v>
      </c>
      <c r="D1304" s="2">
        <v>43771</v>
      </c>
      <c r="E1304" s="2">
        <f t="shared" si="75"/>
        <v>43771</v>
      </c>
      <c r="F1304" t="s">
        <v>100</v>
      </c>
      <c r="G1304" t="s">
        <v>73</v>
      </c>
      <c r="H1304" t="s">
        <v>74</v>
      </c>
      <c r="I1304" t="s">
        <v>621</v>
      </c>
      <c r="J1304" s="23">
        <v>-120</v>
      </c>
      <c r="K1304" t="str">
        <f t="shared" si="73"/>
        <v>novembre</v>
      </c>
      <c r="L1304" t="str">
        <f t="shared" si="74"/>
        <v>Dépenses</v>
      </c>
    </row>
    <row r="1305" spans="1:12" ht="11.25" customHeight="1" x14ac:dyDescent="0.2">
      <c r="A1305" t="s">
        <v>69</v>
      </c>
      <c r="B1305" s="4" t="s">
        <v>70</v>
      </c>
      <c r="C1305" s="7" t="s">
        <v>1165</v>
      </c>
      <c r="D1305" s="2">
        <v>43771</v>
      </c>
      <c r="E1305" s="2">
        <f t="shared" si="75"/>
        <v>43771</v>
      </c>
      <c r="F1305" t="s">
        <v>102</v>
      </c>
      <c r="G1305" t="s">
        <v>103</v>
      </c>
      <c r="H1305" t="s">
        <v>94</v>
      </c>
      <c r="I1305" t="s">
        <v>621</v>
      </c>
      <c r="J1305" s="23">
        <v>-600</v>
      </c>
      <c r="K1305" t="str">
        <f t="shared" si="73"/>
        <v>novembre</v>
      </c>
      <c r="L1305" t="str">
        <f t="shared" si="74"/>
        <v>Dépenses</v>
      </c>
    </row>
    <row r="1306" spans="1:12" ht="11.25" customHeight="1" x14ac:dyDescent="0.2">
      <c r="A1306" t="s">
        <v>108</v>
      </c>
      <c r="B1306" s="4" t="s">
        <v>70</v>
      </c>
      <c r="C1306" s="5" t="s">
        <v>1166</v>
      </c>
      <c r="D1306" s="2">
        <v>43771</v>
      </c>
      <c r="E1306" s="2">
        <f t="shared" si="75"/>
        <v>43771</v>
      </c>
      <c r="F1306" t="s">
        <v>96</v>
      </c>
      <c r="G1306" t="s">
        <v>86</v>
      </c>
      <c r="H1306" t="s">
        <v>87</v>
      </c>
      <c r="I1306" t="s">
        <v>621</v>
      </c>
      <c r="J1306" s="22">
        <v>-6.72</v>
      </c>
      <c r="K1306" t="str">
        <f t="shared" si="73"/>
        <v>novembre</v>
      </c>
      <c r="L1306" t="str">
        <f t="shared" si="74"/>
        <v>Dépenses</v>
      </c>
    </row>
    <row r="1307" spans="1:12" ht="11.25" customHeight="1" x14ac:dyDescent="0.2">
      <c r="A1307" t="s">
        <v>94</v>
      </c>
      <c r="B1307" s="4" t="s">
        <v>70</v>
      </c>
      <c r="C1307" s="7" t="s">
        <v>1165</v>
      </c>
      <c r="D1307" s="2">
        <v>43773</v>
      </c>
      <c r="E1307" s="2">
        <f t="shared" si="75"/>
        <v>43773</v>
      </c>
      <c r="F1307" t="s">
        <v>135</v>
      </c>
      <c r="G1307" t="s">
        <v>103</v>
      </c>
      <c r="H1307" t="s">
        <v>69</v>
      </c>
      <c r="I1307" t="s">
        <v>621</v>
      </c>
      <c r="J1307" s="23">
        <v>600</v>
      </c>
      <c r="K1307" t="str">
        <f t="shared" si="73"/>
        <v>novembre</v>
      </c>
      <c r="L1307" t="str">
        <f t="shared" si="74"/>
        <v>Recettes</v>
      </c>
    </row>
    <row r="1308" spans="1:12" ht="11.25" customHeight="1" x14ac:dyDescent="0.2">
      <c r="A1308" t="s">
        <v>69</v>
      </c>
      <c r="B1308" s="4" t="s">
        <v>70</v>
      </c>
      <c r="C1308" s="7" t="s">
        <v>1167</v>
      </c>
      <c r="D1308" s="2">
        <v>43773</v>
      </c>
      <c r="E1308" s="2">
        <f t="shared" si="75"/>
        <v>43773</v>
      </c>
      <c r="F1308" t="s">
        <v>105</v>
      </c>
      <c r="G1308" t="s">
        <v>106</v>
      </c>
      <c r="H1308" t="s">
        <v>107</v>
      </c>
      <c r="I1308" t="s">
        <v>621</v>
      </c>
      <c r="J1308" s="23">
        <v>-10.99</v>
      </c>
      <c r="K1308" t="str">
        <f t="shared" si="73"/>
        <v>novembre</v>
      </c>
      <c r="L1308" t="str">
        <f t="shared" si="74"/>
        <v>Dépenses</v>
      </c>
    </row>
    <row r="1309" spans="1:12" ht="11.25" customHeight="1" x14ac:dyDescent="0.2">
      <c r="A1309" t="s">
        <v>94</v>
      </c>
      <c r="B1309" s="4" t="s">
        <v>70</v>
      </c>
      <c r="C1309" s="7" t="s">
        <v>1168</v>
      </c>
      <c r="D1309" s="2">
        <v>43774</v>
      </c>
      <c r="E1309" s="2">
        <f t="shared" si="75"/>
        <v>43774</v>
      </c>
      <c r="F1309" t="s">
        <v>1014</v>
      </c>
      <c r="G1309" t="s">
        <v>162</v>
      </c>
      <c r="H1309" t="s">
        <v>163</v>
      </c>
      <c r="I1309" t="s">
        <v>621</v>
      </c>
      <c r="J1309" s="23">
        <v>-70</v>
      </c>
      <c r="K1309" t="str">
        <f t="shared" si="73"/>
        <v>novembre</v>
      </c>
      <c r="L1309" t="str">
        <f t="shared" si="74"/>
        <v>Dépenses</v>
      </c>
    </row>
    <row r="1310" spans="1:12" ht="15" customHeight="1" x14ac:dyDescent="0.2">
      <c r="A1310" t="s">
        <v>94</v>
      </c>
      <c r="B1310" s="4" t="s">
        <v>70</v>
      </c>
      <c r="C1310" s="7" t="s">
        <v>1169</v>
      </c>
      <c r="D1310" s="2">
        <v>43774</v>
      </c>
      <c r="E1310" s="2">
        <f t="shared" si="75"/>
        <v>43774</v>
      </c>
      <c r="F1310" t="s">
        <v>143</v>
      </c>
      <c r="G1310" t="s">
        <v>144</v>
      </c>
      <c r="H1310" t="s">
        <v>145</v>
      </c>
      <c r="I1310" t="s">
        <v>621</v>
      </c>
      <c r="J1310" s="23">
        <v>131.16</v>
      </c>
      <c r="K1310" t="str">
        <f t="shared" si="73"/>
        <v>novembre</v>
      </c>
      <c r="L1310" t="str">
        <f t="shared" si="74"/>
        <v>Recettes</v>
      </c>
    </row>
    <row r="1311" spans="1:12" ht="15" customHeight="1" x14ac:dyDescent="0.2">
      <c r="A1311" t="s">
        <v>69</v>
      </c>
      <c r="B1311" s="4" t="s">
        <v>70</v>
      </c>
      <c r="C1311" s="7" t="s">
        <v>1170</v>
      </c>
      <c r="D1311" s="2">
        <v>43774</v>
      </c>
      <c r="E1311" s="2">
        <f t="shared" si="75"/>
        <v>43774</v>
      </c>
      <c r="F1311" t="s">
        <v>147</v>
      </c>
      <c r="G1311" t="s">
        <v>115</v>
      </c>
      <c r="H1311" t="s">
        <v>148</v>
      </c>
      <c r="I1311" t="s">
        <v>621</v>
      </c>
      <c r="J1311" s="23">
        <v>-50</v>
      </c>
      <c r="K1311" t="str">
        <f t="shared" si="73"/>
        <v>novembre</v>
      </c>
      <c r="L1311" t="str">
        <f t="shared" si="74"/>
        <v>Dépenses</v>
      </c>
    </row>
    <row r="1312" spans="1:12" ht="15" customHeight="1" x14ac:dyDescent="0.2">
      <c r="A1312" t="s">
        <v>94</v>
      </c>
      <c r="B1312" t="s">
        <v>70</v>
      </c>
      <c r="D1312" s="2">
        <v>43774</v>
      </c>
      <c r="E1312" s="2">
        <f t="shared" si="75"/>
        <v>43774</v>
      </c>
      <c r="F1312" t="s">
        <v>1017</v>
      </c>
      <c r="G1312" t="s">
        <v>39</v>
      </c>
      <c r="H1312" t="s">
        <v>651</v>
      </c>
      <c r="I1312" t="s">
        <v>621</v>
      </c>
      <c r="J1312" s="22">
        <v>-190</v>
      </c>
      <c r="K1312" t="str">
        <f t="shared" si="73"/>
        <v>novembre</v>
      </c>
      <c r="L1312" t="str">
        <f t="shared" si="74"/>
        <v>Dépenses</v>
      </c>
    </row>
    <row r="1313" spans="1:12" ht="15" customHeight="1" x14ac:dyDescent="0.2">
      <c r="A1313" t="s">
        <v>94</v>
      </c>
      <c r="B1313" s="4" t="s">
        <v>70</v>
      </c>
      <c r="C1313" s="7" t="s">
        <v>1171</v>
      </c>
      <c r="D1313" s="2">
        <v>43775</v>
      </c>
      <c r="E1313" s="2">
        <f t="shared" si="75"/>
        <v>43775</v>
      </c>
      <c r="F1313" t="s">
        <v>157</v>
      </c>
      <c r="G1313" t="s">
        <v>158</v>
      </c>
      <c r="H1313" t="s">
        <v>87</v>
      </c>
      <c r="I1313" t="s">
        <v>621</v>
      </c>
      <c r="J1313" s="23">
        <v>-7.43</v>
      </c>
      <c r="K1313" t="str">
        <f t="shared" si="73"/>
        <v>novembre</v>
      </c>
      <c r="L1313" t="str">
        <f t="shared" si="74"/>
        <v>Dépenses</v>
      </c>
    </row>
    <row r="1314" spans="1:12" ht="11.25" customHeight="1" x14ac:dyDescent="0.2">
      <c r="A1314" t="s">
        <v>94</v>
      </c>
      <c r="B1314" s="4" t="s">
        <v>70</v>
      </c>
      <c r="C1314" s="7" t="s">
        <v>1172</v>
      </c>
      <c r="D1314" s="2">
        <v>43776</v>
      </c>
      <c r="E1314" s="2">
        <f t="shared" si="75"/>
        <v>43776</v>
      </c>
      <c r="F1314" t="s">
        <v>165</v>
      </c>
      <c r="G1314" t="s">
        <v>158</v>
      </c>
      <c r="H1314" t="s">
        <v>166</v>
      </c>
      <c r="I1314" t="s">
        <v>621</v>
      </c>
      <c r="J1314" s="23">
        <v>-27.35</v>
      </c>
      <c r="K1314" t="str">
        <f t="shared" si="73"/>
        <v>novembre</v>
      </c>
      <c r="L1314" t="str">
        <f t="shared" si="74"/>
        <v>Dépenses</v>
      </c>
    </row>
    <row r="1315" spans="1:12" ht="11.25" customHeight="1" x14ac:dyDescent="0.2">
      <c r="A1315" t="s">
        <v>94</v>
      </c>
      <c r="B1315" s="4" t="s">
        <v>70</v>
      </c>
      <c r="C1315" s="7" t="s">
        <v>1173</v>
      </c>
      <c r="D1315" s="2">
        <v>43776</v>
      </c>
      <c r="E1315" s="2">
        <f t="shared" si="75"/>
        <v>43776</v>
      </c>
      <c r="F1315" t="s">
        <v>165</v>
      </c>
      <c r="G1315" t="s">
        <v>158</v>
      </c>
      <c r="H1315" t="s">
        <v>166</v>
      </c>
      <c r="I1315" t="s">
        <v>621</v>
      </c>
      <c r="J1315" s="23">
        <v>-25.2</v>
      </c>
      <c r="K1315" t="str">
        <f t="shared" si="73"/>
        <v>novembre</v>
      </c>
      <c r="L1315" t="str">
        <f t="shared" si="74"/>
        <v>Dépenses</v>
      </c>
    </row>
    <row r="1316" spans="1:12" ht="11.25" customHeight="1" x14ac:dyDescent="0.2">
      <c r="A1316" t="s">
        <v>94</v>
      </c>
      <c r="B1316" s="4" t="s">
        <v>70</v>
      </c>
      <c r="C1316" s="7" t="s">
        <v>1174</v>
      </c>
      <c r="D1316" s="2">
        <v>43776</v>
      </c>
      <c r="E1316" s="2">
        <f t="shared" si="75"/>
        <v>43776</v>
      </c>
      <c r="F1316" t="s">
        <v>169</v>
      </c>
      <c r="G1316" t="s">
        <v>158</v>
      </c>
      <c r="H1316" t="s">
        <v>166</v>
      </c>
      <c r="I1316" t="s">
        <v>621</v>
      </c>
      <c r="J1316" s="23">
        <v>-34.33</v>
      </c>
      <c r="K1316" t="str">
        <f t="shared" si="73"/>
        <v>novembre</v>
      </c>
      <c r="L1316" t="str">
        <f t="shared" si="74"/>
        <v>Dépenses</v>
      </c>
    </row>
    <row r="1317" spans="1:12" ht="11.25" customHeight="1" x14ac:dyDescent="0.2">
      <c r="A1317" t="s">
        <v>94</v>
      </c>
      <c r="B1317" s="4" t="s">
        <v>70</v>
      </c>
      <c r="C1317" s="7" t="s">
        <v>1175</v>
      </c>
      <c r="D1317" s="2">
        <v>43778</v>
      </c>
      <c r="E1317" s="2">
        <f t="shared" si="75"/>
        <v>43778</v>
      </c>
      <c r="F1317" t="s">
        <v>187</v>
      </c>
      <c r="G1317" t="s">
        <v>158</v>
      </c>
      <c r="H1317" t="s">
        <v>188</v>
      </c>
      <c r="I1317" t="s">
        <v>621</v>
      </c>
      <c r="J1317" s="23">
        <v>-8.99</v>
      </c>
      <c r="K1317" t="str">
        <f t="shared" si="73"/>
        <v>novembre</v>
      </c>
      <c r="L1317" t="str">
        <f t="shared" si="74"/>
        <v>Dépenses</v>
      </c>
    </row>
    <row r="1318" spans="1:12" ht="11.25" customHeight="1" x14ac:dyDescent="0.2">
      <c r="A1318" t="s">
        <v>94</v>
      </c>
      <c r="B1318" s="4" t="s">
        <v>70</v>
      </c>
      <c r="C1318" s="7" t="s">
        <v>1175</v>
      </c>
      <c r="D1318" s="2">
        <v>43778</v>
      </c>
      <c r="E1318" s="2">
        <f t="shared" si="75"/>
        <v>43778</v>
      </c>
      <c r="F1318" t="s">
        <v>189</v>
      </c>
      <c r="G1318" t="s">
        <v>158</v>
      </c>
      <c r="H1318" t="s">
        <v>188</v>
      </c>
      <c r="I1318" t="s">
        <v>621</v>
      </c>
      <c r="J1318" s="23">
        <v>-6.99</v>
      </c>
      <c r="K1318" t="str">
        <f t="shared" si="73"/>
        <v>novembre</v>
      </c>
      <c r="L1318" t="str">
        <f t="shared" si="74"/>
        <v>Dépenses</v>
      </c>
    </row>
    <row r="1319" spans="1:12" ht="11.25" customHeight="1" x14ac:dyDescent="0.2">
      <c r="A1319" t="s">
        <v>108</v>
      </c>
      <c r="B1319" s="4" t="s">
        <v>70</v>
      </c>
      <c r="C1319" s="7" t="s">
        <v>1176</v>
      </c>
      <c r="D1319" s="2">
        <v>43778</v>
      </c>
      <c r="E1319" s="2">
        <f t="shared" si="75"/>
        <v>43778</v>
      </c>
      <c r="F1319" t="s">
        <v>171</v>
      </c>
      <c r="G1319" t="s">
        <v>172</v>
      </c>
      <c r="H1319" t="s">
        <v>173</v>
      </c>
      <c r="I1319" t="s">
        <v>621</v>
      </c>
      <c r="J1319" s="23">
        <v>-19.989999999999998</v>
      </c>
      <c r="K1319" t="str">
        <f t="shared" si="73"/>
        <v>novembre</v>
      </c>
      <c r="L1319" t="str">
        <f t="shared" si="74"/>
        <v>Dépenses</v>
      </c>
    </row>
    <row r="1320" spans="1:12" ht="11.25" customHeight="1" x14ac:dyDescent="0.2">
      <c r="A1320" t="s">
        <v>94</v>
      </c>
      <c r="B1320" s="4" t="s">
        <v>70</v>
      </c>
      <c r="C1320" s="7" t="s">
        <v>1177</v>
      </c>
      <c r="D1320" s="2">
        <v>43779</v>
      </c>
      <c r="E1320" s="2">
        <f t="shared" si="75"/>
        <v>43779</v>
      </c>
      <c r="F1320" t="s">
        <v>202</v>
      </c>
      <c r="G1320" t="s">
        <v>307</v>
      </c>
      <c r="H1320" t="s">
        <v>658</v>
      </c>
      <c r="I1320" t="s">
        <v>621</v>
      </c>
      <c r="J1320" s="23">
        <v>-15</v>
      </c>
      <c r="K1320" t="str">
        <f t="shared" si="73"/>
        <v>novembre</v>
      </c>
      <c r="L1320" t="str">
        <f t="shared" si="74"/>
        <v>Dépenses</v>
      </c>
    </row>
    <row r="1321" spans="1:12" ht="11.25" customHeight="1" x14ac:dyDescent="0.2">
      <c r="A1321" t="s">
        <v>94</v>
      </c>
      <c r="B1321" s="4" t="s">
        <v>70</v>
      </c>
      <c r="C1321" s="7" t="s">
        <v>1178</v>
      </c>
      <c r="D1321" s="2">
        <v>43779</v>
      </c>
      <c r="E1321" s="2">
        <f t="shared" si="75"/>
        <v>43779</v>
      </c>
      <c r="F1321" t="s">
        <v>204</v>
      </c>
      <c r="G1321" t="s">
        <v>307</v>
      </c>
      <c r="H1321" t="s">
        <v>660</v>
      </c>
      <c r="I1321" t="s">
        <v>621</v>
      </c>
      <c r="J1321" s="23">
        <v>-15</v>
      </c>
      <c r="K1321" t="str">
        <f t="shared" si="73"/>
        <v>novembre</v>
      </c>
      <c r="L1321" t="str">
        <f t="shared" si="74"/>
        <v>Dépenses</v>
      </c>
    </row>
    <row r="1322" spans="1:12" x14ac:dyDescent="0.2">
      <c r="A1322" t="s">
        <v>108</v>
      </c>
      <c r="B1322" s="4" t="s">
        <v>70</v>
      </c>
      <c r="C1322" s="7" t="s">
        <v>1179</v>
      </c>
      <c r="D1322" s="2">
        <v>43779</v>
      </c>
      <c r="E1322" s="2">
        <f t="shared" si="75"/>
        <v>43779</v>
      </c>
      <c r="F1322" t="s">
        <v>198</v>
      </c>
      <c r="G1322" t="s">
        <v>199</v>
      </c>
      <c r="H1322" t="s">
        <v>200</v>
      </c>
      <c r="I1322" t="s">
        <v>621</v>
      </c>
      <c r="J1322" s="23">
        <v>700</v>
      </c>
      <c r="K1322" t="str">
        <f t="shared" si="73"/>
        <v>novembre</v>
      </c>
      <c r="L1322" t="str">
        <f t="shared" si="74"/>
        <v>Recettes</v>
      </c>
    </row>
    <row r="1323" spans="1:12" x14ac:dyDescent="0.2">
      <c r="A1323" t="s">
        <v>658</v>
      </c>
      <c r="B1323" t="s">
        <v>70</v>
      </c>
      <c r="D1323" s="2">
        <v>43779</v>
      </c>
      <c r="E1323" s="2">
        <f t="shared" si="75"/>
        <v>43779</v>
      </c>
      <c r="F1323" t="s">
        <v>659</v>
      </c>
      <c r="G1323" t="s">
        <v>307</v>
      </c>
      <c r="H1323" t="s">
        <v>87</v>
      </c>
      <c r="I1323" t="s">
        <v>621</v>
      </c>
      <c r="J1323" s="22">
        <v>15</v>
      </c>
      <c r="K1323" t="str">
        <f t="shared" si="73"/>
        <v>novembre</v>
      </c>
      <c r="L1323" t="str">
        <f t="shared" si="74"/>
        <v>Recettes</v>
      </c>
    </row>
    <row r="1324" spans="1:12" x14ac:dyDescent="0.2">
      <c r="A1324" t="s">
        <v>660</v>
      </c>
      <c r="B1324" t="s">
        <v>70</v>
      </c>
      <c r="D1324" s="2">
        <v>43779</v>
      </c>
      <c r="E1324" s="2">
        <f t="shared" si="75"/>
        <v>43779</v>
      </c>
      <c r="F1324" t="s">
        <v>661</v>
      </c>
      <c r="G1324" t="s">
        <v>307</v>
      </c>
      <c r="H1324" t="s">
        <v>87</v>
      </c>
      <c r="I1324" t="s">
        <v>621</v>
      </c>
      <c r="J1324" s="22">
        <v>15</v>
      </c>
      <c r="K1324" t="str">
        <f t="shared" si="73"/>
        <v>novembre</v>
      </c>
      <c r="L1324" t="str">
        <f t="shared" si="74"/>
        <v>Recettes</v>
      </c>
    </row>
    <row r="1325" spans="1:12" x14ac:dyDescent="0.2">
      <c r="A1325" t="s">
        <v>108</v>
      </c>
      <c r="B1325" s="4" t="s">
        <v>70</v>
      </c>
      <c r="C1325" s="7" t="s">
        <v>1180</v>
      </c>
      <c r="D1325" s="2">
        <v>43779</v>
      </c>
      <c r="E1325" s="2">
        <f t="shared" ref="E1325:E1356" si="76">IF(A1325="","",IF(A1325&lt;&gt;"Carte Lux",D1325,VLOOKUP(D1325,Periode_datedebit_2019,3)))</f>
        <v>43779</v>
      </c>
      <c r="F1325" t="s">
        <v>206</v>
      </c>
      <c r="G1325" t="s">
        <v>111</v>
      </c>
      <c r="H1325" t="s">
        <v>207</v>
      </c>
      <c r="I1325" t="s">
        <v>621</v>
      </c>
      <c r="J1325" s="22">
        <v>-32.450000000000003</v>
      </c>
      <c r="K1325" t="str">
        <f t="shared" si="73"/>
        <v>novembre</v>
      </c>
      <c r="L1325" t="str">
        <f t="shared" si="74"/>
        <v>Dépenses</v>
      </c>
    </row>
    <row r="1326" spans="1:12" x14ac:dyDescent="0.2">
      <c r="A1326" t="s">
        <v>94</v>
      </c>
      <c r="B1326" s="4" t="s">
        <v>70</v>
      </c>
      <c r="C1326" s="7" t="s">
        <v>1181</v>
      </c>
      <c r="D1326" s="2">
        <v>43781</v>
      </c>
      <c r="E1326" s="2">
        <f t="shared" si="76"/>
        <v>43781</v>
      </c>
      <c r="F1326" t="s">
        <v>175</v>
      </c>
      <c r="G1326" t="s">
        <v>172</v>
      </c>
      <c r="H1326" t="s">
        <v>176</v>
      </c>
      <c r="I1326" t="s">
        <v>621</v>
      </c>
      <c r="J1326" s="23">
        <v>-35</v>
      </c>
      <c r="K1326" t="str">
        <f t="shared" si="73"/>
        <v>novembre</v>
      </c>
      <c r="L1326" t="str">
        <f t="shared" si="74"/>
        <v>Dépenses</v>
      </c>
    </row>
    <row r="1327" spans="1:12" x14ac:dyDescent="0.2">
      <c r="A1327" t="s">
        <v>94</v>
      </c>
      <c r="B1327" s="4" t="s">
        <v>70</v>
      </c>
      <c r="C1327" s="8" t="s">
        <v>1182</v>
      </c>
      <c r="D1327" s="2">
        <v>43784</v>
      </c>
      <c r="E1327" s="2">
        <f t="shared" si="76"/>
        <v>43784</v>
      </c>
      <c r="F1327" s="4" t="s">
        <v>232</v>
      </c>
      <c r="G1327" s="4" t="s">
        <v>79</v>
      </c>
      <c r="H1327" s="4" t="s">
        <v>233</v>
      </c>
      <c r="I1327" t="s">
        <v>621</v>
      </c>
      <c r="J1327" s="23">
        <v>-22.5</v>
      </c>
      <c r="K1327" t="str">
        <f t="shared" si="73"/>
        <v>novembre</v>
      </c>
      <c r="L1327" t="str">
        <f t="shared" si="74"/>
        <v>Dépenses</v>
      </c>
    </row>
    <row r="1328" spans="1:12" x14ac:dyDescent="0.2">
      <c r="A1328" t="s">
        <v>94</v>
      </c>
      <c r="B1328" t="s">
        <v>70</v>
      </c>
      <c r="C1328" s="1" t="s">
        <v>954</v>
      </c>
      <c r="D1328" s="2">
        <v>43784</v>
      </c>
      <c r="E1328" s="2">
        <f t="shared" si="76"/>
        <v>43784</v>
      </c>
      <c r="F1328" t="s">
        <v>958</v>
      </c>
      <c r="G1328" t="s">
        <v>158</v>
      </c>
      <c r="H1328" t="s">
        <v>956</v>
      </c>
      <c r="I1328" t="s">
        <v>621</v>
      </c>
      <c r="J1328" s="22">
        <v>-49.82</v>
      </c>
      <c r="K1328" t="str">
        <f t="shared" si="73"/>
        <v>novembre</v>
      </c>
      <c r="L1328" t="str">
        <f t="shared" si="74"/>
        <v>Dépenses</v>
      </c>
    </row>
    <row r="1329" spans="1:12" x14ac:dyDescent="0.2">
      <c r="A1329" t="s">
        <v>94</v>
      </c>
      <c r="B1329" s="4" t="s">
        <v>70</v>
      </c>
      <c r="C1329" s="7" t="s">
        <v>1183</v>
      </c>
      <c r="D1329" s="2">
        <v>43785</v>
      </c>
      <c r="E1329" s="2">
        <f t="shared" si="76"/>
        <v>43785</v>
      </c>
      <c r="F1329" s="4" t="s">
        <v>240</v>
      </c>
      <c r="G1329" s="4" t="s">
        <v>73</v>
      </c>
      <c r="H1329" s="4" t="s">
        <v>241</v>
      </c>
      <c r="I1329" t="s">
        <v>621</v>
      </c>
      <c r="J1329" s="23">
        <v>-164.14</v>
      </c>
      <c r="K1329" t="str">
        <f t="shared" si="73"/>
        <v>novembre</v>
      </c>
      <c r="L1329" t="str">
        <f t="shared" si="74"/>
        <v>Dépenses</v>
      </c>
    </row>
    <row r="1330" spans="1:12" ht="11.25" customHeight="1" x14ac:dyDescent="0.2">
      <c r="A1330" t="s">
        <v>94</v>
      </c>
      <c r="B1330" s="4" t="s">
        <v>70</v>
      </c>
      <c r="C1330" s="7" t="s">
        <v>1184</v>
      </c>
      <c r="D1330" s="2">
        <v>43785</v>
      </c>
      <c r="E1330" s="2">
        <f t="shared" si="76"/>
        <v>43785</v>
      </c>
      <c r="F1330" t="s">
        <v>243</v>
      </c>
      <c r="G1330" t="s">
        <v>244</v>
      </c>
      <c r="H1330" t="s">
        <v>245</v>
      </c>
      <c r="I1330" t="s">
        <v>621</v>
      </c>
      <c r="J1330" s="23">
        <v>-35</v>
      </c>
      <c r="K1330" t="str">
        <f t="shared" si="73"/>
        <v>novembre</v>
      </c>
      <c r="L1330" t="str">
        <f t="shared" si="74"/>
        <v>Dépenses</v>
      </c>
    </row>
    <row r="1331" spans="1:12" ht="11.25" customHeight="1" x14ac:dyDescent="0.2">
      <c r="A1331" t="s">
        <v>94</v>
      </c>
      <c r="B1331" s="4" t="s">
        <v>70</v>
      </c>
      <c r="C1331" s="7" t="s">
        <v>1185</v>
      </c>
      <c r="D1331" s="2">
        <v>43785</v>
      </c>
      <c r="E1331" s="2">
        <f t="shared" si="76"/>
        <v>43785</v>
      </c>
      <c r="F1331" t="s">
        <v>247</v>
      </c>
      <c r="G1331" t="s">
        <v>134</v>
      </c>
      <c r="H1331" t="s">
        <v>319</v>
      </c>
      <c r="I1331" t="s">
        <v>621</v>
      </c>
      <c r="J1331" s="23">
        <v>-40</v>
      </c>
      <c r="K1331" t="str">
        <f t="shared" si="73"/>
        <v>novembre</v>
      </c>
      <c r="L1331" t="str">
        <f t="shared" si="74"/>
        <v>Dépenses</v>
      </c>
    </row>
    <row r="1332" spans="1:12" ht="11.25" customHeight="1" x14ac:dyDescent="0.2">
      <c r="A1332" t="s">
        <v>94</v>
      </c>
      <c r="B1332" s="4" t="s">
        <v>70</v>
      </c>
      <c r="C1332" s="7" t="s">
        <v>1186</v>
      </c>
      <c r="D1332" s="2">
        <v>43785</v>
      </c>
      <c r="E1332" s="2">
        <f t="shared" si="76"/>
        <v>43785</v>
      </c>
      <c r="F1332" t="s">
        <v>249</v>
      </c>
      <c r="G1332" t="s">
        <v>134</v>
      </c>
      <c r="H1332" t="s">
        <v>319</v>
      </c>
      <c r="I1332" t="s">
        <v>621</v>
      </c>
      <c r="J1332" s="23">
        <v>-40</v>
      </c>
      <c r="K1332" t="str">
        <f t="shared" si="73"/>
        <v>novembre</v>
      </c>
      <c r="L1332" t="str">
        <f t="shared" si="74"/>
        <v>Dépenses</v>
      </c>
    </row>
    <row r="1333" spans="1:12" ht="11.25" customHeight="1" x14ac:dyDescent="0.2">
      <c r="A1333" t="s">
        <v>69</v>
      </c>
      <c r="B1333" s="4" t="s">
        <v>70</v>
      </c>
      <c r="C1333" s="7" t="s">
        <v>1187</v>
      </c>
      <c r="D1333" s="2">
        <v>43793</v>
      </c>
      <c r="E1333" s="2">
        <f t="shared" si="76"/>
        <v>43793</v>
      </c>
      <c r="F1333" t="s">
        <v>285</v>
      </c>
      <c r="G1333" t="s">
        <v>199</v>
      </c>
      <c r="H1333" t="s">
        <v>74</v>
      </c>
      <c r="I1333" t="s">
        <v>621</v>
      </c>
      <c r="J1333" s="23">
        <v>2900</v>
      </c>
      <c r="K1333" t="str">
        <f t="shared" si="73"/>
        <v>novembre</v>
      </c>
      <c r="L1333" t="str">
        <f t="shared" si="74"/>
        <v>Recettes</v>
      </c>
    </row>
    <row r="1334" spans="1:12" ht="15" customHeight="1" x14ac:dyDescent="0.2">
      <c r="A1334" t="s">
        <v>69</v>
      </c>
      <c r="B1334" s="4" t="s">
        <v>70</v>
      </c>
      <c r="C1334" s="7" t="s">
        <v>458</v>
      </c>
      <c r="D1334" s="2">
        <v>43794</v>
      </c>
      <c r="E1334" s="2">
        <f t="shared" si="76"/>
        <v>43794</v>
      </c>
      <c r="F1334" t="s">
        <v>102</v>
      </c>
      <c r="G1334" t="s">
        <v>459</v>
      </c>
      <c r="H1334" t="s">
        <v>94</v>
      </c>
      <c r="I1334" t="s">
        <v>621</v>
      </c>
      <c r="J1334" s="23">
        <v>-860</v>
      </c>
      <c r="K1334" t="str">
        <f t="shared" si="73"/>
        <v>novembre</v>
      </c>
      <c r="L1334" t="str">
        <f t="shared" si="74"/>
        <v>Dépenses</v>
      </c>
    </row>
    <row r="1335" spans="1:12" ht="11.25" customHeight="1" x14ac:dyDescent="0.2">
      <c r="A1335" t="s">
        <v>94</v>
      </c>
      <c r="B1335" s="4" t="s">
        <v>70</v>
      </c>
      <c r="C1335" s="7" t="s">
        <v>458</v>
      </c>
      <c r="D1335" s="2">
        <v>43794</v>
      </c>
      <c r="E1335" s="2">
        <f t="shared" si="76"/>
        <v>43794</v>
      </c>
      <c r="F1335" t="s">
        <v>135</v>
      </c>
      <c r="G1335" t="s">
        <v>459</v>
      </c>
      <c r="H1335" t="s">
        <v>69</v>
      </c>
      <c r="I1335" t="s">
        <v>621</v>
      </c>
      <c r="J1335" s="23">
        <v>860</v>
      </c>
      <c r="K1335" t="str">
        <f t="shared" si="73"/>
        <v>novembre</v>
      </c>
      <c r="L1335" t="str">
        <f t="shared" si="74"/>
        <v>Recettes</v>
      </c>
    </row>
    <row r="1336" spans="1:12" ht="11.25" customHeight="1" x14ac:dyDescent="0.2">
      <c r="A1336" t="s">
        <v>94</v>
      </c>
      <c r="B1336" t="s">
        <v>70</v>
      </c>
      <c r="D1336" s="2">
        <v>43794</v>
      </c>
      <c r="E1336" s="2">
        <f t="shared" si="76"/>
        <v>43794</v>
      </c>
      <c r="F1336" t="s">
        <v>460</v>
      </c>
      <c r="G1336" t="s">
        <v>127</v>
      </c>
      <c r="H1336" t="s">
        <v>88</v>
      </c>
      <c r="I1336" t="s">
        <v>621</v>
      </c>
      <c r="J1336" s="22">
        <v>-70</v>
      </c>
      <c r="K1336" t="str">
        <f t="shared" si="73"/>
        <v>novembre</v>
      </c>
      <c r="L1336" t="str">
        <f t="shared" si="74"/>
        <v>Dépenses</v>
      </c>
    </row>
    <row r="1337" spans="1:12" ht="11.25" customHeight="1" x14ac:dyDescent="0.2">
      <c r="A1337" t="s">
        <v>94</v>
      </c>
      <c r="B1337" t="s">
        <v>70</v>
      </c>
      <c r="D1337" s="2">
        <v>43794</v>
      </c>
      <c r="E1337" s="2">
        <f t="shared" si="76"/>
        <v>43794</v>
      </c>
      <c r="F1337" t="s">
        <v>461</v>
      </c>
      <c r="G1337" t="s">
        <v>28</v>
      </c>
      <c r="H1337" t="s">
        <v>88</v>
      </c>
      <c r="I1337" t="s">
        <v>621</v>
      </c>
      <c r="J1337" s="22">
        <v>-30</v>
      </c>
      <c r="K1337" t="str">
        <f t="shared" si="73"/>
        <v>novembre</v>
      </c>
      <c r="L1337" t="str">
        <f t="shared" si="74"/>
        <v>Dépenses</v>
      </c>
    </row>
    <row r="1338" spans="1:12" ht="11.25" customHeight="1" x14ac:dyDescent="0.2">
      <c r="A1338" t="s">
        <v>94</v>
      </c>
      <c r="B1338" t="s">
        <v>70</v>
      </c>
      <c r="D1338" s="2">
        <v>43794</v>
      </c>
      <c r="E1338" s="2">
        <f t="shared" si="76"/>
        <v>43794</v>
      </c>
      <c r="F1338" t="s">
        <v>462</v>
      </c>
      <c r="G1338" t="s">
        <v>254</v>
      </c>
      <c r="H1338" t="s">
        <v>88</v>
      </c>
      <c r="I1338" t="s">
        <v>621</v>
      </c>
      <c r="J1338" s="22">
        <v>-100</v>
      </c>
      <c r="K1338" t="str">
        <f t="shared" si="73"/>
        <v>novembre</v>
      </c>
      <c r="L1338" t="str">
        <f t="shared" si="74"/>
        <v>Dépenses</v>
      </c>
    </row>
    <row r="1339" spans="1:12" ht="11.25" customHeight="1" x14ac:dyDescent="0.2">
      <c r="A1339" t="s">
        <v>94</v>
      </c>
      <c r="B1339" t="s">
        <v>70</v>
      </c>
      <c r="D1339" s="2">
        <v>43794</v>
      </c>
      <c r="E1339" s="2">
        <f t="shared" si="76"/>
        <v>43794</v>
      </c>
      <c r="F1339" t="s">
        <v>463</v>
      </c>
      <c r="G1339" t="s">
        <v>270</v>
      </c>
      <c r="H1339" t="s">
        <v>88</v>
      </c>
      <c r="I1339" t="s">
        <v>621</v>
      </c>
      <c r="J1339" s="22">
        <v>-70</v>
      </c>
      <c r="K1339" t="str">
        <f t="shared" si="73"/>
        <v>novembre</v>
      </c>
      <c r="L1339" t="str">
        <f t="shared" si="74"/>
        <v>Dépenses</v>
      </c>
    </row>
    <row r="1340" spans="1:12" ht="11.25" customHeight="1" x14ac:dyDescent="0.2">
      <c r="A1340" t="s">
        <v>94</v>
      </c>
      <c r="B1340" t="s">
        <v>70</v>
      </c>
      <c r="D1340" s="2">
        <v>43794</v>
      </c>
      <c r="E1340" s="2">
        <f t="shared" si="76"/>
        <v>43794</v>
      </c>
      <c r="F1340" t="s">
        <v>464</v>
      </c>
      <c r="G1340" t="s">
        <v>118</v>
      </c>
      <c r="H1340" t="s">
        <v>88</v>
      </c>
      <c r="I1340" t="s">
        <v>621</v>
      </c>
      <c r="J1340" s="22">
        <v>-150</v>
      </c>
      <c r="K1340" t="str">
        <f t="shared" si="73"/>
        <v>novembre</v>
      </c>
      <c r="L1340" t="str">
        <f t="shared" si="74"/>
        <v>Dépenses</v>
      </c>
    </row>
    <row r="1341" spans="1:12" ht="11.25" customHeight="1" x14ac:dyDescent="0.2">
      <c r="A1341" t="s">
        <v>94</v>
      </c>
      <c r="B1341" t="s">
        <v>70</v>
      </c>
      <c r="D1341" s="2">
        <v>43794</v>
      </c>
      <c r="E1341" s="2">
        <f t="shared" si="76"/>
        <v>43794</v>
      </c>
      <c r="F1341" t="s">
        <v>465</v>
      </c>
      <c r="G1341" t="s">
        <v>16</v>
      </c>
      <c r="H1341" t="s">
        <v>88</v>
      </c>
      <c r="I1341" t="s">
        <v>621</v>
      </c>
      <c r="J1341" s="22">
        <v>-60</v>
      </c>
      <c r="K1341" t="str">
        <f t="shared" si="73"/>
        <v>novembre</v>
      </c>
      <c r="L1341" t="str">
        <f t="shared" si="74"/>
        <v>Dépenses</v>
      </c>
    </row>
    <row r="1342" spans="1:12" ht="11.25" customHeight="1" x14ac:dyDescent="0.2">
      <c r="A1342" t="s">
        <v>94</v>
      </c>
      <c r="B1342" t="s">
        <v>70</v>
      </c>
      <c r="D1342" s="2">
        <v>43794</v>
      </c>
      <c r="E1342" s="2">
        <f t="shared" si="76"/>
        <v>43794</v>
      </c>
      <c r="F1342" t="s">
        <v>466</v>
      </c>
      <c r="G1342" t="s">
        <v>111</v>
      </c>
      <c r="H1342" t="s">
        <v>88</v>
      </c>
      <c r="I1342" t="s">
        <v>621</v>
      </c>
      <c r="J1342" s="22">
        <v>-120</v>
      </c>
      <c r="K1342" t="str">
        <f t="shared" si="73"/>
        <v>novembre</v>
      </c>
      <c r="L1342" t="str">
        <f t="shared" si="74"/>
        <v>Dépenses</v>
      </c>
    </row>
    <row r="1343" spans="1:12" ht="11.25" customHeight="1" x14ac:dyDescent="0.2">
      <c r="A1343" t="s">
        <v>94</v>
      </c>
      <c r="B1343" t="s">
        <v>70</v>
      </c>
      <c r="D1343" s="2">
        <v>43794</v>
      </c>
      <c r="E1343" s="2">
        <f t="shared" si="76"/>
        <v>43794</v>
      </c>
      <c r="F1343" t="s">
        <v>467</v>
      </c>
      <c r="G1343" t="s">
        <v>229</v>
      </c>
      <c r="H1343" t="s">
        <v>88</v>
      </c>
      <c r="I1343" t="s">
        <v>621</v>
      </c>
      <c r="J1343" s="22">
        <v>-60</v>
      </c>
      <c r="K1343" t="str">
        <f t="shared" si="73"/>
        <v>novembre</v>
      </c>
      <c r="L1343" t="str">
        <f t="shared" si="74"/>
        <v>Dépenses</v>
      </c>
    </row>
    <row r="1344" spans="1:12" ht="11.25" customHeight="1" x14ac:dyDescent="0.2">
      <c r="A1344" t="s">
        <v>94</v>
      </c>
      <c r="B1344" t="s">
        <v>70</v>
      </c>
      <c r="D1344" s="2">
        <v>43794</v>
      </c>
      <c r="E1344" s="2">
        <f t="shared" si="76"/>
        <v>43794</v>
      </c>
      <c r="F1344" t="s">
        <v>469</v>
      </c>
      <c r="G1344" t="s">
        <v>52</v>
      </c>
      <c r="H1344" t="s">
        <v>88</v>
      </c>
      <c r="I1344" t="s">
        <v>621</v>
      </c>
      <c r="J1344" s="22">
        <v>-100</v>
      </c>
      <c r="K1344" t="str">
        <f t="shared" si="73"/>
        <v>novembre</v>
      </c>
      <c r="L1344" t="str">
        <f t="shared" si="74"/>
        <v>Dépenses</v>
      </c>
    </row>
    <row r="1345" spans="1:12" ht="11.25" customHeight="1" x14ac:dyDescent="0.2">
      <c r="A1345" t="s">
        <v>94</v>
      </c>
      <c r="B1345" t="s">
        <v>70</v>
      </c>
      <c r="D1345" s="2">
        <v>43794</v>
      </c>
      <c r="E1345" s="2">
        <f t="shared" si="76"/>
        <v>43794</v>
      </c>
      <c r="F1345" t="s">
        <v>470</v>
      </c>
      <c r="G1345" t="s">
        <v>39</v>
      </c>
      <c r="H1345" t="s">
        <v>88</v>
      </c>
      <c r="I1345" t="s">
        <v>621</v>
      </c>
      <c r="J1345" s="22">
        <v>-100</v>
      </c>
      <c r="K1345" t="str">
        <f t="shared" si="73"/>
        <v>novembre</v>
      </c>
      <c r="L1345" t="str">
        <f t="shared" si="74"/>
        <v>Dépenses</v>
      </c>
    </row>
    <row r="1346" spans="1:12" ht="11.25" customHeight="1" x14ac:dyDescent="0.2">
      <c r="A1346" t="s">
        <v>88</v>
      </c>
      <c r="B1346" t="s">
        <v>70</v>
      </c>
      <c r="D1346" s="2">
        <v>43794</v>
      </c>
      <c r="E1346" s="2">
        <f t="shared" si="76"/>
        <v>43794</v>
      </c>
      <c r="F1346" t="s">
        <v>471</v>
      </c>
      <c r="G1346" t="s">
        <v>76</v>
      </c>
      <c r="H1346" t="s">
        <v>94</v>
      </c>
      <c r="I1346" t="s">
        <v>621</v>
      </c>
      <c r="J1346" s="22">
        <v>860</v>
      </c>
      <c r="K1346" t="str">
        <f t="shared" ref="K1346:K1405" si="77">IF(D1346="","",TEXT(D1346,"Mmmm"))</f>
        <v>novembre</v>
      </c>
      <c r="L1346" t="str">
        <f t="shared" ref="L1346:L1405" si="78">IF(J1346="","",IF(J1346&lt;0,"Dépenses","Recettes"))</f>
        <v>Recettes</v>
      </c>
    </row>
    <row r="1347" spans="1:12" ht="11.25" customHeight="1" x14ac:dyDescent="0.2">
      <c r="A1347" t="s">
        <v>69</v>
      </c>
      <c r="B1347" t="s">
        <v>137</v>
      </c>
      <c r="C1347" s="7" t="s">
        <v>1188</v>
      </c>
      <c r="D1347" s="2">
        <v>43794</v>
      </c>
      <c r="E1347" s="2">
        <f t="shared" si="76"/>
        <v>43794</v>
      </c>
      <c r="F1347" t="s">
        <v>291</v>
      </c>
      <c r="G1347" t="s">
        <v>79</v>
      </c>
      <c r="H1347" t="s">
        <v>292</v>
      </c>
      <c r="I1347" t="s">
        <v>621</v>
      </c>
      <c r="J1347" s="22">
        <v>-2.38</v>
      </c>
      <c r="K1347" t="str">
        <f t="shared" si="77"/>
        <v>novembre</v>
      </c>
      <c r="L1347" t="str">
        <f t="shared" si="78"/>
        <v>Dépenses</v>
      </c>
    </row>
    <row r="1348" spans="1:12" ht="11.25" customHeight="1" x14ac:dyDescent="0.2">
      <c r="A1348" t="s">
        <v>69</v>
      </c>
      <c r="B1348" s="4" t="s">
        <v>70</v>
      </c>
      <c r="C1348" s="7" t="s">
        <v>1170</v>
      </c>
      <c r="D1348" s="2">
        <v>43797</v>
      </c>
      <c r="E1348" s="2">
        <f t="shared" si="76"/>
        <v>43797</v>
      </c>
      <c r="F1348" t="s">
        <v>147</v>
      </c>
      <c r="G1348" t="s">
        <v>115</v>
      </c>
      <c r="H1348" t="s">
        <v>148</v>
      </c>
      <c r="I1348" t="s">
        <v>621</v>
      </c>
      <c r="J1348" s="23">
        <v>-50</v>
      </c>
      <c r="K1348" t="str">
        <f t="shared" si="77"/>
        <v>novembre</v>
      </c>
      <c r="L1348" t="str">
        <f t="shared" si="78"/>
        <v>Dépenses</v>
      </c>
    </row>
    <row r="1349" spans="1:12" ht="11.25" customHeight="1" x14ac:dyDescent="0.2">
      <c r="A1349" t="s">
        <v>94</v>
      </c>
      <c r="B1349" s="4" t="s">
        <v>70</v>
      </c>
      <c r="C1349" s="7" t="s">
        <v>1189</v>
      </c>
      <c r="D1349" s="2">
        <v>43797</v>
      </c>
      <c r="E1349" s="2">
        <f t="shared" si="76"/>
        <v>43797</v>
      </c>
      <c r="F1349" t="s">
        <v>317</v>
      </c>
      <c r="G1349" t="s">
        <v>318</v>
      </c>
      <c r="H1349" t="s">
        <v>319</v>
      </c>
      <c r="I1349" t="s">
        <v>621</v>
      </c>
      <c r="J1349" s="22">
        <v>-80.33</v>
      </c>
      <c r="K1349" t="str">
        <f t="shared" si="77"/>
        <v>novembre</v>
      </c>
      <c r="L1349" t="str">
        <f t="shared" si="78"/>
        <v>Dépenses</v>
      </c>
    </row>
    <row r="1350" spans="1:12" ht="11.25" customHeight="1" x14ac:dyDescent="0.2">
      <c r="A1350" t="s">
        <v>69</v>
      </c>
      <c r="B1350" s="4" t="s">
        <v>70</v>
      </c>
      <c r="C1350" s="7" t="s">
        <v>1170</v>
      </c>
      <c r="D1350" s="2">
        <v>43799</v>
      </c>
      <c r="E1350" s="2">
        <f t="shared" si="76"/>
        <v>43799</v>
      </c>
      <c r="F1350" t="s">
        <v>327</v>
      </c>
      <c r="G1350" t="s">
        <v>328</v>
      </c>
      <c r="H1350" t="s">
        <v>329</v>
      </c>
      <c r="I1350" t="s">
        <v>621</v>
      </c>
      <c r="J1350" s="22">
        <v>-12</v>
      </c>
      <c r="K1350" t="str">
        <f t="shared" si="77"/>
        <v>novembre</v>
      </c>
      <c r="L1350" t="str">
        <f t="shared" si="78"/>
        <v>Dépenses</v>
      </c>
    </row>
    <row r="1351" spans="1:12" ht="15" customHeight="1" x14ac:dyDescent="0.2">
      <c r="A1351" t="s">
        <v>108</v>
      </c>
      <c r="B1351" s="4" t="s">
        <v>70</v>
      </c>
      <c r="C1351" s="7" t="s">
        <v>1190</v>
      </c>
      <c r="D1351" s="2">
        <v>43799</v>
      </c>
      <c r="E1351" s="2">
        <f t="shared" si="76"/>
        <v>43799</v>
      </c>
      <c r="F1351" t="s">
        <v>184</v>
      </c>
      <c r="G1351" t="s">
        <v>106</v>
      </c>
      <c r="H1351" t="s">
        <v>185</v>
      </c>
      <c r="I1351" t="s">
        <v>621</v>
      </c>
      <c r="J1351" s="23">
        <v>-0.99</v>
      </c>
      <c r="K1351" t="str">
        <f t="shared" si="77"/>
        <v>novembre</v>
      </c>
      <c r="L1351" t="str">
        <f t="shared" si="78"/>
        <v>Dépenses</v>
      </c>
    </row>
    <row r="1352" spans="1:12" ht="11.25" customHeight="1" x14ac:dyDescent="0.2">
      <c r="A1352" t="s">
        <v>69</v>
      </c>
      <c r="B1352" s="4" t="s">
        <v>70</v>
      </c>
      <c r="C1352" s="5" t="s">
        <v>1191</v>
      </c>
      <c r="D1352" s="2">
        <v>43800</v>
      </c>
      <c r="E1352" s="2">
        <f t="shared" si="76"/>
        <v>43800</v>
      </c>
      <c r="F1352" t="s">
        <v>72</v>
      </c>
      <c r="G1352" t="s">
        <v>73</v>
      </c>
      <c r="H1352" t="s">
        <v>74</v>
      </c>
      <c r="I1352" t="s">
        <v>621</v>
      </c>
      <c r="J1352" s="23">
        <v>-500</v>
      </c>
      <c r="K1352" t="str">
        <f t="shared" si="77"/>
        <v>décembre</v>
      </c>
      <c r="L1352" t="str">
        <f t="shared" si="78"/>
        <v>Dépenses</v>
      </c>
    </row>
    <row r="1353" spans="1:12" ht="11.25" customHeight="1" x14ac:dyDescent="0.2">
      <c r="A1353" t="s">
        <v>75</v>
      </c>
      <c r="B1353" s="4" t="s">
        <v>70</v>
      </c>
      <c r="C1353" s="5" t="s">
        <v>1191</v>
      </c>
      <c r="D1353" s="2">
        <v>43800</v>
      </c>
      <c r="E1353" s="2">
        <f t="shared" si="76"/>
        <v>43800</v>
      </c>
      <c r="F1353" t="s">
        <v>72</v>
      </c>
      <c r="G1353" t="s">
        <v>76</v>
      </c>
      <c r="H1353" t="s">
        <v>74</v>
      </c>
      <c r="I1353" t="s">
        <v>621</v>
      </c>
      <c r="J1353" s="23">
        <v>500</v>
      </c>
      <c r="K1353" t="str">
        <f t="shared" si="77"/>
        <v>décembre</v>
      </c>
      <c r="L1353" t="str">
        <f t="shared" si="78"/>
        <v>Recettes</v>
      </c>
    </row>
    <row r="1354" spans="1:12" ht="11.25" customHeight="1" x14ac:dyDescent="0.2">
      <c r="A1354" t="s">
        <v>658</v>
      </c>
      <c r="B1354" t="s">
        <v>70</v>
      </c>
      <c r="D1354" s="2">
        <v>43800</v>
      </c>
      <c r="E1354" s="2">
        <f t="shared" si="76"/>
        <v>43800</v>
      </c>
      <c r="F1354" t="s">
        <v>659</v>
      </c>
      <c r="G1354" t="s">
        <v>76</v>
      </c>
      <c r="H1354" t="s">
        <v>87</v>
      </c>
      <c r="I1354" t="s">
        <v>621</v>
      </c>
      <c r="J1354" s="22">
        <v>-15</v>
      </c>
      <c r="K1354" t="str">
        <f t="shared" si="77"/>
        <v>décembre</v>
      </c>
      <c r="L1354" t="str">
        <f t="shared" si="78"/>
        <v>Dépenses</v>
      </c>
    </row>
    <row r="1355" spans="1:12" ht="11.25" customHeight="1" x14ac:dyDescent="0.2">
      <c r="A1355" t="s">
        <v>660</v>
      </c>
      <c r="B1355" t="s">
        <v>70</v>
      </c>
      <c r="D1355" s="2">
        <v>43800</v>
      </c>
      <c r="E1355" s="2">
        <f t="shared" si="76"/>
        <v>43800</v>
      </c>
      <c r="F1355" t="s">
        <v>661</v>
      </c>
      <c r="G1355" t="s">
        <v>76</v>
      </c>
      <c r="H1355" t="s">
        <v>87</v>
      </c>
      <c r="I1355" t="s">
        <v>621</v>
      </c>
      <c r="J1355" s="22">
        <v>-15</v>
      </c>
      <c r="K1355" t="str">
        <f t="shared" si="77"/>
        <v>décembre</v>
      </c>
      <c r="L1355" t="str">
        <f t="shared" si="78"/>
        <v>Dépenses</v>
      </c>
    </row>
    <row r="1356" spans="1:12" ht="11.25" customHeight="1" x14ac:dyDescent="0.2">
      <c r="A1356" t="s">
        <v>94</v>
      </c>
      <c r="B1356" s="4" t="s">
        <v>70</v>
      </c>
      <c r="C1356" s="5" t="s">
        <v>1192</v>
      </c>
      <c r="D1356" s="2">
        <v>43801</v>
      </c>
      <c r="E1356" s="2">
        <f t="shared" si="76"/>
        <v>43801</v>
      </c>
      <c r="F1356" t="s">
        <v>96</v>
      </c>
      <c r="G1356" t="s">
        <v>86</v>
      </c>
      <c r="H1356" t="s">
        <v>87</v>
      </c>
      <c r="I1356" t="s">
        <v>621</v>
      </c>
      <c r="J1356" s="22">
        <v>-6.72</v>
      </c>
      <c r="K1356" t="str">
        <f t="shared" si="77"/>
        <v>décembre</v>
      </c>
      <c r="L1356" t="str">
        <f t="shared" si="78"/>
        <v>Dépenses</v>
      </c>
    </row>
    <row r="1357" spans="1:12" ht="11.25" customHeight="1" x14ac:dyDescent="0.2">
      <c r="A1357" t="s">
        <v>69</v>
      </c>
      <c r="B1357" s="4" t="s">
        <v>70</v>
      </c>
      <c r="C1357" s="7" t="s">
        <v>1193</v>
      </c>
      <c r="D1357" s="2">
        <v>43801</v>
      </c>
      <c r="E1357" s="2">
        <f t="shared" ref="E1357:E1388" si="79">IF(A1357="","",IF(A1357&lt;&gt;"Carte Lux",D1357,VLOOKUP(D1357,Periode_datedebit_2019,3)))</f>
        <v>43801</v>
      </c>
      <c r="F1357" t="s">
        <v>98</v>
      </c>
      <c r="G1357" t="s">
        <v>73</v>
      </c>
      <c r="H1357" t="s">
        <v>74</v>
      </c>
      <c r="I1357" t="s">
        <v>621</v>
      </c>
      <c r="J1357" s="23">
        <v>-597</v>
      </c>
      <c r="K1357" t="str">
        <f t="shared" si="77"/>
        <v>décembre</v>
      </c>
      <c r="L1357" t="str">
        <f t="shared" si="78"/>
        <v>Dépenses</v>
      </c>
    </row>
    <row r="1358" spans="1:12" ht="11.25" customHeight="1" x14ac:dyDescent="0.2">
      <c r="A1358" t="s">
        <v>69</v>
      </c>
      <c r="B1358" s="4" t="s">
        <v>70</v>
      </c>
      <c r="C1358" s="7" t="s">
        <v>1194</v>
      </c>
      <c r="D1358" s="2">
        <v>43801</v>
      </c>
      <c r="E1358" s="2">
        <f t="shared" si="79"/>
        <v>43801</v>
      </c>
      <c r="F1358" t="s">
        <v>100</v>
      </c>
      <c r="G1358" t="s">
        <v>73</v>
      </c>
      <c r="H1358" t="s">
        <v>74</v>
      </c>
      <c r="I1358" t="s">
        <v>621</v>
      </c>
      <c r="J1358" s="23">
        <v>-120</v>
      </c>
      <c r="K1358" t="str">
        <f t="shared" si="77"/>
        <v>décembre</v>
      </c>
      <c r="L1358" t="str">
        <f t="shared" si="78"/>
        <v>Dépenses</v>
      </c>
    </row>
    <row r="1359" spans="1:12" ht="11.25" customHeight="1" x14ac:dyDescent="0.2">
      <c r="A1359" t="s">
        <v>69</v>
      </c>
      <c r="B1359" s="4" t="s">
        <v>70</v>
      </c>
      <c r="C1359" s="7" t="s">
        <v>458</v>
      </c>
      <c r="D1359" s="2">
        <v>43801</v>
      </c>
      <c r="E1359" s="2">
        <f t="shared" si="79"/>
        <v>43801</v>
      </c>
      <c r="F1359" t="s">
        <v>102</v>
      </c>
      <c r="G1359" t="s">
        <v>103</v>
      </c>
      <c r="H1359" t="s">
        <v>94</v>
      </c>
      <c r="I1359" t="s">
        <v>621</v>
      </c>
      <c r="J1359" s="23">
        <v>-600</v>
      </c>
      <c r="K1359" t="str">
        <f t="shared" si="77"/>
        <v>décembre</v>
      </c>
      <c r="L1359" t="str">
        <f t="shared" si="78"/>
        <v>Dépenses</v>
      </c>
    </row>
    <row r="1360" spans="1:12" ht="11.25" customHeight="1" x14ac:dyDescent="0.2">
      <c r="A1360" t="s">
        <v>108</v>
      </c>
      <c r="B1360" s="4" t="s">
        <v>70</v>
      </c>
      <c r="C1360" s="5" t="s">
        <v>1195</v>
      </c>
      <c r="D1360" s="2">
        <v>43801</v>
      </c>
      <c r="E1360" s="2">
        <f t="shared" si="79"/>
        <v>43801</v>
      </c>
      <c r="F1360" t="s">
        <v>96</v>
      </c>
      <c r="G1360" t="s">
        <v>86</v>
      </c>
      <c r="H1360" t="s">
        <v>87</v>
      </c>
      <c r="I1360" t="s">
        <v>621</v>
      </c>
      <c r="J1360" s="22">
        <v>-6.72</v>
      </c>
      <c r="K1360" t="str">
        <f t="shared" si="77"/>
        <v>décembre</v>
      </c>
      <c r="L1360" t="str">
        <f t="shared" si="78"/>
        <v>Dépenses</v>
      </c>
    </row>
    <row r="1361" spans="1:12" ht="11.25" customHeight="1" x14ac:dyDescent="0.2">
      <c r="A1361" t="s">
        <v>94</v>
      </c>
      <c r="B1361" s="4" t="s">
        <v>70</v>
      </c>
      <c r="C1361" s="7" t="s">
        <v>458</v>
      </c>
      <c r="D1361" s="2">
        <v>43803</v>
      </c>
      <c r="E1361" s="2">
        <f t="shared" si="79"/>
        <v>43803</v>
      </c>
      <c r="F1361" t="s">
        <v>135</v>
      </c>
      <c r="G1361" t="s">
        <v>103</v>
      </c>
      <c r="H1361" t="s">
        <v>69</v>
      </c>
      <c r="I1361" t="s">
        <v>621</v>
      </c>
      <c r="J1361" s="23">
        <v>600</v>
      </c>
      <c r="K1361" t="str">
        <f t="shared" si="77"/>
        <v>décembre</v>
      </c>
      <c r="L1361" t="str">
        <f t="shared" si="78"/>
        <v>Recettes</v>
      </c>
    </row>
    <row r="1362" spans="1:12" ht="11.25" customHeight="1" x14ac:dyDescent="0.2">
      <c r="A1362" t="s">
        <v>69</v>
      </c>
      <c r="B1362" s="4" t="s">
        <v>70</v>
      </c>
      <c r="C1362" s="7" t="s">
        <v>1196</v>
      </c>
      <c r="D1362" s="2">
        <v>43803</v>
      </c>
      <c r="E1362" s="2">
        <f t="shared" si="79"/>
        <v>43803</v>
      </c>
      <c r="F1362" t="s">
        <v>105</v>
      </c>
      <c r="G1362" t="s">
        <v>106</v>
      </c>
      <c r="H1362" t="s">
        <v>107</v>
      </c>
      <c r="I1362" t="s">
        <v>621</v>
      </c>
      <c r="J1362" s="23">
        <v>-10.99</v>
      </c>
      <c r="K1362" t="str">
        <f t="shared" si="77"/>
        <v>décembre</v>
      </c>
      <c r="L1362" t="str">
        <f t="shared" si="78"/>
        <v>Dépenses</v>
      </c>
    </row>
    <row r="1363" spans="1:12" ht="11.25" customHeight="1" x14ac:dyDescent="0.2">
      <c r="A1363" t="s">
        <v>94</v>
      </c>
      <c r="B1363" s="4" t="s">
        <v>70</v>
      </c>
      <c r="C1363" s="7" t="s">
        <v>1197</v>
      </c>
      <c r="D1363" s="2">
        <v>43804</v>
      </c>
      <c r="E1363" s="2">
        <f t="shared" si="79"/>
        <v>43804</v>
      </c>
      <c r="F1363" t="s">
        <v>1014</v>
      </c>
      <c r="G1363" t="s">
        <v>162</v>
      </c>
      <c r="H1363" t="s">
        <v>163</v>
      </c>
      <c r="I1363" t="s">
        <v>621</v>
      </c>
      <c r="J1363" s="23">
        <v>-70</v>
      </c>
      <c r="K1363" t="str">
        <f t="shared" si="77"/>
        <v>décembre</v>
      </c>
      <c r="L1363" t="str">
        <f t="shared" si="78"/>
        <v>Dépenses</v>
      </c>
    </row>
    <row r="1364" spans="1:12" ht="11.25" customHeight="1" x14ac:dyDescent="0.2">
      <c r="A1364" t="s">
        <v>94</v>
      </c>
      <c r="B1364" s="4" t="s">
        <v>70</v>
      </c>
      <c r="C1364" s="7" t="s">
        <v>1198</v>
      </c>
      <c r="D1364" s="2">
        <v>43804</v>
      </c>
      <c r="E1364" s="2">
        <f t="shared" si="79"/>
        <v>43804</v>
      </c>
      <c r="F1364" t="s">
        <v>143</v>
      </c>
      <c r="G1364" t="s">
        <v>144</v>
      </c>
      <c r="H1364" t="s">
        <v>145</v>
      </c>
      <c r="I1364" t="s">
        <v>621</v>
      </c>
      <c r="J1364" s="23">
        <v>131.16</v>
      </c>
      <c r="K1364" t="str">
        <f t="shared" si="77"/>
        <v>décembre</v>
      </c>
      <c r="L1364" t="str">
        <f t="shared" si="78"/>
        <v>Recettes</v>
      </c>
    </row>
    <row r="1365" spans="1:12" ht="11.25" customHeight="1" x14ac:dyDescent="0.2">
      <c r="A1365" t="s">
        <v>69</v>
      </c>
      <c r="B1365" s="4" t="s">
        <v>70</v>
      </c>
      <c r="C1365" s="7" t="s">
        <v>1199</v>
      </c>
      <c r="D1365" s="2">
        <v>43804</v>
      </c>
      <c r="E1365" s="2">
        <f t="shared" si="79"/>
        <v>43804</v>
      </c>
      <c r="F1365" t="s">
        <v>147</v>
      </c>
      <c r="G1365" t="s">
        <v>115</v>
      </c>
      <c r="H1365" t="s">
        <v>148</v>
      </c>
      <c r="I1365" t="s">
        <v>621</v>
      </c>
      <c r="J1365" s="23">
        <v>-50</v>
      </c>
      <c r="K1365" t="str">
        <f t="shared" si="77"/>
        <v>décembre</v>
      </c>
      <c r="L1365" t="str">
        <f t="shared" si="78"/>
        <v>Dépenses</v>
      </c>
    </row>
    <row r="1366" spans="1:12" ht="11.25" customHeight="1" x14ac:dyDescent="0.2">
      <c r="A1366" t="s">
        <v>94</v>
      </c>
      <c r="B1366" t="s">
        <v>70</v>
      </c>
      <c r="D1366" s="2">
        <v>43804</v>
      </c>
      <c r="E1366" s="2">
        <f t="shared" si="79"/>
        <v>43804</v>
      </c>
      <c r="F1366" t="s">
        <v>1017</v>
      </c>
      <c r="G1366" t="s">
        <v>39</v>
      </c>
      <c r="H1366" t="s">
        <v>651</v>
      </c>
      <c r="I1366" t="s">
        <v>621</v>
      </c>
      <c r="J1366" s="22">
        <v>-190</v>
      </c>
      <c r="K1366" t="str">
        <f t="shared" si="77"/>
        <v>décembre</v>
      </c>
      <c r="L1366" t="str">
        <f t="shared" si="78"/>
        <v>Dépenses</v>
      </c>
    </row>
    <row r="1367" spans="1:12" ht="11.25" customHeight="1" x14ac:dyDescent="0.2">
      <c r="A1367" t="s">
        <v>94</v>
      </c>
      <c r="B1367" s="4" t="s">
        <v>70</v>
      </c>
      <c r="C1367" s="7" t="s">
        <v>1200</v>
      </c>
      <c r="D1367" s="2">
        <v>43805</v>
      </c>
      <c r="E1367" s="2">
        <f t="shared" si="79"/>
        <v>43805</v>
      </c>
      <c r="F1367" t="s">
        <v>157</v>
      </c>
      <c r="G1367" t="s">
        <v>158</v>
      </c>
      <c r="H1367" t="s">
        <v>87</v>
      </c>
      <c r="I1367" t="s">
        <v>621</v>
      </c>
      <c r="J1367" s="23">
        <v>-7.43</v>
      </c>
      <c r="K1367" t="str">
        <f t="shared" si="77"/>
        <v>décembre</v>
      </c>
      <c r="L1367" t="str">
        <f t="shared" si="78"/>
        <v>Dépenses</v>
      </c>
    </row>
    <row r="1368" spans="1:12" ht="15" customHeight="1" x14ac:dyDescent="0.2">
      <c r="A1368" t="s">
        <v>94</v>
      </c>
      <c r="B1368" s="4" t="s">
        <v>70</v>
      </c>
      <c r="C1368" s="7" t="s">
        <v>1201</v>
      </c>
      <c r="D1368" s="2">
        <v>43806</v>
      </c>
      <c r="E1368" s="2">
        <f t="shared" si="79"/>
        <v>43806</v>
      </c>
      <c r="F1368" t="s">
        <v>165</v>
      </c>
      <c r="G1368" t="s">
        <v>158</v>
      </c>
      <c r="H1368" t="s">
        <v>166</v>
      </c>
      <c r="I1368" t="s">
        <v>621</v>
      </c>
      <c r="J1368" s="23">
        <v>-27.35</v>
      </c>
      <c r="K1368" t="str">
        <f t="shared" si="77"/>
        <v>décembre</v>
      </c>
      <c r="L1368" t="str">
        <f t="shared" si="78"/>
        <v>Dépenses</v>
      </c>
    </row>
    <row r="1369" spans="1:12" ht="11.25" customHeight="1" x14ac:dyDescent="0.2">
      <c r="A1369" t="s">
        <v>94</v>
      </c>
      <c r="B1369" s="4" t="s">
        <v>70</v>
      </c>
      <c r="C1369" s="7" t="s">
        <v>1202</v>
      </c>
      <c r="D1369" s="2">
        <v>43806</v>
      </c>
      <c r="E1369" s="2">
        <f t="shared" si="79"/>
        <v>43806</v>
      </c>
      <c r="F1369" t="s">
        <v>165</v>
      </c>
      <c r="G1369" t="s">
        <v>158</v>
      </c>
      <c r="H1369" t="s">
        <v>166</v>
      </c>
      <c r="I1369" t="s">
        <v>621</v>
      </c>
      <c r="J1369" s="23">
        <v>-25.2</v>
      </c>
      <c r="K1369" t="str">
        <f t="shared" si="77"/>
        <v>décembre</v>
      </c>
      <c r="L1369" t="str">
        <f t="shared" si="78"/>
        <v>Dépenses</v>
      </c>
    </row>
    <row r="1370" spans="1:12" ht="11.25" customHeight="1" x14ac:dyDescent="0.2">
      <c r="A1370" t="s">
        <v>94</v>
      </c>
      <c r="B1370" s="4" t="s">
        <v>70</v>
      </c>
      <c r="C1370" s="7" t="s">
        <v>1203</v>
      </c>
      <c r="D1370" s="2">
        <v>43806</v>
      </c>
      <c r="E1370" s="2">
        <f t="shared" si="79"/>
        <v>43806</v>
      </c>
      <c r="F1370" t="s">
        <v>169</v>
      </c>
      <c r="G1370" t="s">
        <v>158</v>
      </c>
      <c r="H1370" t="s">
        <v>166</v>
      </c>
      <c r="I1370" t="s">
        <v>621</v>
      </c>
      <c r="J1370" s="23">
        <v>-34.33</v>
      </c>
      <c r="K1370" t="str">
        <f t="shared" si="77"/>
        <v>décembre</v>
      </c>
      <c r="L1370" t="str">
        <f t="shared" si="78"/>
        <v>Dépenses</v>
      </c>
    </row>
    <row r="1371" spans="1:12" ht="11.25" customHeight="1" x14ac:dyDescent="0.2">
      <c r="A1371" t="s">
        <v>94</v>
      </c>
      <c r="B1371" s="4" t="s">
        <v>70</v>
      </c>
      <c r="C1371" s="7" t="s">
        <v>1204</v>
      </c>
      <c r="D1371" s="2">
        <v>43808</v>
      </c>
      <c r="E1371" s="2">
        <f t="shared" si="79"/>
        <v>43808</v>
      </c>
      <c r="F1371" t="s">
        <v>187</v>
      </c>
      <c r="G1371" t="s">
        <v>158</v>
      </c>
      <c r="H1371" t="s">
        <v>188</v>
      </c>
      <c r="I1371" t="s">
        <v>621</v>
      </c>
      <c r="J1371" s="23">
        <v>-8.99</v>
      </c>
      <c r="K1371" t="str">
        <f t="shared" si="77"/>
        <v>décembre</v>
      </c>
      <c r="L1371" t="str">
        <f t="shared" si="78"/>
        <v>Dépenses</v>
      </c>
    </row>
    <row r="1372" spans="1:12" ht="11.25" customHeight="1" x14ac:dyDescent="0.2">
      <c r="A1372" t="s">
        <v>94</v>
      </c>
      <c r="B1372" s="4" t="s">
        <v>70</v>
      </c>
      <c r="C1372" s="7" t="s">
        <v>1204</v>
      </c>
      <c r="D1372" s="2">
        <v>43808</v>
      </c>
      <c r="E1372" s="2">
        <f t="shared" si="79"/>
        <v>43808</v>
      </c>
      <c r="F1372" t="s">
        <v>189</v>
      </c>
      <c r="G1372" t="s">
        <v>158</v>
      </c>
      <c r="H1372" t="s">
        <v>188</v>
      </c>
      <c r="I1372" t="s">
        <v>621</v>
      </c>
      <c r="J1372" s="23">
        <v>-6.99</v>
      </c>
      <c r="K1372" t="str">
        <f t="shared" si="77"/>
        <v>décembre</v>
      </c>
      <c r="L1372" t="str">
        <f t="shared" si="78"/>
        <v>Dépenses</v>
      </c>
    </row>
    <row r="1373" spans="1:12" ht="11.25" customHeight="1" x14ac:dyDescent="0.2">
      <c r="A1373" t="s">
        <v>108</v>
      </c>
      <c r="B1373" s="4" t="s">
        <v>70</v>
      </c>
      <c r="C1373" s="7" t="s">
        <v>1205</v>
      </c>
      <c r="D1373" s="2">
        <v>43808</v>
      </c>
      <c r="E1373" s="2">
        <f t="shared" si="79"/>
        <v>43808</v>
      </c>
      <c r="F1373" t="s">
        <v>171</v>
      </c>
      <c r="G1373" t="s">
        <v>172</v>
      </c>
      <c r="H1373" t="s">
        <v>173</v>
      </c>
      <c r="I1373" t="s">
        <v>621</v>
      </c>
      <c r="J1373" s="23">
        <v>-19.989999999999998</v>
      </c>
      <c r="K1373" t="str">
        <f t="shared" si="77"/>
        <v>décembre</v>
      </c>
      <c r="L1373" t="str">
        <f t="shared" si="78"/>
        <v>Dépenses</v>
      </c>
    </row>
    <row r="1374" spans="1:12" ht="11.25" customHeight="1" x14ac:dyDescent="0.2">
      <c r="A1374" t="s">
        <v>94</v>
      </c>
      <c r="B1374" s="4" t="s">
        <v>70</v>
      </c>
      <c r="C1374" s="7" t="s">
        <v>1206</v>
      </c>
      <c r="D1374" s="2">
        <v>43809</v>
      </c>
      <c r="E1374" s="2">
        <f t="shared" si="79"/>
        <v>43809</v>
      </c>
      <c r="F1374" t="s">
        <v>202</v>
      </c>
      <c r="G1374" t="s">
        <v>307</v>
      </c>
      <c r="H1374" t="s">
        <v>658</v>
      </c>
      <c r="I1374" t="s">
        <v>621</v>
      </c>
      <c r="J1374" s="23">
        <v>-15</v>
      </c>
      <c r="K1374" t="str">
        <f t="shared" si="77"/>
        <v>décembre</v>
      </c>
      <c r="L1374" t="str">
        <f t="shared" si="78"/>
        <v>Dépenses</v>
      </c>
    </row>
    <row r="1375" spans="1:12" ht="11.25" customHeight="1" x14ac:dyDescent="0.2">
      <c r="A1375" t="s">
        <v>94</v>
      </c>
      <c r="B1375" s="4" t="s">
        <v>70</v>
      </c>
      <c r="C1375" s="7" t="s">
        <v>1207</v>
      </c>
      <c r="D1375" s="2">
        <v>43809</v>
      </c>
      <c r="E1375" s="2">
        <f t="shared" si="79"/>
        <v>43809</v>
      </c>
      <c r="F1375" t="s">
        <v>204</v>
      </c>
      <c r="G1375" t="s">
        <v>307</v>
      </c>
      <c r="H1375" t="s">
        <v>660</v>
      </c>
      <c r="I1375" t="s">
        <v>621</v>
      </c>
      <c r="J1375" s="23">
        <v>-15</v>
      </c>
      <c r="K1375" t="str">
        <f t="shared" si="77"/>
        <v>décembre</v>
      </c>
      <c r="L1375" t="str">
        <f t="shared" si="78"/>
        <v>Dépenses</v>
      </c>
    </row>
    <row r="1376" spans="1:12" x14ac:dyDescent="0.2">
      <c r="A1376" t="s">
        <v>108</v>
      </c>
      <c r="B1376" s="4" t="s">
        <v>70</v>
      </c>
      <c r="C1376" s="7" t="s">
        <v>1208</v>
      </c>
      <c r="D1376" s="2">
        <v>43809</v>
      </c>
      <c r="E1376" s="2">
        <f t="shared" si="79"/>
        <v>43809</v>
      </c>
      <c r="F1376" t="s">
        <v>198</v>
      </c>
      <c r="G1376" t="s">
        <v>199</v>
      </c>
      <c r="H1376" t="s">
        <v>200</v>
      </c>
      <c r="I1376" t="s">
        <v>621</v>
      </c>
      <c r="J1376" s="23">
        <v>700</v>
      </c>
      <c r="K1376" t="str">
        <f t="shared" si="77"/>
        <v>décembre</v>
      </c>
      <c r="L1376" t="str">
        <f t="shared" si="78"/>
        <v>Recettes</v>
      </c>
    </row>
    <row r="1377" spans="1:12" x14ac:dyDescent="0.2">
      <c r="A1377" t="s">
        <v>658</v>
      </c>
      <c r="B1377" t="s">
        <v>70</v>
      </c>
      <c r="D1377" s="2">
        <v>43809</v>
      </c>
      <c r="E1377" s="2">
        <f t="shared" si="79"/>
        <v>43809</v>
      </c>
      <c r="F1377" t="s">
        <v>659</v>
      </c>
      <c r="G1377" t="s">
        <v>307</v>
      </c>
      <c r="H1377" t="s">
        <v>87</v>
      </c>
      <c r="I1377" t="s">
        <v>621</v>
      </c>
      <c r="J1377" s="22">
        <v>15</v>
      </c>
      <c r="K1377" t="str">
        <f t="shared" si="77"/>
        <v>décembre</v>
      </c>
      <c r="L1377" t="str">
        <f t="shared" si="78"/>
        <v>Recettes</v>
      </c>
    </row>
    <row r="1378" spans="1:12" x14ac:dyDescent="0.2">
      <c r="A1378" t="s">
        <v>660</v>
      </c>
      <c r="B1378" t="s">
        <v>70</v>
      </c>
      <c r="D1378" s="2">
        <v>43809</v>
      </c>
      <c r="E1378" s="2">
        <f t="shared" si="79"/>
        <v>43809</v>
      </c>
      <c r="F1378" t="s">
        <v>661</v>
      </c>
      <c r="G1378" t="s">
        <v>307</v>
      </c>
      <c r="H1378" t="s">
        <v>87</v>
      </c>
      <c r="I1378" t="s">
        <v>621</v>
      </c>
      <c r="J1378" s="22">
        <v>15</v>
      </c>
      <c r="K1378" t="str">
        <f t="shared" si="77"/>
        <v>décembre</v>
      </c>
      <c r="L1378" t="str">
        <f t="shared" si="78"/>
        <v>Recettes</v>
      </c>
    </row>
    <row r="1379" spans="1:12" x14ac:dyDescent="0.2">
      <c r="A1379" t="s">
        <v>108</v>
      </c>
      <c r="B1379" s="4" t="s">
        <v>70</v>
      </c>
      <c r="C1379" s="7" t="s">
        <v>1209</v>
      </c>
      <c r="D1379" s="2">
        <v>43809</v>
      </c>
      <c r="E1379" s="2">
        <f t="shared" si="79"/>
        <v>43809</v>
      </c>
      <c r="F1379" t="s">
        <v>206</v>
      </c>
      <c r="G1379" t="s">
        <v>111</v>
      </c>
      <c r="H1379" t="s">
        <v>207</v>
      </c>
      <c r="I1379" t="s">
        <v>621</v>
      </c>
      <c r="J1379" s="22">
        <v>-32.450000000000003</v>
      </c>
      <c r="K1379" t="str">
        <f t="shared" si="77"/>
        <v>décembre</v>
      </c>
      <c r="L1379" t="str">
        <f t="shared" si="78"/>
        <v>Dépenses</v>
      </c>
    </row>
    <row r="1380" spans="1:12" x14ac:dyDescent="0.2">
      <c r="A1380" t="s">
        <v>94</v>
      </c>
      <c r="B1380" s="4" t="s">
        <v>70</v>
      </c>
      <c r="C1380" s="7" t="s">
        <v>1210</v>
      </c>
      <c r="D1380" s="2">
        <v>43811</v>
      </c>
      <c r="E1380" s="2">
        <f t="shared" si="79"/>
        <v>43811</v>
      </c>
      <c r="F1380" t="s">
        <v>175</v>
      </c>
      <c r="G1380" t="s">
        <v>172</v>
      </c>
      <c r="H1380" t="s">
        <v>176</v>
      </c>
      <c r="I1380" t="s">
        <v>621</v>
      </c>
      <c r="J1380" s="23">
        <v>-35</v>
      </c>
      <c r="K1380" t="str">
        <f t="shared" si="77"/>
        <v>décembre</v>
      </c>
      <c r="L1380" t="str">
        <f t="shared" si="78"/>
        <v>Dépenses</v>
      </c>
    </row>
    <row r="1381" spans="1:12" x14ac:dyDescent="0.2">
      <c r="A1381" t="s">
        <v>94</v>
      </c>
      <c r="B1381" s="4" t="s">
        <v>70</v>
      </c>
      <c r="C1381" s="8" t="s">
        <v>1211</v>
      </c>
      <c r="D1381" s="2">
        <v>43814</v>
      </c>
      <c r="E1381" s="2">
        <f t="shared" si="79"/>
        <v>43814</v>
      </c>
      <c r="F1381" s="4" t="s">
        <v>232</v>
      </c>
      <c r="G1381" s="4" t="s">
        <v>79</v>
      </c>
      <c r="H1381" s="4" t="s">
        <v>233</v>
      </c>
      <c r="I1381" t="s">
        <v>621</v>
      </c>
      <c r="J1381" s="23">
        <v>-22.5</v>
      </c>
      <c r="K1381" t="str">
        <f t="shared" si="77"/>
        <v>décembre</v>
      </c>
      <c r="L1381" t="str">
        <f t="shared" si="78"/>
        <v>Dépenses</v>
      </c>
    </row>
    <row r="1382" spans="1:12" x14ac:dyDescent="0.2">
      <c r="A1382" t="s">
        <v>94</v>
      </c>
      <c r="B1382" s="4" t="s">
        <v>70</v>
      </c>
      <c r="C1382" s="7" t="s">
        <v>1212</v>
      </c>
      <c r="D1382" s="2">
        <v>43815</v>
      </c>
      <c r="E1382" s="2">
        <f t="shared" si="79"/>
        <v>43815</v>
      </c>
      <c r="F1382" s="4" t="s">
        <v>240</v>
      </c>
      <c r="G1382" s="4" t="s">
        <v>73</v>
      </c>
      <c r="H1382" s="4" t="s">
        <v>241</v>
      </c>
      <c r="I1382" t="s">
        <v>621</v>
      </c>
      <c r="J1382" s="23">
        <v>-164.14</v>
      </c>
      <c r="K1382" t="str">
        <f t="shared" si="77"/>
        <v>décembre</v>
      </c>
      <c r="L1382" t="str">
        <f t="shared" si="78"/>
        <v>Dépenses</v>
      </c>
    </row>
    <row r="1383" spans="1:12" x14ac:dyDescent="0.2">
      <c r="A1383" t="s">
        <v>94</v>
      </c>
      <c r="B1383" s="4" t="s">
        <v>70</v>
      </c>
      <c r="C1383" s="7" t="s">
        <v>1213</v>
      </c>
      <c r="D1383" s="2">
        <v>43815</v>
      </c>
      <c r="E1383" s="2">
        <f t="shared" si="79"/>
        <v>43815</v>
      </c>
      <c r="F1383" t="s">
        <v>243</v>
      </c>
      <c r="G1383" t="s">
        <v>244</v>
      </c>
      <c r="H1383" t="s">
        <v>245</v>
      </c>
      <c r="I1383" t="s">
        <v>621</v>
      </c>
      <c r="J1383" s="23">
        <v>-35</v>
      </c>
      <c r="K1383" t="str">
        <f t="shared" si="77"/>
        <v>décembre</v>
      </c>
      <c r="L1383" t="str">
        <f t="shared" si="78"/>
        <v>Dépenses</v>
      </c>
    </row>
    <row r="1384" spans="1:12" ht="11.25" customHeight="1" x14ac:dyDescent="0.2">
      <c r="A1384" t="s">
        <v>94</v>
      </c>
      <c r="B1384" s="4" t="s">
        <v>70</v>
      </c>
      <c r="C1384" s="7" t="s">
        <v>1214</v>
      </c>
      <c r="D1384" s="2">
        <v>43815</v>
      </c>
      <c r="E1384" s="2">
        <f t="shared" si="79"/>
        <v>43815</v>
      </c>
      <c r="F1384" t="s">
        <v>247</v>
      </c>
      <c r="G1384" t="s">
        <v>134</v>
      </c>
      <c r="H1384" t="s">
        <v>319</v>
      </c>
      <c r="I1384" t="s">
        <v>621</v>
      </c>
      <c r="J1384" s="23">
        <v>-40</v>
      </c>
      <c r="K1384" t="str">
        <f t="shared" si="77"/>
        <v>décembre</v>
      </c>
      <c r="L1384" t="str">
        <f t="shared" si="78"/>
        <v>Dépenses</v>
      </c>
    </row>
    <row r="1385" spans="1:12" ht="11.25" customHeight="1" x14ac:dyDescent="0.2">
      <c r="A1385" t="s">
        <v>94</v>
      </c>
      <c r="B1385" s="4" t="s">
        <v>70</v>
      </c>
      <c r="C1385" s="7" t="s">
        <v>1215</v>
      </c>
      <c r="D1385" s="2">
        <v>43815</v>
      </c>
      <c r="E1385" s="2">
        <f t="shared" si="79"/>
        <v>43815</v>
      </c>
      <c r="F1385" t="s">
        <v>249</v>
      </c>
      <c r="G1385" t="s">
        <v>134</v>
      </c>
      <c r="H1385" t="s">
        <v>319</v>
      </c>
      <c r="I1385" t="s">
        <v>621</v>
      </c>
      <c r="J1385" s="23">
        <v>-40</v>
      </c>
      <c r="K1385" t="str">
        <f t="shared" si="77"/>
        <v>décembre</v>
      </c>
      <c r="L1385" t="str">
        <f t="shared" si="78"/>
        <v>Dépenses</v>
      </c>
    </row>
    <row r="1386" spans="1:12" ht="11.25" customHeight="1" x14ac:dyDescent="0.2">
      <c r="A1386" t="s">
        <v>94</v>
      </c>
      <c r="B1386" t="s">
        <v>70</v>
      </c>
      <c r="C1386" s="1" t="s">
        <v>954</v>
      </c>
      <c r="D1386" s="2">
        <v>43815</v>
      </c>
      <c r="E1386" s="2">
        <f t="shared" si="79"/>
        <v>43815</v>
      </c>
      <c r="F1386" t="s">
        <v>958</v>
      </c>
      <c r="G1386" t="s">
        <v>158</v>
      </c>
      <c r="H1386" t="s">
        <v>956</v>
      </c>
      <c r="I1386" t="s">
        <v>621</v>
      </c>
      <c r="J1386" s="22">
        <v>-49.84</v>
      </c>
      <c r="K1386" t="str">
        <f t="shared" si="77"/>
        <v>décembre</v>
      </c>
      <c r="L1386" t="str">
        <f t="shared" si="78"/>
        <v>Dépenses</v>
      </c>
    </row>
    <row r="1387" spans="1:12" ht="11.25" customHeight="1" x14ac:dyDescent="0.2">
      <c r="A1387" t="s">
        <v>69</v>
      </c>
      <c r="B1387" s="4" t="s">
        <v>70</v>
      </c>
      <c r="C1387" s="7" t="s">
        <v>1216</v>
      </c>
      <c r="D1387" s="2">
        <v>43823</v>
      </c>
      <c r="E1387" s="2">
        <f t="shared" si="79"/>
        <v>43823</v>
      </c>
      <c r="F1387" t="s">
        <v>285</v>
      </c>
      <c r="G1387" t="s">
        <v>199</v>
      </c>
      <c r="H1387" t="s">
        <v>74</v>
      </c>
      <c r="I1387" t="s">
        <v>621</v>
      </c>
      <c r="J1387" s="23">
        <v>2900</v>
      </c>
      <c r="K1387" t="str">
        <f t="shared" si="77"/>
        <v>décembre</v>
      </c>
      <c r="L1387" t="str">
        <f t="shared" si="78"/>
        <v>Recettes</v>
      </c>
    </row>
    <row r="1388" spans="1:12" ht="11.25" customHeight="1" x14ac:dyDescent="0.2">
      <c r="A1388" t="s">
        <v>69</v>
      </c>
      <c r="B1388" s="4" t="s">
        <v>70</v>
      </c>
      <c r="C1388" s="7" t="s">
        <v>458</v>
      </c>
      <c r="D1388" s="2">
        <v>43824</v>
      </c>
      <c r="E1388" s="2">
        <f t="shared" si="79"/>
        <v>43824</v>
      </c>
      <c r="F1388" t="s">
        <v>102</v>
      </c>
      <c r="G1388" t="s">
        <v>459</v>
      </c>
      <c r="H1388" t="s">
        <v>94</v>
      </c>
      <c r="I1388" t="s">
        <v>621</v>
      </c>
      <c r="J1388" s="23">
        <v>-860</v>
      </c>
      <c r="K1388" t="str">
        <f t="shared" si="77"/>
        <v>décembre</v>
      </c>
      <c r="L1388" t="str">
        <f t="shared" si="78"/>
        <v>Dépenses</v>
      </c>
    </row>
    <row r="1389" spans="1:12" ht="11.25" customHeight="1" x14ac:dyDescent="0.2">
      <c r="A1389" t="s">
        <v>94</v>
      </c>
      <c r="B1389" s="4" t="s">
        <v>70</v>
      </c>
      <c r="C1389" s="7" t="s">
        <v>458</v>
      </c>
      <c r="D1389" s="2">
        <v>43824</v>
      </c>
      <c r="E1389" s="2">
        <f t="shared" ref="E1389:E1420" si="80">IF(A1389="","",IF(A1389&lt;&gt;"Carte Lux",D1389,VLOOKUP(D1389,Periode_datedebit_2019,3)))</f>
        <v>43824</v>
      </c>
      <c r="F1389" t="s">
        <v>135</v>
      </c>
      <c r="G1389" t="s">
        <v>459</v>
      </c>
      <c r="H1389" t="s">
        <v>69</v>
      </c>
      <c r="I1389" t="s">
        <v>621</v>
      </c>
      <c r="J1389" s="23">
        <v>860</v>
      </c>
      <c r="K1389" t="str">
        <f t="shared" si="77"/>
        <v>décembre</v>
      </c>
      <c r="L1389" t="str">
        <f t="shared" si="78"/>
        <v>Recettes</v>
      </c>
    </row>
    <row r="1390" spans="1:12" ht="11.25" customHeight="1" x14ac:dyDescent="0.2">
      <c r="A1390" t="s">
        <v>94</v>
      </c>
      <c r="B1390" t="s">
        <v>70</v>
      </c>
      <c r="D1390" s="2">
        <v>43824</v>
      </c>
      <c r="E1390" s="2">
        <f t="shared" si="80"/>
        <v>43824</v>
      </c>
      <c r="F1390" t="s">
        <v>460</v>
      </c>
      <c r="G1390" t="s">
        <v>127</v>
      </c>
      <c r="H1390" t="s">
        <v>88</v>
      </c>
      <c r="I1390" t="s">
        <v>621</v>
      </c>
      <c r="J1390" s="22">
        <v>-70</v>
      </c>
      <c r="K1390" t="str">
        <f t="shared" si="77"/>
        <v>décembre</v>
      </c>
      <c r="L1390" t="str">
        <f t="shared" si="78"/>
        <v>Dépenses</v>
      </c>
    </row>
    <row r="1391" spans="1:12" x14ac:dyDescent="0.2">
      <c r="A1391" t="s">
        <v>94</v>
      </c>
      <c r="B1391" t="s">
        <v>70</v>
      </c>
      <c r="D1391" s="2">
        <v>43824</v>
      </c>
      <c r="E1391" s="2">
        <f t="shared" si="80"/>
        <v>43824</v>
      </c>
      <c r="F1391" t="s">
        <v>461</v>
      </c>
      <c r="G1391" t="s">
        <v>28</v>
      </c>
      <c r="H1391" t="s">
        <v>88</v>
      </c>
      <c r="I1391" t="s">
        <v>621</v>
      </c>
      <c r="J1391" s="22">
        <v>-30</v>
      </c>
      <c r="K1391" t="str">
        <f t="shared" si="77"/>
        <v>décembre</v>
      </c>
      <c r="L1391" t="str">
        <f t="shared" si="78"/>
        <v>Dépenses</v>
      </c>
    </row>
    <row r="1392" spans="1:12" x14ac:dyDescent="0.2">
      <c r="A1392" t="s">
        <v>94</v>
      </c>
      <c r="B1392" t="s">
        <v>70</v>
      </c>
      <c r="D1392" s="2">
        <v>43824</v>
      </c>
      <c r="E1392" s="2">
        <f t="shared" si="80"/>
        <v>43824</v>
      </c>
      <c r="F1392" t="s">
        <v>462</v>
      </c>
      <c r="G1392" t="s">
        <v>254</v>
      </c>
      <c r="H1392" t="s">
        <v>88</v>
      </c>
      <c r="I1392" t="s">
        <v>621</v>
      </c>
      <c r="J1392" s="22">
        <v>-100</v>
      </c>
      <c r="K1392" t="str">
        <f t="shared" si="77"/>
        <v>décembre</v>
      </c>
      <c r="L1392" t="str">
        <f t="shared" si="78"/>
        <v>Dépenses</v>
      </c>
    </row>
    <row r="1393" spans="1:12" x14ac:dyDescent="0.2">
      <c r="A1393" t="s">
        <v>94</v>
      </c>
      <c r="B1393" t="s">
        <v>70</v>
      </c>
      <c r="D1393" s="2">
        <v>43824</v>
      </c>
      <c r="E1393" s="2">
        <f t="shared" si="80"/>
        <v>43824</v>
      </c>
      <c r="F1393" t="s">
        <v>463</v>
      </c>
      <c r="G1393" t="s">
        <v>270</v>
      </c>
      <c r="H1393" t="s">
        <v>88</v>
      </c>
      <c r="I1393" t="s">
        <v>621</v>
      </c>
      <c r="J1393" s="22">
        <v>-70</v>
      </c>
      <c r="K1393" t="str">
        <f t="shared" si="77"/>
        <v>décembre</v>
      </c>
      <c r="L1393" t="str">
        <f t="shared" si="78"/>
        <v>Dépenses</v>
      </c>
    </row>
    <row r="1394" spans="1:12" x14ac:dyDescent="0.2">
      <c r="A1394" t="s">
        <v>94</v>
      </c>
      <c r="B1394" t="s">
        <v>70</v>
      </c>
      <c r="D1394" s="2">
        <v>43824</v>
      </c>
      <c r="E1394" s="2">
        <f t="shared" si="80"/>
        <v>43824</v>
      </c>
      <c r="F1394" t="s">
        <v>464</v>
      </c>
      <c r="G1394" t="s">
        <v>118</v>
      </c>
      <c r="H1394" t="s">
        <v>88</v>
      </c>
      <c r="I1394" t="s">
        <v>621</v>
      </c>
      <c r="J1394" s="22">
        <v>-150</v>
      </c>
      <c r="K1394" t="str">
        <f t="shared" si="77"/>
        <v>décembre</v>
      </c>
      <c r="L1394" t="str">
        <f t="shared" si="78"/>
        <v>Dépenses</v>
      </c>
    </row>
    <row r="1395" spans="1:12" x14ac:dyDescent="0.2">
      <c r="A1395" t="s">
        <v>94</v>
      </c>
      <c r="B1395" t="s">
        <v>70</v>
      </c>
      <c r="D1395" s="2">
        <v>43824</v>
      </c>
      <c r="E1395" s="2">
        <f t="shared" si="80"/>
        <v>43824</v>
      </c>
      <c r="F1395" t="s">
        <v>465</v>
      </c>
      <c r="G1395" t="s">
        <v>16</v>
      </c>
      <c r="H1395" t="s">
        <v>88</v>
      </c>
      <c r="I1395" t="s">
        <v>621</v>
      </c>
      <c r="J1395" s="22">
        <v>-60</v>
      </c>
      <c r="K1395" t="str">
        <f t="shared" si="77"/>
        <v>décembre</v>
      </c>
      <c r="L1395" t="str">
        <f t="shared" si="78"/>
        <v>Dépenses</v>
      </c>
    </row>
    <row r="1396" spans="1:12" x14ac:dyDescent="0.2">
      <c r="A1396" t="s">
        <v>94</v>
      </c>
      <c r="B1396" t="s">
        <v>70</v>
      </c>
      <c r="D1396" s="2">
        <v>43824</v>
      </c>
      <c r="E1396" s="2">
        <f t="shared" si="80"/>
        <v>43824</v>
      </c>
      <c r="F1396" t="s">
        <v>466</v>
      </c>
      <c r="G1396" t="s">
        <v>111</v>
      </c>
      <c r="H1396" t="s">
        <v>88</v>
      </c>
      <c r="I1396" t="s">
        <v>621</v>
      </c>
      <c r="J1396" s="22">
        <v>-120</v>
      </c>
      <c r="K1396" t="str">
        <f t="shared" si="77"/>
        <v>décembre</v>
      </c>
      <c r="L1396" t="str">
        <f t="shared" si="78"/>
        <v>Dépenses</v>
      </c>
    </row>
    <row r="1397" spans="1:12" x14ac:dyDescent="0.2">
      <c r="A1397" t="s">
        <v>94</v>
      </c>
      <c r="B1397" t="s">
        <v>70</v>
      </c>
      <c r="D1397" s="2">
        <v>43824</v>
      </c>
      <c r="E1397" s="2">
        <f t="shared" si="80"/>
        <v>43824</v>
      </c>
      <c r="F1397" t="s">
        <v>467</v>
      </c>
      <c r="G1397" t="s">
        <v>229</v>
      </c>
      <c r="H1397" t="s">
        <v>88</v>
      </c>
      <c r="I1397" t="s">
        <v>621</v>
      </c>
      <c r="J1397" s="22">
        <v>-60</v>
      </c>
      <c r="K1397" t="str">
        <f t="shared" si="77"/>
        <v>décembre</v>
      </c>
      <c r="L1397" t="str">
        <f t="shared" si="78"/>
        <v>Dépenses</v>
      </c>
    </row>
    <row r="1398" spans="1:12" x14ac:dyDescent="0.2">
      <c r="A1398" t="s">
        <v>94</v>
      </c>
      <c r="B1398" t="s">
        <v>70</v>
      </c>
      <c r="D1398" s="2">
        <v>43824</v>
      </c>
      <c r="E1398" s="2">
        <f t="shared" si="80"/>
        <v>43824</v>
      </c>
      <c r="F1398" t="s">
        <v>469</v>
      </c>
      <c r="G1398" t="s">
        <v>52</v>
      </c>
      <c r="H1398" t="s">
        <v>88</v>
      </c>
      <c r="I1398" t="s">
        <v>621</v>
      </c>
      <c r="J1398" s="22">
        <v>-100</v>
      </c>
      <c r="K1398" t="str">
        <f t="shared" si="77"/>
        <v>décembre</v>
      </c>
      <c r="L1398" t="str">
        <f t="shared" si="78"/>
        <v>Dépenses</v>
      </c>
    </row>
    <row r="1399" spans="1:12" x14ac:dyDescent="0.2">
      <c r="A1399" t="s">
        <v>94</v>
      </c>
      <c r="B1399" t="s">
        <v>70</v>
      </c>
      <c r="D1399" s="2">
        <v>43824</v>
      </c>
      <c r="E1399" s="2">
        <f t="shared" si="80"/>
        <v>43824</v>
      </c>
      <c r="F1399" t="s">
        <v>470</v>
      </c>
      <c r="G1399" t="s">
        <v>39</v>
      </c>
      <c r="H1399" t="s">
        <v>88</v>
      </c>
      <c r="I1399" t="s">
        <v>621</v>
      </c>
      <c r="J1399" s="22">
        <v>-100</v>
      </c>
      <c r="K1399" t="str">
        <f t="shared" si="77"/>
        <v>décembre</v>
      </c>
      <c r="L1399" t="str">
        <f t="shared" si="78"/>
        <v>Dépenses</v>
      </c>
    </row>
    <row r="1400" spans="1:12" x14ac:dyDescent="0.2">
      <c r="A1400" t="s">
        <v>88</v>
      </c>
      <c r="B1400" t="s">
        <v>70</v>
      </c>
      <c r="D1400" s="2">
        <v>43824</v>
      </c>
      <c r="E1400" s="2">
        <f t="shared" si="80"/>
        <v>43824</v>
      </c>
      <c r="F1400" t="s">
        <v>471</v>
      </c>
      <c r="G1400" t="s">
        <v>76</v>
      </c>
      <c r="H1400" t="s">
        <v>94</v>
      </c>
      <c r="I1400" t="s">
        <v>621</v>
      </c>
      <c r="J1400" s="22">
        <v>860</v>
      </c>
      <c r="K1400" t="str">
        <f t="shared" si="77"/>
        <v>décembre</v>
      </c>
      <c r="L1400" t="str">
        <f t="shared" si="78"/>
        <v>Recettes</v>
      </c>
    </row>
    <row r="1401" spans="1:12" x14ac:dyDescent="0.2">
      <c r="A1401" t="s">
        <v>69</v>
      </c>
      <c r="B1401" t="s">
        <v>137</v>
      </c>
      <c r="C1401" s="7" t="s">
        <v>1217</v>
      </c>
      <c r="D1401" s="2">
        <v>43824</v>
      </c>
      <c r="E1401" s="2">
        <f t="shared" si="80"/>
        <v>43824</v>
      </c>
      <c r="F1401" t="s">
        <v>291</v>
      </c>
      <c r="G1401" t="s">
        <v>79</v>
      </c>
      <c r="H1401" t="s">
        <v>292</v>
      </c>
      <c r="I1401" t="s">
        <v>621</v>
      </c>
      <c r="J1401" s="22">
        <v>-2.38</v>
      </c>
      <c r="K1401" t="str">
        <f t="shared" si="77"/>
        <v>décembre</v>
      </c>
      <c r="L1401" t="str">
        <f t="shared" si="78"/>
        <v>Dépenses</v>
      </c>
    </row>
    <row r="1402" spans="1:12" x14ac:dyDescent="0.2">
      <c r="A1402" t="s">
        <v>69</v>
      </c>
      <c r="B1402" s="4" t="s">
        <v>70</v>
      </c>
      <c r="C1402" s="7" t="s">
        <v>1199</v>
      </c>
      <c r="D1402" s="2">
        <v>43827</v>
      </c>
      <c r="E1402" s="2">
        <f t="shared" si="80"/>
        <v>43827</v>
      </c>
      <c r="F1402" t="s">
        <v>147</v>
      </c>
      <c r="G1402" t="s">
        <v>115</v>
      </c>
      <c r="H1402" t="s">
        <v>148</v>
      </c>
      <c r="I1402" t="s">
        <v>621</v>
      </c>
      <c r="J1402" s="23">
        <v>-50</v>
      </c>
      <c r="K1402" t="str">
        <f t="shared" si="77"/>
        <v>décembre</v>
      </c>
      <c r="L1402" t="str">
        <f t="shared" si="78"/>
        <v>Dépenses</v>
      </c>
    </row>
    <row r="1403" spans="1:12" x14ac:dyDescent="0.2">
      <c r="A1403" t="s">
        <v>94</v>
      </c>
      <c r="B1403" s="4" t="s">
        <v>70</v>
      </c>
      <c r="C1403" s="7" t="s">
        <v>1218</v>
      </c>
      <c r="D1403" s="2">
        <v>43827</v>
      </c>
      <c r="E1403" s="2">
        <f t="shared" si="80"/>
        <v>43827</v>
      </c>
      <c r="F1403" t="s">
        <v>317</v>
      </c>
      <c r="G1403" t="s">
        <v>318</v>
      </c>
      <c r="H1403" t="s">
        <v>319</v>
      </c>
      <c r="I1403" t="s">
        <v>621</v>
      </c>
      <c r="J1403" s="22">
        <v>-80.33</v>
      </c>
      <c r="K1403" t="str">
        <f t="shared" si="77"/>
        <v>décembre</v>
      </c>
      <c r="L1403" t="str">
        <f t="shared" si="78"/>
        <v>Dépenses</v>
      </c>
    </row>
    <row r="1404" spans="1:12" x14ac:dyDescent="0.2">
      <c r="A1404" t="s">
        <v>108</v>
      </c>
      <c r="B1404" s="4" t="s">
        <v>70</v>
      </c>
      <c r="C1404" s="7" t="s">
        <v>1219</v>
      </c>
      <c r="D1404" s="2">
        <v>43829</v>
      </c>
      <c r="E1404" s="2">
        <f t="shared" si="80"/>
        <v>43829</v>
      </c>
      <c r="F1404" t="s">
        <v>184</v>
      </c>
      <c r="G1404" t="s">
        <v>106</v>
      </c>
      <c r="H1404" t="s">
        <v>185</v>
      </c>
      <c r="I1404" t="s">
        <v>621</v>
      </c>
      <c r="J1404" s="23">
        <v>-0.99</v>
      </c>
      <c r="K1404" t="str">
        <f t="shared" si="77"/>
        <v>décembre</v>
      </c>
      <c r="L1404" t="str">
        <f t="shared" si="78"/>
        <v>Dépenses</v>
      </c>
    </row>
    <row r="1405" spans="1:12" x14ac:dyDescent="0.2">
      <c r="A1405" t="s">
        <v>69</v>
      </c>
      <c r="B1405" s="4" t="s">
        <v>70</v>
      </c>
      <c r="C1405" s="7" t="s">
        <v>1199</v>
      </c>
      <c r="D1405" s="2">
        <v>43830</v>
      </c>
      <c r="E1405" s="2">
        <f t="shared" si="80"/>
        <v>43830</v>
      </c>
      <c r="F1405" t="s">
        <v>327</v>
      </c>
      <c r="G1405" t="s">
        <v>328</v>
      </c>
      <c r="H1405" t="s">
        <v>329</v>
      </c>
      <c r="I1405" t="s">
        <v>621</v>
      </c>
      <c r="J1405" s="22">
        <v>-12</v>
      </c>
      <c r="K1405" t="str">
        <f t="shared" si="77"/>
        <v>décembre</v>
      </c>
      <c r="L1405" t="str">
        <f t="shared" si="78"/>
        <v>Dépenses</v>
      </c>
    </row>
  </sheetData>
  <autoFilter ref="A1:L1388" xr:uid="{1C5C5817-4AB1-4451-8B31-71DE325DC271}"/>
  <sortState ref="A2:L1405">
    <sortCondition ref="D2:D1405"/>
  </sortState>
  <conditionalFormatting sqref="I6 I19 I102:I106 I110:I112 I114:I120 I167:I168 I244:I245 I262:I266 I268:I274 I276:I294 I461:I490 I499:I507 I525:I529 I546:I549 I562:I574 I592:I596 I598:I607 I610:I612 I614:I617 I619:I623 I625:I630 I632:I668 I100 I82 I59:I61 I32 I670:I688 I188:I190 I137:I143 I145:I146 I690:I691 I693:I697 I200:I207 I185 I148:I150 I209:I210 I699:I704 I707 I709:I710 I712:I713 I715:I724 I153:I162 I170:I183 I226:I227 I236:I241 I759 I247:I260 I122:I135 I229:I234 I194:I198 I108 I767 I296:I336 I826:I830 I352:I357 I832:I838 I769:I824 I840:I844 I847:I864 I212:I214 I866 I868 I873:I874 I870 I877:I925 I361:I371 I492:I495 I338:I344 I374:I416 I216:I223 I927 I930:I940 I418:I458 I346:I348 I551 I510:I517 I942 I944:I945 I947 I949 I956:I957 I959:I964 I966:I970 I972 I974 I976:I988 I532:I544 I576:I590 I519:I520 I992 I2:I3">
    <cfRule type="cellIs" dxfId="1067" priority="1067" operator="equal">
      <formula>"A venir"</formula>
    </cfRule>
    <cfRule type="cellIs" dxfId="1066" priority="1068" operator="equal">
      <formula>"Non"</formula>
    </cfRule>
    <cfRule type="cellIs" dxfId="1065" priority="1069" operator="equal">
      <formula>"Débité"</formula>
    </cfRule>
  </conditionalFormatting>
  <conditionalFormatting sqref="G49 G255:G260">
    <cfRule type="containsText" dxfId="1064" priority="1066" operator="containsText" text="Estim">
      <formula>NOT(ISERROR(SEARCH("Estim",G49)))</formula>
    </cfRule>
  </conditionalFormatting>
  <conditionalFormatting sqref="I5">
    <cfRule type="cellIs" dxfId="1063" priority="960" operator="equal">
      <formula>"A venir"</formula>
    </cfRule>
    <cfRule type="cellIs" dxfId="1062" priority="961" operator="equal">
      <formula>"Non"</formula>
    </cfRule>
    <cfRule type="cellIs" dxfId="1061" priority="962" operator="equal">
      <formula>"Débité"</formula>
    </cfRule>
  </conditionalFormatting>
  <conditionalFormatting sqref="I7:I14 I16:I18">
    <cfRule type="cellIs" dxfId="1060" priority="957" operator="equal">
      <formula>"A venir"</formula>
    </cfRule>
    <cfRule type="cellIs" dxfId="1059" priority="958" operator="equal">
      <formula>"Non"</formula>
    </cfRule>
    <cfRule type="cellIs" dxfId="1058" priority="959" operator="equal">
      <formula>"Débité"</formula>
    </cfRule>
  </conditionalFormatting>
  <conditionalFormatting sqref="I20:I24 I26:I31">
    <cfRule type="cellIs" dxfId="1057" priority="954" operator="equal">
      <formula>"A venir"</formula>
    </cfRule>
    <cfRule type="cellIs" dxfId="1056" priority="955" operator="equal">
      <formula>"Non"</formula>
    </cfRule>
    <cfRule type="cellIs" dxfId="1055" priority="956" operator="equal">
      <formula>"Débité"</formula>
    </cfRule>
  </conditionalFormatting>
  <conditionalFormatting sqref="I33:I36 I38 I40:I43">
    <cfRule type="cellIs" dxfId="1054" priority="951" operator="equal">
      <formula>"A venir"</formula>
    </cfRule>
    <cfRule type="cellIs" dxfId="1053" priority="952" operator="equal">
      <formula>"Non"</formula>
    </cfRule>
    <cfRule type="cellIs" dxfId="1052" priority="953" operator="equal">
      <formula>"Débité"</formula>
    </cfRule>
  </conditionalFormatting>
  <conditionalFormatting sqref="I46">
    <cfRule type="cellIs" dxfId="1051" priority="948" operator="equal">
      <formula>"A venir"</formula>
    </cfRule>
    <cfRule type="cellIs" dxfId="1050" priority="949" operator="equal">
      <formula>"Non"</formula>
    </cfRule>
    <cfRule type="cellIs" dxfId="1049" priority="950" operator="equal">
      <formula>"Débité"</formula>
    </cfRule>
  </conditionalFormatting>
  <conditionalFormatting sqref="I63:I64 I74 I67 I48:I49 I55:I57 I51 I76 I78 I70">
    <cfRule type="cellIs" dxfId="1048" priority="945" operator="equal">
      <formula>"A venir"</formula>
    </cfRule>
    <cfRule type="cellIs" dxfId="1047" priority="946" operator="equal">
      <formula>"Non"</formula>
    </cfRule>
    <cfRule type="cellIs" dxfId="1046" priority="947" operator="equal">
      <formula>"Débité"</formula>
    </cfRule>
  </conditionalFormatting>
  <conditionalFormatting sqref="I62">
    <cfRule type="cellIs" dxfId="1045" priority="942" operator="equal">
      <formula>"A venir"</formula>
    </cfRule>
    <cfRule type="cellIs" dxfId="1044" priority="943" operator="equal">
      <formula>"Non"</formula>
    </cfRule>
    <cfRule type="cellIs" dxfId="1043" priority="944" operator="equal">
      <formula>"Débité"</formula>
    </cfRule>
  </conditionalFormatting>
  <conditionalFormatting sqref="I73">
    <cfRule type="cellIs" dxfId="1042" priority="939" operator="equal">
      <formula>"A venir"</formula>
    </cfRule>
    <cfRule type="cellIs" dxfId="1041" priority="940" operator="equal">
      <formula>"Non"</formula>
    </cfRule>
    <cfRule type="cellIs" dxfId="1040" priority="941" operator="equal">
      <formula>"Débité"</formula>
    </cfRule>
  </conditionalFormatting>
  <conditionalFormatting sqref="I72">
    <cfRule type="cellIs" dxfId="1039" priority="936" operator="equal">
      <formula>"A venir"</formula>
    </cfRule>
    <cfRule type="cellIs" dxfId="1038" priority="937" operator="equal">
      <formula>"Non"</formula>
    </cfRule>
    <cfRule type="cellIs" dxfId="1037" priority="938" operator="equal">
      <formula>"Débité"</formula>
    </cfRule>
  </conditionalFormatting>
  <conditionalFormatting sqref="I65">
    <cfRule type="cellIs" dxfId="1036" priority="933" operator="equal">
      <formula>"A venir"</formula>
    </cfRule>
    <cfRule type="cellIs" dxfId="1035" priority="934" operator="equal">
      <formula>"Non"</formula>
    </cfRule>
    <cfRule type="cellIs" dxfId="1034" priority="935" operator="equal">
      <formula>"Débité"</formula>
    </cfRule>
  </conditionalFormatting>
  <conditionalFormatting sqref="I58">
    <cfRule type="cellIs" dxfId="1033" priority="930" operator="equal">
      <formula>"A venir"</formula>
    </cfRule>
    <cfRule type="cellIs" dxfId="1032" priority="931" operator="equal">
      <formula>"Non"</formula>
    </cfRule>
    <cfRule type="cellIs" dxfId="1031" priority="932" operator="equal">
      <formula>"Débité"</formula>
    </cfRule>
  </conditionalFormatting>
  <conditionalFormatting sqref="I47">
    <cfRule type="cellIs" dxfId="1030" priority="927" operator="equal">
      <formula>"A venir"</formula>
    </cfRule>
    <cfRule type="cellIs" dxfId="1029" priority="928" operator="equal">
      <formula>"Non"</formula>
    </cfRule>
    <cfRule type="cellIs" dxfId="1028" priority="929" operator="equal">
      <formula>"Débité"</formula>
    </cfRule>
  </conditionalFormatting>
  <conditionalFormatting sqref="I101">
    <cfRule type="cellIs" dxfId="1027" priority="917" operator="equal">
      <formula>"A venir"</formula>
    </cfRule>
    <cfRule type="cellIs" dxfId="1026" priority="918" operator="equal">
      <formula>"Non"</formula>
    </cfRule>
    <cfRule type="cellIs" dxfId="1025" priority="919" operator="equal">
      <formula>"Débité"</formula>
    </cfRule>
  </conditionalFormatting>
  <conditionalFormatting sqref="I87">
    <cfRule type="cellIs" dxfId="1024" priority="924" operator="equal">
      <formula>"A venir"</formula>
    </cfRule>
    <cfRule type="cellIs" dxfId="1023" priority="925" operator="equal">
      <formula>"Non"</formula>
    </cfRule>
    <cfRule type="cellIs" dxfId="1022" priority="926" operator="equal">
      <formula>"Débité"</formula>
    </cfRule>
  </conditionalFormatting>
  <conditionalFormatting sqref="G89">
    <cfRule type="containsText" dxfId="1021" priority="923" operator="containsText" text="Estim">
      <formula>NOT(ISERROR(SEARCH("Estim",G89)))</formula>
    </cfRule>
  </conditionalFormatting>
  <conditionalFormatting sqref="I91 I95:I96">
    <cfRule type="cellIs" dxfId="1020" priority="920" operator="equal">
      <formula>"A venir"</formula>
    </cfRule>
    <cfRule type="cellIs" dxfId="1019" priority="921" operator="equal">
      <formula>"Non"</formula>
    </cfRule>
    <cfRule type="cellIs" dxfId="1018" priority="922" operator="equal">
      <formula>"Débité"</formula>
    </cfRule>
  </conditionalFormatting>
  <conditionalFormatting sqref="I109">
    <cfRule type="cellIs" dxfId="1017" priority="914" operator="equal">
      <formula>"A venir"</formula>
    </cfRule>
    <cfRule type="cellIs" dxfId="1016" priority="915" operator="equal">
      <formula>"Non"</formula>
    </cfRule>
    <cfRule type="cellIs" dxfId="1015" priority="916" operator="equal">
      <formula>"Débité"</formula>
    </cfRule>
  </conditionalFormatting>
  <conditionalFormatting sqref="I113">
    <cfRule type="cellIs" dxfId="1014" priority="906" operator="equal">
      <formula>"A venir"</formula>
    </cfRule>
    <cfRule type="cellIs" dxfId="1013" priority="907" operator="equal">
      <formula>"Non"</formula>
    </cfRule>
    <cfRule type="cellIs" dxfId="1012" priority="908" operator="equal">
      <formula>"Débité"</formula>
    </cfRule>
  </conditionalFormatting>
  <conditionalFormatting sqref="I165">
    <cfRule type="cellIs" dxfId="1011" priority="887" operator="equal">
      <formula>"A venir"</formula>
    </cfRule>
    <cfRule type="cellIs" dxfId="1010" priority="888" operator="equal">
      <formula>"Non"</formula>
    </cfRule>
    <cfRule type="cellIs" dxfId="1009" priority="889" operator="equal">
      <formula>"Débité"</formula>
    </cfRule>
  </conditionalFormatting>
  <conditionalFormatting sqref="I166">
    <cfRule type="cellIs" dxfId="1008" priority="884" operator="equal">
      <formula>"A venir"</formula>
    </cfRule>
    <cfRule type="cellIs" dxfId="1007" priority="885" operator="equal">
      <formula>"Non"</formula>
    </cfRule>
    <cfRule type="cellIs" dxfId="1006" priority="886" operator="equal">
      <formula>"Débité"</formula>
    </cfRule>
  </conditionalFormatting>
  <conditionalFormatting sqref="I242:I243">
    <cfRule type="cellIs" dxfId="1005" priority="845" operator="equal">
      <formula>"A venir"</formula>
    </cfRule>
    <cfRule type="cellIs" dxfId="1004" priority="846" operator="equal">
      <formula>"Non"</formula>
    </cfRule>
    <cfRule type="cellIs" dxfId="1003" priority="847" operator="equal">
      <formula>"Débité"</formula>
    </cfRule>
  </conditionalFormatting>
  <conditionalFormatting sqref="G242:G244 G247:H254 H256 G262:G266 G270 G277:H279 H281:H282 G280:G284 H284:H286 H290 G287:H289 G291:G293 H292:H294 G296:H296 G272:G274 H299">
    <cfRule type="containsText" dxfId="1002" priority="844" operator="containsText" text="Estim">
      <formula>NOT(ISERROR(SEARCH("Estim",G242)))</formula>
    </cfRule>
  </conditionalFormatting>
  <conditionalFormatting sqref="I246">
    <cfRule type="cellIs" dxfId="1001" priority="841" operator="equal">
      <formula>"A venir"</formula>
    </cfRule>
    <cfRule type="cellIs" dxfId="1000" priority="842" operator="equal">
      <formula>"Non"</formula>
    </cfRule>
    <cfRule type="cellIs" dxfId="999" priority="843" operator="equal">
      <formula>"Débité"</formula>
    </cfRule>
  </conditionalFormatting>
  <conditionalFormatting sqref="I261">
    <cfRule type="cellIs" dxfId="998" priority="834" operator="equal">
      <formula>"A venir"</formula>
    </cfRule>
    <cfRule type="cellIs" dxfId="997" priority="835" operator="equal">
      <formula>"Non"</formula>
    </cfRule>
    <cfRule type="cellIs" dxfId="996" priority="836" operator="equal">
      <formula>"Débité"</formula>
    </cfRule>
  </conditionalFormatting>
  <conditionalFormatting sqref="G261">
    <cfRule type="containsText" dxfId="995" priority="833" operator="containsText" text="Estim">
      <formula>NOT(ISERROR(SEARCH("Estim",G261)))</formula>
    </cfRule>
  </conditionalFormatting>
  <conditionalFormatting sqref="I267">
    <cfRule type="cellIs" dxfId="994" priority="830" operator="equal">
      <formula>"A venir"</formula>
    </cfRule>
    <cfRule type="cellIs" dxfId="993" priority="831" operator="equal">
      <formula>"Non"</formula>
    </cfRule>
    <cfRule type="cellIs" dxfId="992" priority="832" operator="equal">
      <formula>"Débité"</formula>
    </cfRule>
  </conditionalFormatting>
  <conditionalFormatting sqref="I275">
    <cfRule type="cellIs" dxfId="991" priority="827" operator="equal">
      <formula>"A venir"</formula>
    </cfRule>
    <cfRule type="cellIs" dxfId="990" priority="828" operator="equal">
      <formula>"Non"</formula>
    </cfRule>
    <cfRule type="cellIs" dxfId="989" priority="829" operator="equal">
      <formula>"Débité"</formula>
    </cfRule>
  </conditionalFormatting>
  <conditionalFormatting sqref="G275">
    <cfRule type="containsText" dxfId="988" priority="826" operator="containsText" text="Estim">
      <formula>NOT(ISERROR(SEARCH("Estim",G275)))</formula>
    </cfRule>
  </conditionalFormatting>
  <conditionalFormatting sqref="G267:G268 G232:G233 G189:G190 G146 G109 G67 G26:G27 G70 G148">
    <cfRule type="containsText" dxfId="987" priority="819" operator="containsText" text="Estim">
      <formula>NOT(ISERROR(SEARCH("Estim",G26)))</formula>
    </cfRule>
  </conditionalFormatting>
  <conditionalFormatting sqref="I49">
    <cfRule type="cellIs" dxfId="986" priority="816" operator="equal">
      <formula>"A venir"</formula>
    </cfRule>
    <cfRule type="cellIs" dxfId="985" priority="817" operator="equal">
      <formula>"Non"</formula>
    </cfRule>
    <cfRule type="cellIs" dxfId="984" priority="818" operator="equal">
      <formula>"Débité"</formula>
    </cfRule>
  </conditionalFormatting>
  <conditionalFormatting sqref="I459">
    <cfRule type="cellIs" dxfId="983" priority="813" operator="equal">
      <formula>"A venir"</formula>
    </cfRule>
    <cfRule type="cellIs" dxfId="982" priority="814" operator="equal">
      <formula>"Non"</formula>
    </cfRule>
    <cfRule type="cellIs" dxfId="981" priority="815" operator="equal">
      <formula>"Débité"</formula>
    </cfRule>
  </conditionalFormatting>
  <conditionalFormatting sqref="I496">
    <cfRule type="cellIs" dxfId="980" priority="810" operator="equal">
      <formula>"A venir"</formula>
    </cfRule>
    <cfRule type="cellIs" dxfId="979" priority="811" operator="equal">
      <formula>"Non"</formula>
    </cfRule>
    <cfRule type="cellIs" dxfId="978" priority="812" operator="equal">
      <formula>"Débité"</formula>
    </cfRule>
  </conditionalFormatting>
  <conditionalFormatting sqref="G475 G426 G377 G320 G271 G220 G162 G108 G55">
    <cfRule type="containsText" dxfId="977" priority="791" operator="containsText" text="Estim">
      <formula>NOT(ISERROR(SEARCH("Estim",G55)))</formula>
    </cfRule>
  </conditionalFormatting>
  <conditionalFormatting sqref="I521">
    <cfRule type="cellIs" dxfId="976" priority="785" operator="equal">
      <formula>"A venir"</formula>
    </cfRule>
    <cfRule type="cellIs" dxfId="975" priority="786" operator="equal">
      <formula>"Non"</formula>
    </cfRule>
    <cfRule type="cellIs" dxfId="974" priority="787" operator="equal">
      <formula>"Débité"</formula>
    </cfRule>
  </conditionalFormatting>
  <conditionalFormatting sqref="I522">
    <cfRule type="cellIs" dxfId="973" priority="782" operator="equal">
      <formula>"A venir"</formula>
    </cfRule>
    <cfRule type="cellIs" dxfId="972" priority="783" operator="equal">
      <formula>"Non"</formula>
    </cfRule>
    <cfRule type="cellIs" dxfId="971" priority="784" operator="equal">
      <formula>"Débité"</formula>
    </cfRule>
  </conditionalFormatting>
  <conditionalFormatting sqref="I545">
    <cfRule type="cellIs" dxfId="970" priority="773" operator="equal">
      <formula>"A venir"</formula>
    </cfRule>
    <cfRule type="cellIs" dxfId="969" priority="774" operator="equal">
      <formula>"Non"</formula>
    </cfRule>
    <cfRule type="cellIs" dxfId="968" priority="775" operator="equal">
      <formula>"Débité"</formula>
    </cfRule>
  </conditionalFormatting>
  <conditionalFormatting sqref="I552:I561">
    <cfRule type="cellIs" dxfId="967" priority="745" operator="equal">
      <formula>"A venir"</formula>
    </cfRule>
    <cfRule type="cellIs" dxfId="966" priority="746" operator="equal">
      <formula>"Non"</formula>
    </cfRule>
    <cfRule type="cellIs" dxfId="965" priority="747" operator="equal">
      <formula>"Débité"</formula>
    </cfRule>
  </conditionalFormatting>
  <conditionalFormatting sqref="I591">
    <cfRule type="cellIs" dxfId="964" priority="742" operator="equal">
      <formula>"A venir"</formula>
    </cfRule>
    <cfRule type="cellIs" dxfId="963" priority="743" operator="equal">
      <formula>"Non"</formula>
    </cfRule>
    <cfRule type="cellIs" dxfId="962" priority="744" operator="equal">
      <formula>"Débité"</formula>
    </cfRule>
  </conditionalFormatting>
  <conditionalFormatting sqref="I94">
    <cfRule type="cellIs" dxfId="961" priority="739" operator="equal">
      <formula>"A venir"</formula>
    </cfRule>
    <cfRule type="cellIs" dxfId="960" priority="740" operator="equal">
      <formula>"Non"</formula>
    </cfRule>
    <cfRule type="cellIs" dxfId="959" priority="741" operator="equal">
      <formula>"Débité"</formula>
    </cfRule>
  </conditionalFormatting>
  <conditionalFormatting sqref="I37">
    <cfRule type="cellIs" dxfId="958" priority="736" operator="equal">
      <formula>"A venir"</formula>
    </cfRule>
    <cfRule type="cellIs" dxfId="957" priority="737" operator="equal">
      <formula>"Non"</formula>
    </cfRule>
    <cfRule type="cellIs" dxfId="956" priority="738" operator="equal">
      <formula>"Débité"</formula>
    </cfRule>
  </conditionalFormatting>
  <conditionalFormatting sqref="I39">
    <cfRule type="cellIs" dxfId="955" priority="733" operator="equal">
      <formula>"A venir"</formula>
    </cfRule>
    <cfRule type="cellIs" dxfId="954" priority="734" operator="equal">
      <formula>"Non"</formula>
    </cfRule>
    <cfRule type="cellIs" dxfId="953" priority="735" operator="equal">
      <formula>"Débité"</formula>
    </cfRule>
  </conditionalFormatting>
  <conditionalFormatting sqref="I4">
    <cfRule type="cellIs" dxfId="952" priority="730" operator="equal">
      <formula>"A venir"</formula>
    </cfRule>
    <cfRule type="cellIs" dxfId="951" priority="731" operator="equal">
      <formula>"Non"</formula>
    </cfRule>
    <cfRule type="cellIs" dxfId="950" priority="732" operator="equal">
      <formula>"Débité"</formula>
    </cfRule>
  </conditionalFormatting>
  <conditionalFormatting sqref="I609">
    <cfRule type="cellIs" dxfId="949" priority="721" operator="equal">
      <formula>"A venir"</formula>
    </cfRule>
    <cfRule type="cellIs" dxfId="948" priority="722" operator="equal">
      <formula>"Non"</formula>
    </cfRule>
    <cfRule type="cellIs" dxfId="947" priority="723" operator="equal">
      <formula>"Débité"</formula>
    </cfRule>
  </conditionalFormatting>
  <conditionalFormatting sqref="I597">
    <cfRule type="cellIs" dxfId="946" priority="727" operator="equal">
      <formula>"A venir"</formula>
    </cfRule>
    <cfRule type="cellIs" dxfId="945" priority="728" operator="equal">
      <formula>"Non"</formula>
    </cfRule>
    <cfRule type="cellIs" dxfId="944" priority="729" operator="equal">
      <formula>"Débité"</formula>
    </cfRule>
  </conditionalFormatting>
  <conditionalFormatting sqref="I608">
    <cfRule type="cellIs" dxfId="943" priority="724" operator="equal">
      <formula>"A venir"</formula>
    </cfRule>
    <cfRule type="cellIs" dxfId="942" priority="725" operator="equal">
      <formula>"Non"</formula>
    </cfRule>
    <cfRule type="cellIs" dxfId="941" priority="726" operator="equal">
      <formula>"Débité"</formula>
    </cfRule>
  </conditionalFormatting>
  <conditionalFormatting sqref="I613">
    <cfRule type="cellIs" dxfId="940" priority="718" operator="equal">
      <formula>"A venir"</formula>
    </cfRule>
    <cfRule type="cellIs" dxfId="939" priority="719" operator="equal">
      <formula>"Non"</formula>
    </cfRule>
    <cfRule type="cellIs" dxfId="938" priority="720" operator="equal">
      <formula>"Débité"</formula>
    </cfRule>
  </conditionalFormatting>
  <conditionalFormatting sqref="I618">
    <cfRule type="cellIs" dxfId="937" priority="715" operator="equal">
      <formula>"A venir"</formula>
    </cfRule>
    <cfRule type="cellIs" dxfId="936" priority="716" operator="equal">
      <formula>"Non"</formula>
    </cfRule>
    <cfRule type="cellIs" dxfId="935" priority="717" operator="equal">
      <formula>"Débité"</formula>
    </cfRule>
  </conditionalFormatting>
  <conditionalFormatting sqref="I624">
    <cfRule type="cellIs" dxfId="934" priority="712" operator="equal">
      <formula>"A venir"</formula>
    </cfRule>
    <cfRule type="cellIs" dxfId="933" priority="713" operator="equal">
      <formula>"Non"</formula>
    </cfRule>
    <cfRule type="cellIs" dxfId="932" priority="714" operator="equal">
      <formula>"Débité"</formula>
    </cfRule>
  </conditionalFormatting>
  <conditionalFormatting sqref="I89">
    <cfRule type="cellIs" dxfId="931" priority="709" operator="equal">
      <formula>"A venir"</formula>
    </cfRule>
    <cfRule type="cellIs" dxfId="930" priority="710" operator="equal">
      <formula>"Non"</formula>
    </cfRule>
    <cfRule type="cellIs" dxfId="929" priority="711" operator="equal">
      <formula>"Débité"</formula>
    </cfRule>
  </conditionalFormatting>
  <conditionalFormatting sqref="I631">
    <cfRule type="cellIs" dxfId="928" priority="706" operator="equal">
      <formula>"A venir"</formula>
    </cfRule>
    <cfRule type="cellIs" dxfId="927" priority="707" operator="equal">
      <formula>"Non"</formula>
    </cfRule>
    <cfRule type="cellIs" dxfId="926" priority="708" operator="equal">
      <formula>"Débité"</formula>
    </cfRule>
  </conditionalFormatting>
  <conditionalFormatting sqref="I52">
    <cfRule type="cellIs" dxfId="925" priority="697" operator="equal">
      <formula>"A venir"</formula>
    </cfRule>
    <cfRule type="cellIs" dxfId="924" priority="698" operator="equal">
      <formula>"Non"</formula>
    </cfRule>
    <cfRule type="cellIs" dxfId="923" priority="699" operator="equal">
      <formula>"Débité"</formula>
    </cfRule>
  </conditionalFormatting>
  <conditionalFormatting sqref="I86">
    <cfRule type="cellIs" dxfId="922" priority="703" operator="equal">
      <formula>"A venir"</formula>
    </cfRule>
    <cfRule type="cellIs" dxfId="921" priority="704" operator="equal">
      <formula>"Non"</formula>
    </cfRule>
    <cfRule type="cellIs" dxfId="920" priority="705" operator="equal">
      <formula>"Débité"</formula>
    </cfRule>
  </conditionalFormatting>
  <conditionalFormatting sqref="I90">
    <cfRule type="cellIs" dxfId="919" priority="700" operator="equal">
      <formula>"A venir"</formula>
    </cfRule>
    <cfRule type="cellIs" dxfId="918" priority="701" operator="equal">
      <formula>"Non"</formula>
    </cfRule>
    <cfRule type="cellIs" dxfId="917" priority="702" operator="equal">
      <formula>"Débité"</formula>
    </cfRule>
  </conditionalFormatting>
  <conditionalFormatting sqref="I44:I45">
    <cfRule type="cellIs" dxfId="916" priority="684" operator="equal">
      <formula>"A venir"</formula>
    </cfRule>
    <cfRule type="cellIs" dxfId="915" priority="685" operator="equal">
      <formula>"Non"</formula>
    </cfRule>
    <cfRule type="cellIs" dxfId="914" priority="686" operator="equal">
      <formula>"Débité"</formula>
    </cfRule>
  </conditionalFormatting>
  <conditionalFormatting sqref="G50">
    <cfRule type="containsText" dxfId="913" priority="696" operator="containsText" text="Estim">
      <formula>NOT(ISERROR(SEARCH("Estim",G50)))</formula>
    </cfRule>
  </conditionalFormatting>
  <conditionalFormatting sqref="I50">
    <cfRule type="cellIs" dxfId="912" priority="693" operator="equal">
      <formula>"A venir"</formula>
    </cfRule>
    <cfRule type="cellIs" dxfId="911" priority="694" operator="equal">
      <formula>"Non"</formula>
    </cfRule>
    <cfRule type="cellIs" dxfId="910" priority="695" operator="equal">
      <formula>"Débité"</formula>
    </cfRule>
  </conditionalFormatting>
  <conditionalFormatting sqref="I50">
    <cfRule type="cellIs" dxfId="909" priority="690" operator="equal">
      <formula>"A venir"</formula>
    </cfRule>
    <cfRule type="cellIs" dxfId="908" priority="691" operator="equal">
      <formula>"Non"</formula>
    </cfRule>
    <cfRule type="cellIs" dxfId="907" priority="692" operator="equal">
      <formula>"Débité"</formula>
    </cfRule>
  </conditionalFormatting>
  <conditionalFormatting sqref="I88">
    <cfRule type="cellIs" dxfId="906" priority="687" operator="equal">
      <formula>"A venir"</formula>
    </cfRule>
    <cfRule type="cellIs" dxfId="905" priority="688" operator="equal">
      <formula>"Non"</formula>
    </cfRule>
    <cfRule type="cellIs" dxfId="904" priority="689" operator="equal">
      <formula>"Débité"</formula>
    </cfRule>
  </conditionalFormatting>
  <conditionalFormatting sqref="I53">
    <cfRule type="cellIs" dxfId="903" priority="642" operator="equal">
      <formula>"A venir"</formula>
    </cfRule>
    <cfRule type="cellIs" dxfId="902" priority="643" operator="equal">
      <formula>"Non"</formula>
    </cfRule>
    <cfRule type="cellIs" dxfId="901" priority="644" operator="equal">
      <formula>"Débité"</formula>
    </cfRule>
  </conditionalFormatting>
  <conditionalFormatting sqref="I98">
    <cfRule type="cellIs" dxfId="900" priority="675" operator="equal">
      <formula>"A venir"</formula>
    </cfRule>
    <cfRule type="cellIs" dxfId="899" priority="676" operator="equal">
      <formula>"Non"</formula>
    </cfRule>
    <cfRule type="cellIs" dxfId="898" priority="677" operator="equal">
      <formula>"Débité"</formula>
    </cfRule>
  </conditionalFormatting>
  <conditionalFormatting sqref="I99">
    <cfRule type="cellIs" dxfId="897" priority="672" operator="equal">
      <formula>"A venir"</formula>
    </cfRule>
    <cfRule type="cellIs" dxfId="896" priority="673" operator="equal">
      <formula>"Non"</formula>
    </cfRule>
    <cfRule type="cellIs" dxfId="895" priority="674" operator="equal">
      <formula>"Débité"</formula>
    </cfRule>
  </conditionalFormatting>
  <conditionalFormatting sqref="I93">
    <cfRule type="cellIs" dxfId="894" priority="669" operator="equal">
      <formula>"A venir"</formula>
    </cfRule>
    <cfRule type="cellIs" dxfId="893" priority="670" operator="equal">
      <formula>"Non"</formula>
    </cfRule>
    <cfRule type="cellIs" dxfId="892" priority="671" operator="equal">
      <formula>"Débité"</formula>
    </cfRule>
  </conditionalFormatting>
  <conditionalFormatting sqref="I92">
    <cfRule type="cellIs" dxfId="891" priority="666" operator="equal">
      <formula>"A venir"</formula>
    </cfRule>
    <cfRule type="cellIs" dxfId="890" priority="667" operator="equal">
      <formula>"Non"</formula>
    </cfRule>
    <cfRule type="cellIs" dxfId="889" priority="668" operator="equal">
      <formula>"Débité"</formula>
    </cfRule>
  </conditionalFormatting>
  <conditionalFormatting sqref="I83">
    <cfRule type="cellIs" dxfId="888" priority="663" operator="equal">
      <formula>"A venir"</formula>
    </cfRule>
    <cfRule type="cellIs" dxfId="887" priority="664" operator="equal">
      <formula>"Non"</formula>
    </cfRule>
    <cfRule type="cellIs" dxfId="886" priority="665" operator="equal">
      <formula>"Débité"</formula>
    </cfRule>
  </conditionalFormatting>
  <conditionalFormatting sqref="I75">
    <cfRule type="cellIs" dxfId="885" priority="660" operator="equal">
      <formula>"A venir"</formula>
    </cfRule>
    <cfRule type="cellIs" dxfId="884" priority="661" operator="equal">
      <formula>"Non"</formula>
    </cfRule>
    <cfRule type="cellIs" dxfId="883" priority="662" operator="equal">
      <formula>"Débité"</formula>
    </cfRule>
  </conditionalFormatting>
  <conditionalFormatting sqref="I77">
    <cfRule type="cellIs" dxfId="882" priority="657" operator="equal">
      <formula>"A venir"</formula>
    </cfRule>
    <cfRule type="cellIs" dxfId="881" priority="658" operator="equal">
      <formula>"Non"</formula>
    </cfRule>
    <cfRule type="cellIs" dxfId="880" priority="659" operator="equal">
      <formula>"Débité"</formula>
    </cfRule>
  </conditionalFormatting>
  <conditionalFormatting sqref="I80">
    <cfRule type="cellIs" dxfId="879" priority="654" operator="equal">
      <formula>"A venir"</formula>
    </cfRule>
    <cfRule type="cellIs" dxfId="878" priority="655" operator="equal">
      <formula>"Non"</formula>
    </cfRule>
    <cfRule type="cellIs" dxfId="877" priority="656" operator="equal">
      <formula>"Débité"</formula>
    </cfRule>
  </conditionalFormatting>
  <conditionalFormatting sqref="I84">
    <cfRule type="cellIs" dxfId="876" priority="651" operator="equal">
      <formula>"A venir"</formula>
    </cfRule>
    <cfRule type="cellIs" dxfId="875" priority="652" operator="equal">
      <formula>"Non"</formula>
    </cfRule>
    <cfRule type="cellIs" dxfId="874" priority="653" operator="equal">
      <formula>"Débité"</formula>
    </cfRule>
  </conditionalFormatting>
  <conditionalFormatting sqref="I79">
    <cfRule type="cellIs" dxfId="873" priority="648" operator="equal">
      <formula>"A venir"</formula>
    </cfRule>
    <cfRule type="cellIs" dxfId="872" priority="649" operator="equal">
      <formula>"Non"</formula>
    </cfRule>
    <cfRule type="cellIs" dxfId="871" priority="650" operator="equal">
      <formula>"Débité"</formula>
    </cfRule>
  </conditionalFormatting>
  <conditionalFormatting sqref="I54">
    <cfRule type="cellIs" dxfId="870" priority="645" operator="equal">
      <formula>"A venir"</formula>
    </cfRule>
    <cfRule type="cellIs" dxfId="869" priority="646" operator="equal">
      <formula>"Non"</formula>
    </cfRule>
    <cfRule type="cellIs" dxfId="868" priority="647" operator="equal">
      <formula>"Débité"</formula>
    </cfRule>
  </conditionalFormatting>
  <conditionalFormatting sqref="I81">
    <cfRule type="cellIs" dxfId="867" priority="639" operator="equal">
      <formula>"A venir"</formula>
    </cfRule>
    <cfRule type="cellIs" dxfId="866" priority="640" operator="equal">
      <formula>"Non"</formula>
    </cfRule>
    <cfRule type="cellIs" dxfId="865" priority="641" operator="equal">
      <formula>"Débité"</formula>
    </cfRule>
  </conditionalFormatting>
  <conditionalFormatting sqref="I669">
    <cfRule type="cellIs" dxfId="864" priority="636" operator="equal">
      <formula>"A venir"</formula>
    </cfRule>
    <cfRule type="cellIs" dxfId="863" priority="637" operator="equal">
      <formula>"Non"</formula>
    </cfRule>
    <cfRule type="cellIs" dxfId="862" priority="638" operator="equal">
      <formula>"Débité"</formula>
    </cfRule>
  </conditionalFormatting>
  <conditionalFormatting sqref="I144">
    <cfRule type="cellIs" dxfId="861" priority="630" operator="equal">
      <formula>"A venir"</formula>
    </cfRule>
    <cfRule type="cellIs" dxfId="860" priority="631" operator="equal">
      <formula>"Non"</formula>
    </cfRule>
    <cfRule type="cellIs" dxfId="859" priority="632" operator="equal">
      <formula>"Débité"</formula>
    </cfRule>
  </conditionalFormatting>
  <conditionalFormatting sqref="I15">
    <cfRule type="cellIs" dxfId="858" priority="627" operator="equal">
      <formula>"A venir"</formula>
    </cfRule>
    <cfRule type="cellIs" dxfId="857" priority="628" operator="equal">
      <formula>"Non"</formula>
    </cfRule>
    <cfRule type="cellIs" dxfId="856" priority="629" operator="equal">
      <formula>"Débité"</formula>
    </cfRule>
  </conditionalFormatting>
  <conditionalFormatting sqref="I66">
    <cfRule type="cellIs" dxfId="855" priority="624" operator="equal">
      <formula>"A venir"</formula>
    </cfRule>
    <cfRule type="cellIs" dxfId="854" priority="625" operator="equal">
      <formula>"Non"</formula>
    </cfRule>
    <cfRule type="cellIs" dxfId="853" priority="626" operator="equal">
      <formula>"Débité"</formula>
    </cfRule>
  </conditionalFormatting>
  <conditionalFormatting sqref="G66">
    <cfRule type="containsText" dxfId="852" priority="623" operator="containsText" text="Estim">
      <formula>NOT(ISERROR(SEARCH("Estim",G66)))</formula>
    </cfRule>
  </conditionalFormatting>
  <conditionalFormatting sqref="I85">
    <cfRule type="cellIs" dxfId="851" priority="620" operator="equal">
      <formula>"A venir"</formula>
    </cfRule>
    <cfRule type="cellIs" dxfId="850" priority="621" operator="equal">
      <formula>"Non"</formula>
    </cfRule>
    <cfRule type="cellIs" dxfId="849" priority="622" operator="equal">
      <formula>"Débité"</formula>
    </cfRule>
  </conditionalFormatting>
  <conditionalFormatting sqref="I186">
    <cfRule type="cellIs" dxfId="848" priority="617" operator="equal">
      <formula>"A venir"</formula>
    </cfRule>
    <cfRule type="cellIs" dxfId="847" priority="618" operator="equal">
      <formula>"Non"</formula>
    </cfRule>
    <cfRule type="cellIs" dxfId="846" priority="619" operator="equal">
      <formula>"Débité"</formula>
    </cfRule>
  </conditionalFormatting>
  <conditionalFormatting sqref="I25">
    <cfRule type="cellIs" dxfId="845" priority="614" operator="equal">
      <formula>"A venir"</formula>
    </cfRule>
    <cfRule type="cellIs" dxfId="844" priority="615" operator="equal">
      <formula>"Non"</formula>
    </cfRule>
    <cfRule type="cellIs" dxfId="843" priority="616" operator="equal">
      <formula>"Débité"</formula>
    </cfRule>
  </conditionalFormatting>
  <conditionalFormatting sqref="G25">
    <cfRule type="containsText" dxfId="842" priority="613" operator="containsText" text="Estim">
      <formula>NOT(ISERROR(SEARCH("Estim",G25)))</formula>
    </cfRule>
  </conditionalFormatting>
  <conditionalFormatting sqref="I163">
    <cfRule type="cellIs" dxfId="841" priority="607" operator="equal">
      <formula>"A venir"</formula>
    </cfRule>
    <cfRule type="cellIs" dxfId="840" priority="608" operator="equal">
      <formula>"Non"</formula>
    </cfRule>
    <cfRule type="cellIs" dxfId="839" priority="609" operator="equal">
      <formula>"Débité"</formula>
    </cfRule>
  </conditionalFormatting>
  <conditionalFormatting sqref="I164">
    <cfRule type="cellIs" dxfId="838" priority="604" operator="equal">
      <formula>"A venir"</formula>
    </cfRule>
    <cfRule type="cellIs" dxfId="837" priority="605" operator="equal">
      <formula>"Non"</formula>
    </cfRule>
    <cfRule type="cellIs" dxfId="836" priority="606" operator="equal">
      <formula>"Débité"</formula>
    </cfRule>
  </conditionalFormatting>
  <conditionalFormatting sqref="I136">
    <cfRule type="cellIs" dxfId="835" priority="601" operator="equal">
      <formula>"A venir"</formula>
    </cfRule>
    <cfRule type="cellIs" dxfId="834" priority="602" operator="equal">
      <formula>"Non"</formula>
    </cfRule>
    <cfRule type="cellIs" dxfId="833" priority="603" operator="equal">
      <formula>"Débité"</formula>
    </cfRule>
  </conditionalFormatting>
  <conditionalFormatting sqref="I69">
    <cfRule type="cellIs" dxfId="832" priority="598" operator="equal">
      <formula>"A venir"</formula>
    </cfRule>
    <cfRule type="cellIs" dxfId="831" priority="599" operator="equal">
      <formula>"Non"</formula>
    </cfRule>
    <cfRule type="cellIs" dxfId="830" priority="600" operator="equal">
      <formula>"Débité"</formula>
    </cfRule>
  </conditionalFormatting>
  <conditionalFormatting sqref="G69">
    <cfRule type="containsText" dxfId="829" priority="597" operator="containsText" text="Estim">
      <formula>NOT(ISERROR(SEARCH("Estim",G69)))</formula>
    </cfRule>
  </conditionalFormatting>
  <conditionalFormatting sqref="I68">
    <cfRule type="cellIs" dxfId="828" priority="594" operator="equal">
      <formula>"A venir"</formula>
    </cfRule>
    <cfRule type="cellIs" dxfId="827" priority="595" operator="equal">
      <formula>"Non"</formula>
    </cfRule>
    <cfRule type="cellIs" dxfId="826" priority="596" operator="equal">
      <formula>"Débité"</formula>
    </cfRule>
  </conditionalFormatting>
  <conditionalFormatting sqref="G68">
    <cfRule type="containsText" dxfId="825" priority="593" operator="containsText" text="Estim">
      <formula>NOT(ISERROR(SEARCH("Estim",G68)))</formula>
    </cfRule>
  </conditionalFormatting>
  <conditionalFormatting sqref="I689">
    <cfRule type="cellIs" dxfId="824" priority="590" operator="equal">
      <formula>"A venir"</formula>
    </cfRule>
    <cfRule type="cellIs" dxfId="823" priority="591" operator="equal">
      <formula>"Non"</formula>
    </cfRule>
    <cfRule type="cellIs" dxfId="822" priority="592" operator="equal">
      <formula>"Débité"</formula>
    </cfRule>
  </conditionalFormatting>
  <conditionalFormatting sqref="I199">
    <cfRule type="cellIs" dxfId="821" priority="587" operator="equal">
      <formula>"A venir"</formula>
    </cfRule>
    <cfRule type="cellIs" dxfId="820" priority="588" operator="equal">
      <formula>"Non"</formula>
    </cfRule>
    <cfRule type="cellIs" dxfId="819" priority="589" operator="equal">
      <formula>"Débité"</formula>
    </cfRule>
  </conditionalFormatting>
  <conditionalFormatting sqref="I693">
    <cfRule type="cellIs" dxfId="818" priority="584" operator="equal">
      <formula>"A venir"</formula>
    </cfRule>
    <cfRule type="cellIs" dxfId="817" priority="585" operator="equal">
      <formula>"Non"</formula>
    </cfRule>
    <cfRule type="cellIs" dxfId="816" priority="586" operator="equal">
      <formula>"Débité"</formula>
    </cfRule>
  </conditionalFormatting>
  <conditionalFormatting sqref="I692">
    <cfRule type="cellIs" dxfId="815" priority="581" operator="equal">
      <formula>"A venir"</formula>
    </cfRule>
    <cfRule type="cellIs" dxfId="814" priority="582" operator="equal">
      <formula>"Non"</formula>
    </cfRule>
    <cfRule type="cellIs" dxfId="813" priority="583" operator="equal">
      <formula>"Débité"</formula>
    </cfRule>
  </conditionalFormatting>
  <conditionalFormatting sqref="I692">
    <cfRule type="cellIs" dxfId="812" priority="578" operator="equal">
      <formula>"A venir"</formula>
    </cfRule>
    <cfRule type="cellIs" dxfId="811" priority="579" operator="equal">
      <formula>"Non"</formula>
    </cfRule>
    <cfRule type="cellIs" dxfId="810" priority="580" operator="equal">
      <formula>"Débité"</formula>
    </cfRule>
  </conditionalFormatting>
  <conditionalFormatting sqref="I184">
    <cfRule type="cellIs" dxfId="809" priority="575" operator="equal">
      <formula>"A venir"</formula>
    </cfRule>
    <cfRule type="cellIs" dxfId="808" priority="576" operator="equal">
      <formula>"Non"</formula>
    </cfRule>
    <cfRule type="cellIs" dxfId="807" priority="577" operator="equal">
      <formula>"Débité"</formula>
    </cfRule>
  </conditionalFormatting>
  <conditionalFormatting sqref="I147">
    <cfRule type="cellIs" dxfId="806" priority="572" operator="equal">
      <formula>"A venir"</formula>
    </cfRule>
    <cfRule type="cellIs" dxfId="805" priority="573" operator="equal">
      <formula>"Non"</formula>
    </cfRule>
    <cfRule type="cellIs" dxfId="804" priority="574" operator="equal">
      <formula>"Débité"</formula>
    </cfRule>
  </conditionalFormatting>
  <conditionalFormatting sqref="G147">
    <cfRule type="containsText" dxfId="803" priority="571" operator="containsText" text="Estim">
      <formula>NOT(ISERROR(SEARCH("Estim",G147)))</formula>
    </cfRule>
  </conditionalFormatting>
  <conditionalFormatting sqref="I208">
    <cfRule type="cellIs" dxfId="802" priority="568" operator="equal">
      <formula>"A venir"</formula>
    </cfRule>
    <cfRule type="cellIs" dxfId="801" priority="569" operator="equal">
      <formula>"Non"</formula>
    </cfRule>
    <cfRule type="cellIs" dxfId="800" priority="570" operator="equal">
      <formula>"Débité"</formula>
    </cfRule>
  </conditionalFormatting>
  <conditionalFormatting sqref="I698">
    <cfRule type="cellIs" dxfId="799" priority="565" operator="equal">
      <formula>"A venir"</formula>
    </cfRule>
    <cfRule type="cellIs" dxfId="798" priority="566" operator="equal">
      <formula>"Non"</formula>
    </cfRule>
    <cfRule type="cellIs" dxfId="797" priority="567" operator="equal">
      <formula>"Débité"</formula>
    </cfRule>
  </conditionalFormatting>
  <conditionalFormatting sqref="I705">
    <cfRule type="cellIs" dxfId="796" priority="562" operator="equal">
      <formula>"A venir"</formula>
    </cfRule>
    <cfRule type="cellIs" dxfId="795" priority="563" operator="equal">
      <formula>"Non"</formula>
    </cfRule>
    <cfRule type="cellIs" dxfId="794" priority="564" operator="equal">
      <formula>"Débité"</formula>
    </cfRule>
  </conditionalFormatting>
  <conditionalFormatting sqref="I706">
    <cfRule type="cellIs" dxfId="793" priority="559" operator="equal">
      <formula>"A venir"</formula>
    </cfRule>
    <cfRule type="cellIs" dxfId="792" priority="560" operator="equal">
      <formula>"Non"</formula>
    </cfRule>
    <cfRule type="cellIs" dxfId="791" priority="561" operator="equal">
      <formula>"Débité"</formula>
    </cfRule>
  </conditionalFormatting>
  <conditionalFormatting sqref="I708">
    <cfRule type="cellIs" dxfId="790" priority="556" operator="equal">
      <formula>"A venir"</formula>
    </cfRule>
    <cfRule type="cellIs" dxfId="789" priority="557" operator="equal">
      <formula>"Non"</formula>
    </cfRule>
    <cfRule type="cellIs" dxfId="788" priority="558" operator="equal">
      <formula>"Débité"</formula>
    </cfRule>
  </conditionalFormatting>
  <conditionalFormatting sqref="I711">
    <cfRule type="cellIs" dxfId="787" priority="553" operator="equal">
      <formula>"A venir"</formula>
    </cfRule>
    <cfRule type="cellIs" dxfId="786" priority="554" operator="equal">
      <formula>"Non"</formula>
    </cfRule>
    <cfRule type="cellIs" dxfId="785" priority="555" operator="equal">
      <formula>"Débité"</formula>
    </cfRule>
  </conditionalFormatting>
  <conditionalFormatting sqref="I714">
    <cfRule type="cellIs" dxfId="784" priority="550" operator="equal">
      <formula>"A venir"</formula>
    </cfRule>
    <cfRule type="cellIs" dxfId="783" priority="551" operator="equal">
      <formula>"Non"</formula>
    </cfRule>
    <cfRule type="cellIs" dxfId="782" priority="552" operator="equal">
      <formula>"Débité"</formula>
    </cfRule>
  </conditionalFormatting>
  <conditionalFormatting sqref="I211">
    <cfRule type="cellIs" dxfId="781" priority="538" operator="equal">
      <formula>"A venir"</formula>
    </cfRule>
    <cfRule type="cellIs" dxfId="780" priority="539" operator="equal">
      <formula>"Non"</formula>
    </cfRule>
    <cfRule type="cellIs" dxfId="779" priority="540" operator="equal">
      <formula>"Débité"</formula>
    </cfRule>
  </conditionalFormatting>
  <conditionalFormatting sqref="I152">
    <cfRule type="cellIs" dxfId="778" priority="535" operator="equal">
      <formula>"A venir"</formula>
    </cfRule>
    <cfRule type="cellIs" dxfId="777" priority="536" operator="equal">
      <formula>"Non"</formula>
    </cfRule>
    <cfRule type="cellIs" dxfId="776" priority="537" operator="equal">
      <formula>"Débité"</formula>
    </cfRule>
  </conditionalFormatting>
  <conditionalFormatting sqref="I169">
    <cfRule type="cellIs" dxfId="775" priority="532" operator="equal">
      <formula>"A venir"</formula>
    </cfRule>
    <cfRule type="cellIs" dxfId="774" priority="533" operator="equal">
      <formula>"Non"</formula>
    </cfRule>
    <cfRule type="cellIs" dxfId="773" priority="534" operator="equal">
      <formula>"Débité"</formula>
    </cfRule>
  </conditionalFormatting>
  <conditionalFormatting sqref="I224">
    <cfRule type="cellIs" dxfId="772" priority="523" operator="equal">
      <formula>"A venir"</formula>
    </cfRule>
    <cfRule type="cellIs" dxfId="771" priority="524" operator="equal">
      <formula>"Non"</formula>
    </cfRule>
    <cfRule type="cellIs" dxfId="770" priority="525" operator="equal">
      <formula>"Débité"</formula>
    </cfRule>
  </conditionalFormatting>
  <conditionalFormatting sqref="I235">
    <cfRule type="cellIs" dxfId="769" priority="520" operator="equal">
      <formula>"A venir"</formula>
    </cfRule>
    <cfRule type="cellIs" dxfId="768" priority="521" operator="equal">
      <formula>"Non"</formula>
    </cfRule>
    <cfRule type="cellIs" dxfId="767" priority="522" operator="equal">
      <formula>"Débité"</formula>
    </cfRule>
  </conditionalFormatting>
  <conditionalFormatting sqref="I725:I726">
    <cfRule type="cellIs" dxfId="766" priority="517" operator="equal">
      <formula>"A venir"</formula>
    </cfRule>
    <cfRule type="cellIs" dxfId="765" priority="518" operator="equal">
      <formula>"Non"</formula>
    </cfRule>
    <cfRule type="cellIs" dxfId="764" priority="519" operator="equal">
      <formula>"Débité"</formula>
    </cfRule>
  </conditionalFormatting>
  <conditionalFormatting sqref="I727:I728">
    <cfRule type="cellIs" dxfId="763" priority="514" operator="equal">
      <formula>"A venir"</formula>
    </cfRule>
    <cfRule type="cellIs" dxfId="762" priority="515" operator="equal">
      <formula>"Non"</formula>
    </cfRule>
    <cfRule type="cellIs" dxfId="761" priority="516" operator="equal">
      <formula>"Débité"</formula>
    </cfRule>
  </conditionalFormatting>
  <conditionalFormatting sqref="I729:I730">
    <cfRule type="cellIs" dxfId="760" priority="511" operator="equal">
      <formula>"A venir"</formula>
    </cfRule>
    <cfRule type="cellIs" dxfId="759" priority="512" operator="equal">
      <formula>"Non"</formula>
    </cfRule>
    <cfRule type="cellIs" dxfId="758" priority="513" operator="equal">
      <formula>"Débité"</formula>
    </cfRule>
  </conditionalFormatting>
  <conditionalFormatting sqref="I731:I732">
    <cfRule type="cellIs" dxfId="757" priority="508" operator="equal">
      <formula>"A venir"</formula>
    </cfRule>
    <cfRule type="cellIs" dxfId="756" priority="509" operator="equal">
      <formula>"Non"</formula>
    </cfRule>
    <cfRule type="cellIs" dxfId="755" priority="510" operator="equal">
      <formula>"Débité"</formula>
    </cfRule>
  </conditionalFormatting>
  <conditionalFormatting sqref="I733:I734">
    <cfRule type="cellIs" dxfId="754" priority="505" operator="equal">
      <formula>"A venir"</formula>
    </cfRule>
    <cfRule type="cellIs" dxfId="753" priority="506" operator="equal">
      <formula>"Non"</formula>
    </cfRule>
    <cfRule type="cellIs" dxfId="752" priority="507" operator="equal">
      <formula>"Débité"</formula>
    </cfRule>
  </conditionalFormatting>
  <conditionalFormatting sqref="I735:I736">
    <cfRule type="cellIs" dxfId="751" priority="502" operator="equal">
      <formula>"A venir"</formula>
    </cfRule>
    <cfRule type="cellIs" dxfId="750" priority="503" operator="equal">
      <formula>"Non"</formula>
    </cfRule>
    <cfRule type="cellIs" dxfId="749" priority="504" operator="equal">
      <formula>"Débité"</formula>
    </cfRule>
  </conditionalFormatting>
  <conditionalFormatting sqref="I737:I738">
    <cfRule type="cellIs" dxfId="748" priority="499" operator="equal">
      <formula>"A venir"</formula>
    </cfRule>
    <cfRule type="cellIs" dxfId="747" priority="500" operator="equal">
      <formula>"Non"</formula>
    </cfRule>
    <cfRule type="cellIs" dxfId="746" priority="501" operator="equal">
      <formula>"Débité"</formula>
    </cfRule>
  </conditionalFormatting>
  <conditionalFormatting sqref="I739:I740">
    <cfRule type="cellIs" dxfId="745" priority="496" operator="equal">
      <formula>"A venir"</formula>
    </cfRule>
    <cfRule type="cellIs" dxfId="744" priority="497" operator="equal">
      <formula>"Non"</formula>
    </cfRule>
    <cfRule type="cellIs" dxfId="743" priority="498" operator="equal">
      <formula>"Débité"</formula>
    </cfRule>
  </conditionalFormatting>
  <conditionalFormatting sqref="I741:I742">
    <cfRule type="cellIs" dxfId="742" priority="493" operator="equal">
      <formula>"A venir"</formula>
    </cfRule>
    <cfRule type="cellIs" dxfId="741" priority="494" operator="equal">
      <formula>"Non"</formula>
    </cfRule>
    <cfRule type="cellIs" dxfId="740" priority="495" operator="equal">
      <formula>"Débité"</formula>
    </cfRule>
  </conditionalFormatting>
  <conditionalFormatting sqref="I743:I744">
    <cfRule type="cellIs" dxfId="739" priority="490" operator="equal">
      <formula>"A venir"</formula>
    </cfRule>
    <cfRule type="cellIs" dxfId="738" priority="491" operator="equal">
      <formula>"Non"</formula>
    </cfRule>
    <cfRule type="cellIs" dxfId="737" priority="492" operator="equal">
      <formula>"Débité"</formula>
    </cfRule>
  </conditionalFormatting>
  <conditionalFormatting sqref="I745:I746">
    <cfRule type="cellIs" dxfId="736" priority="487" operator="equal">
      <formula>"A venir"</formula>
    </cfRule>
    <cfRule type="cellIs" dxfId="735" priority="488" operator="equal">
      <formula>"Non"</formula>
    </cfRule>
    <cfRule type="cellIs" dxfId="734" priority="489" operator="equal">
      <formula>"Débité"</formula>
    </cfRule>
  </conditionalFormatting>
  <conditionalFormatting sqref="I747:I748">
    <cfRule type="cellIs" dxfId="733" priority="484" operator="equal">
      <formula>"A venir"</formula>
    </cfRule>
    <cfRule type="cellIs" dxfId="732" priority="485" operator="equal">
      <formula>"Non"</formula>
    </cfRule>
    <cfRule type="cellIs" dxfId="731" priority="486" operator="equal">
      <formula>"Débité"</formula>
    </cfRule>
  </conditionalFormatting>
  <conditionalFormatting sqref="I749:I750">
    <cfRule type="cellIs" dxfId="730" priority="481" operator="equal">
      <formula>"A venir"</formula>
    </cfRule>
    <cfRule type="cellIs" dxfId="729" priority="482" operator="equal">
      <formula>"Non"</formula>
    </cfRule>
    <cfRule type="cellIs" dxfId="728" priority="483" operator="equal">
      <formula>"Débité"</formula>
    </cfRule>
  </conditionalFormatting>
  <conditionalFormatting sqref="I751:I752">
    <cfRule type="cellIs" dxfId="727" priority="478" operator="equal">
      <formula>"A venir"</formula>
    </cfRule>
    <cfRule type="cellIs" dxfId="726" priority="479" operator="equal">
      <formula>"Non"</formula>
    </cfRule>
    <cfRule type="cellIs" dxfId="725" priority="480" operator="equal">
      <formula>"Débité"</formula>
    </cfRule>
  </conditionalFormatting>
  <conditionalFormatting sqref="I753:I754">
    <cfRule type="cellIs" dxfId="724" priority="475" operator="equal">
      <formula>"A venir"</formula>
    </cfRule>
    <cfRule type="cellIs" dxfId="723" priority="476" operator="equal">
      <formula>"Non"</formula>
    </cfRule>
    <cfRule type="cellIs" dxfId="722" priority="477" operator="equal">
      <formula>"Débité"</formula>
    </cfRule>
  </conditionalFormatting>
  <conditionalFormatting sqref="I755:I756">
    <cfRule type="cellIs" dxfId="721" priority="472" operator="equal">
      <formula>"A venir"</formula>
    </cfRule>
    <cfRule type="cellIs" dxfId="720" priority="473" operator="equal">
      <formula>"Non"</formula>
    </cfRule>
    <cfRule type="cellIs" dxfId="719" priority="474" operator="equal">
      <formula>"Débité"</formula>
    </cfRule>
  </conditionalFormatting>
  <conditionalFormatting sqref="I757:I758">
    <cfRule type="cellIs" dxfId="718" priority="469" operator="equal">
      <formula>"A venir"</formula>
    </cfRule>
    <cfRule type="cellIs" dxfId="717" priority="470" operator="equal">
      <formula>"Non"</formula>
    </cfRule>
    <cfRule type="cellIs" dxfId="716" priority="471" operator="equal">
      <formula>"Débité"</formula>
    </cfRule>
  </conditionalFormatting>
  <conditionalFormatting sqref="G328">
    <cfRule type="containsText" dxfId="715" priority="468" operator="containsText" text="Estim">
      <formula>NOT(ISERROR(SEARCH("Estim",G328)))</formula>
    </cfRule>
  </conditionalFormatting>
  <conditionalFormatting sqref="G687 G639 G591 G541 G484 G435 G386">
    <cfRule type="containsText" dxfId="714" priority="467" operator="containsText" text="Estim">
      <formula>NOT(ISERROR(SEARCH("Estim",G386)))</formula>
    </cfRule>
  </conditionalFormatting>
  <conditionalFormatting sqref="G686 G638 G590 G540 G483 G434 G385">
    <cfRule type="containsText" dxfId="713" priority="466" operator="containsText" text="Estim">
      <formula>NOT(ISERROR(SEARCH("Estim",G385)))</formula>
    </cfRule>
  </conditionalFormatting>
  <conditionalFormatting sqref="I121">
    <cfRule type="cellIs" dxfId="712" priority="463" operator="equal">
      <formula>"A venir"</formula>
    </cfRule>
    <cfRule type="cellIs" dxfId="711" priority="464" operator="equal">
      <formula>"Non"</formula>
    </cfRule>
    <cfRule type="cellIs" dxfId="710" priority="465" operator="equal">
      <formula>"Débité"</formula>
    </cfRule>
  </conditionalFormatting>
  <conditionalFormatting sqref="I228">
    <cfRule type="cellIs" dxfId="709" priority="460" operator="equal">
      <formula>"A venir"</formula>
    </cfRule>
    <cfRule type="cellIs" dxfId="708" priority="461" operator="equal">
      <formula>"Non"</formula>
    </cfRule>
    <cfRule type="cellIs" dxfId="707" priority="462" operator="equal">
      <formula>"Débité"</formula>
    </cfRule>
  </conditionalFormatting>
  <conditionalFormatting sqref="I193">
    <cfRule type="cellIs" dxfId="706" priority="457" operator="equal">
      <formula>"A venir"</formula>
    </cfRule>
    <cfRule type="cellIs" dxfId="705" priority="458" operator="equal">
      <formula>"Non"</formula>
    </cfRule>
    <cfRule type="cellIs" dxfId="704" priority="459" operator="equal">
      <formula>"Débité"</formula>
    </cfRule>
  </conditionalFormatting>
  <conditionalFormatting sqref="I191">
    <cfRule type="cellIs" dxfId="703" priority="454" operator="equal">
      <formula>"A venir"</formula>
    </cfRule>
    <cfRule type="cellIs" dxfId="702" priority="455" operator="equal">
      <formula>"Non"</formula>
    </cfRule>
    <cfRule type="cellIs" dxfId="701" priority="456" operator="equal">
      <formula>"Débité"</formula>
    </cfRule>
  </conditionalFormatting>
  <conditionalFormatting sqref="I192">
    <cfRule type="cellIs" dxfId="700" priority="451" operator="equal">
      <formula>"A venir"</formula>
    </cfRule>
    <cfRule type="cellIs" dxfId="699" priority="452" operator="equal">
      <formula>"Non"</formula>
    </cfRule>
    <cfRule type="cellIs" dxfId="698" priority="453" operator="equal">
      <formula>"Débité"</formula>
    </cfRule>
  </conditionalFormatting>
  <conditionalFormatting sqref="I107">
    <cfRule type="cellIs" dxfId="697" priority="448" operator="equal">
      <formula>"A venir"</formula>
    </cfRule>
    <cfRule type="cellIs" dxfId="696" priority="449" operator="equal">
      <formula>"Non"</formula>
    </cfRule>
    <cfRule type="cellIs" dxfId="695" priority="450" operator="equal">
      <formula>"Débité"</formula>
    </cfRule>
  </conditionalFormatting>
  <conditionalFormatting sqref="G107">
    <cfRule type="containsText" dxfId="694" priority="447" operator="containsText" text="Estim">
      <formula>NOT(ISERROR(SEARCH("Estim",G107)))</formula>
    </cfRule>
  </conditionalFormatting>
  <conditionalFormatting sqref="I97">
    <cfRule type="cellIs" dxfId="693" priority="441" operator="equal">
      <formula>"A venir"</formula>
    </cfRule>
    <cfRule type="cellIs" dxfId="692" priority="442" operator="equal">
      <formula>"Non"</formula>
    </cfRule>
    <cfRule type="cellIs" dxfId="691" priority="443" operator="equal">
      <formula>"Débité"</formula>
    </cfRule>
  </conditionalFormatting>
  <conditionalFormatting sqref="I71">
    <cfRule type="cellIs" dxfId="690" priority="438" operator="equal">
      <formula>"A venir"</formula>
    </cfRule>
    <cfRule type="cellIs" dxfId="689" priority="439" operator="equal">
      <formula>"Non"</formula>
    </cfRule>
    <cfRule type="cellIs" dxfId="688" priority="440" operator="equal">
      <formula>"Débité"</formula>
    </cfRule>
  </conditionalFormatting>
  <conditionalFormatting sqref="I760:I766">
    <cfRule type="cellIs" dxfId="687" priority="435" operator="equal">
      <formula>"A venir"</formula>
    </cfRule>
    <cfRule type="cellIs" dxfId="686" priority="436" operator="equal">
      <formula>"Non"</formula>
    </cfRule>
    <cfRule type="cellIs" dxfId="685" priority="437" operator="equal">
      <formula>"Débité"</formula>
    </cfRule>
  </conditionalFormatting>
  <conditionalFormatting sqref="I768">
    <cfRule type="cellIs" dxfId="684" priority="432" operator="equal">
      <formula>"A venir"</formula>
    </cfRule>
    <cfRule type="cellIs" dxfId="683" priority="433" operator="equal">
      <formula>"Non"</formula>
    </cfRule>
    <cfRule type="cellIs" dxfId="682" priority="434" operator="equal">
      <formula>"Débité"</formula>
    </cfRule>
  </conditionalFormatting>
  <conditionalFormatting sqref="I225">
    <cfRule type="cellIs" dxfId="681" priority="429" operator="equal">
      <formula>"A venir"</formula>
    </cfRule>
    <cfRule type="cellIs" dxfId="680" priority="430" operator="equal">
      <formula>"Non"</formula>
    </cfRule>
    <cfRule type="cellIs" dxfId="679" priority="431" operator="equal">
      <formula>"Débité"</formula>
    </cfRule>
  </conditionalFormatting>
  <conditionalFormatting sqref="I295">
    <cfRule type="cellIs" dxfId="678" priority="426" operator="equal">
      <formula>"A venir"</formula>
    </cfRule>
    <cfRule type="cellIs" dxfId="677" priority="427" operator="equal">
      <formula>"Non"</formula>
    </cfRule>
    <cfRule type="cellIs" dxfId="676" priority="428" operator="equal">
      <formula>"Débité"</formula>
    </cfRule>
  </conditionalFormatting>
  <conditionalFormatting sqref="G295:H295">
    <cfRule type="containsText" dxfId="675" priority="425" operator="containsText" text="Estim">
      <formula>NOT(ISERROR(SEARCH("Estim",G295)))</formula>
    </cfRule>
  </conditionalFormatting>
  <conditionalFormatting sqref="I187">
    <cfRule type="cellIs" dxfId="674" priority="422" operator="equal">
      <formula>"A venir"</formula>
    </cfRule>
    <cfRule type="cellIs" dxfId="673" priority="423" operator="equal">
      <formula>"Non"</formula>
    </cfRule>
    <cfRule type="cellIs" dxfId="672" priority="424" operator="equal">
      <formula>"Débité"</formula>
    </cfRule>
  </conditionalFormatting>
  <conditionalFormatting sqref="I825">
    <cfRule type="cellIs" dxfId="671" priority="419" operator="equal">
      <formula>"A venir"</formula>
    </cfRule>
    <cfRule type="cellIs" dxfId="670" priority="420" operator="equal">
      <formula>"Non"</formula>
    </cfRule>
    <cfRule type="cellIs" dxfId="669" priority="421" operator="equal">
      <formula>"Débité"</formula>
    </cfRule>
  </conditionalFormatting>
  <conditionalFormatting sqref="I349">
    <cfRule type="cellIs" dxfId="668" priority="416" operator="equal">
      <formula>"A venir"</formula>
    </cfRule>
    <cfRule type="cellIs" dxfId="667" priority="417" operator="equal">
      <formula>"Non"</formula>
    </cfRule>
    <cfRule type="cellIs" dxfId="666" priority="418" operator="equal">
      <formula>"Débité"</formula>
    </cfRule>
  </conditionalFormatting>
  <conditionalFormatting sqref="I831">
    <cfRule type="cellIs" dxfId="665" priority="413" operator="equal">
      <formula>"A venir"</formula>
    </cfRule>
    <cfRule type="cellIs" dxfId="664" priority="414" operator="equal">
      <formula>"Non"</formula>
    </cfRule>
    <cfRule type="cellIs" dxfId="663" priority="415" operator="equal">
      <formula>"Débité"</formula>
    </cfRule>
  </conditionalFormatting>
  <conditionalFormatting sqref="I839">
    <cfRule type="cellIs" dxfId="662" priority="410" operator="equal">
      <formula>"A venir"</formula>
    </cfRule>
    <cfRule type="cellIs" dxfId="661" priority="411" operator="equal">
      <formula>"Non"</formula>
    </cfRule>
    <cfRule type="cellIs" dxfId="660" priority="412" operator="equal">
      <formula>"Débité"</formula>
    </cfRule>
  </conditionalFormatting>
  <conditionalFormatting sqref="I845:I846">
    <cfRule type="cellIs" dxfId="659" priority="407" operator="equal">
      <formula>"A venir"</formula>
    </cfRule>
    <cfRule type="cellIs" dxfId="658" priority="408" operator="equal">
      <formula>"Non"</formula>
    </cfRule>
    <cfRule type="cellIs" dxfId="657" priority="409" operator="equal">
      <formula>"Débité"</formula>
    </cfRule>
  </conditionalFormatting>
  <conditionalFormatting sqref="I351">
    <cfRule type="cellIs" dxfId="656" priority="404" operator="equal">
      <formula>"A venir"</formula>
    </cfRule>
    <cfRule type="cellIs" dxfId="655" priority="405" operator="equal">
      <formula>"Non"</formula>
    </cfRule>
    <cfRule type="cellIs" dxfId="654" priority="406" operator="equal">
      <formula>"Débité"</formula>
    </cfRule>
  </conditionalFormatting>
  <conditionalFormatting sqref="I350">
    <cfRule type="cellIs" dxfId="653" priority="401" operator="equal">
      <formula>"A venir"</formula>
    </cfRule>
    <cfRule type="cellIs" dxfId="652" priority="402" operator="equal">
      <formula>"Non"</formula>
    </cfRule>
    <cfRule type="cellIs" dxfId="651" priority="403" operator="equal">
      <formula>"Débité"</formula>
    </cfRule>
  </conditionalFormatting>
  <conditionalFormatting sqref="I865">
    <cfRule type="cellIs" dxfId="650" priority="398" operator="equal">
      <formula>"A venir"</formula>
    </cfRule>
    <cfRule type="cellIs" dxfId="649" priority="399" operator="equal">
      <formula>"Non"</formula>
    </cfRule>
    <cfRule type="cellIs" dxfId="648" priority="400" operator="equal">
      <formula>"Débité"</formula>
    </cfRule>
  </conditionalFormatting>
  <conditionalFormatting sqref="I867">
    <cfRule type="cellIs" dxfId="647" priority="395" operator="equal">
      <formula>"A venir"</formula>
    </cfRule>
    <cfRule type="cellIs" dxfId="646" priority="396" operator="equal">
      <formula>"Non"</formula>
    </cfRule>
    <cfRule type="cellIs" dxfId="645" priority="397" operator="equal">
      <formula>"Débité"</formula>
    </cfRule>
  </conditionalFormatting>
  <conditionalFormatting sqref="I871:I872">
    <cfRule type="cellIs" dxfId="644" priority="392" operator="equal">
      <formula>"A venir"</formula>
    </cfRule>
    <cfRule type="cellIs" dxfId="643" priority="393" operator="equal">
      <formula>"Non"</formula>
    </cfRule>
    <cfRule type="cellIs" dxfId="642" priority="394" operator="equal">
      <formula>"Débité"</formula>
    </cfRule>
  </conditionalFormatting>
  <conditionalFormatting sqref="I869">
    <cfRule type="cellIs" dxfId="641" priority="389" operator="equal">
      <formula>"A venir"</formula>
    </cfRule>
    <cfRule type="cellIs" dxfId="640" priority="390" operator="equal">
      <formula>"Non"</formula>
    </cfRule>
    <cfRule type="cellIs" dxfId="639" priority="391" operator="equal">
      <formula>"Débité"</formula>
    </cfRule>
  </conditionalFormatting>
  <conditionalFormatting sqref="I875:I876">
    <cfRule type="cellIs" dxfId="638" priority="386" operator="equal">
      <formula>"A venir"</formula>
    </cfRule>
    <cfRule type="cellIs" dxfId="637" priority="387" operator="equal">
      <formula>"Non"</formula>
    </cfRule>
    <cfRule type="cellIs" dxfId="636" priority="388" operator="equal">
      <formula>"Débité"</formula>
    </cfRule>
  </conditionalFormatting>
  <conditionalFormatting sqref="I360">
    <cfRule type="cellIs" dxfId="635" priority="383" operator="equal">
      <formula>"A venir"</formula>
    </cfRule>
    <cfRule type="cellIs" dxfId="634" priority="384" operator="equal">
      <formula>"Non"</formula>
    </cfRule>
    <cfRule type="cellIs" dxfId="633" priority="385" operator="equal">
      <formula>"Débité"</formula>
    </cfRule>
  </conditionalFormatting>
  <conditionalFormatting sqref="I491">
    <cfRule type="cellIs" dxfId="632" priority="380" operator="equal">
      <formula>"A venir"</formula>
    </cfRule>
    <cfRule type="cellIs" dxfId="631" priority="381" operator="equal">
      <formula>"Non"</formula>
    </cfRule>
    <cfRule type="cellIs" dxfId="630" priority="382" operator="equal">
      <formula>"Débité"</formula>
    </cfRule>
  </conditionalFormatting>
  <conditionalFormatting sqref="I359">
    <cfRule type="cellIs" dxfId="629" priority="377" operator="equal">
      <formula>"A venir"</formula>
    </cfRule>
    <cfRule type="cellIs" dxfId="628" priority="378" operator="equal">
      <formula>"Non"</formula>
    </cfRule>
    <cfRule type="cellIs" dxfId="627" priority="379" operator="equal">
      <formula>"Débité"</formula>
    </cfRule>
  </conditionalFormatting>
  <conditionalFormatting sqref="I358">
    <cfRule type="cellIs" dxfId="626" priority="374" operator="equal">
      <formula>"A venir"</formula>
    </cfRule>
    <cfRule type="cellIs" dxfId="625" priority="375" operator="equal">
      <formula>"Non"</formula>
    </cfRule>
    <cfRule type="cellIs" dxfId="624" priority="376" operator="equal">
      <formula>"Débité"</formula>
    </cfRule>
  </conditionalFormatting>
  <conditionalFormatting sqref="I337">
    <cfRule type="cellIs" dxfId="623" priority="371" operator="equal">
      <formula>"A venir"</formula>
    </cfRule>
    <cfRule type="cellIs" dxfId="622" priority="372" operator="equal">
      <formula>"Non"</formula>
    </cfRule>
    <cfRule type="cellIs" dxfId="621" priority="373" operator="equal">
      <formula>"Débité"</formula>
    </cfRule>
  </conditionalFormatting>
  <conditionalFormatting sqref="I372:I373">
    <cfRule type="cellIs" dxfId="620" priority="368" operator="equal">
      <formula>"A venir"</formula>
    </cfRule>
    <cfRule type="cellIs" dxfId="619" priority="369" operator="equal">
      <formula>"Non"</formula>
    </cfRule>
    <cfRule type="cellIs" dxfId="618" priority="370" operator="equal">
      <formula>"Débité"</formula>
    </cfRule>
  </conditionalFormatting>
  <conditionalFormatting sqref="I215">
    <cfRule type="cellIs" dxfId="617" priority="365" operator="equal">
      <formula>"A venir"</formula>
    </cfRule>
    <cfRule type="cellIs" dxfId="616" priority="366" operator="equal">
      <formula>"Non"</formula>
    </cfRule>
    <cfRule type="cellIs" dxfId="615" priority="367" operator="equal">
      <formula>"Débité"</formula>
    </cfRule>
  </conditionalFormatting>
  <conditionalFormatting sqref="I926">
    <cfRule type="cellIs" dxfId="614" priority="362" operator="equal">
      <formula>"A venir"</formula>
    </cfRule>
    <cfRule type="cellIs" dxfId="613" priority="363" operator="equal">
      <formula>"Non"</formula>
    </cfRule>
    <cfRule type="cellIs" dxfId="612" priority="364" operator="equal">
      <formula>"Débité"</formula>
    </cfRule>
  </conditionalFormatting>
  <conditionalFormatting sqref="I928">
    <cfRule type="cellIs" dxfId="611" priority="359" operator="equal">
      <formula>"A venir"</formula>
    </cfRule>
    <cfRule type="cellIs" dxfId="610" priority="360" operator="equal">
      <formula>"Non"</formula>
    </cfRule>
    <cfRule type="cellIs" dxfId="609" priority="361" operator="equal">
      <formula>"Débité"</formula>
    </cfRule>
  </conditionalFormatting>
  <conditionalFormatting sqref="I929">
    <cfRule type="cellIs" dxfId="608" priority="356" operator="equal">
      <formula>"A venir"</formula>
    </cfRule>
    <cfRule type="cellIs" dxfId="607" priority="357" operator="equal">
      <formula>"Non"</formula>
    </cfRule>
    <cfRule type="cellIs" dxfId="606" priority="358" operator="equal">
      <formula>"Débité"</formula>
    </cfRule>
  </conditionalFormatting>
  <conditionalFormatting sqref="I417">
    <cfRule type="cellIs" dxfId="605" priority="353" operator="equal">
      <formula>"A venir"</formula>
    </cfRule>
    <cfRule type="cellIs" dxfId="604" priority="354" operator="equal">
      <formula>"Non"</formula>
    </cfRule>
    <cfRule type="cellIs" dxfId="603" priority="355" operator="equal">
      <formula>"Débité"</formula>
    </cfRule>
  </conditionalFormatting>
  <conditionalFormatting sqref="I345">
    <cfRule type="cellIs" dxfId="602" priority="350" operator="equal">
      <formula>"A venir"</formula>
    </cfRule>
    <cfRule type="cellIs" dxfId="601" priority="351" operator="equal">
      <formula>"Non"</formula>
    </cfRule>
    <cfRule type="cellIs" dxfId="600" priority="352" operator="equal">
      <formula>"Débité"</formula>
    </cfRule>
  </conditionalFormatting>
  <conditionalFormatting sqref="I550">
    <cfRule type="cellIs" dxfId="599" priority="347" operator="equal">
      <formula>"A venir"</formula>
    </cfRule>
    <cfRule type="cellIs" dxfId="598" priority="348" operator="equal">
      <formula>"Non"</formula>
    </cfRule>
    <cfRule type="cellIs" dxfId="597" priority="349" operator="equal">
      <formula>"Débité"</formula>
    </cfRule>
  </conditionalFormatting>
  <conditionalFormatting sqref="I509">
    <cfRule type="cellIs" dxfId="596" priority="344" operator="equal">
      <formula>"A venir"</formula>
    </cfRule>
    <cfRule type="cellIs" dxfId="595" priority="345" operator="equal">
      <formula>"Non"</formula>
    </cfRule>
    <cfRule type="cellIs" dxfId="594" priority="346" operator="equal">
      <formula>"Débité"</formula>
    </cfRule>
  </conditionalFormatting>
  <conditionalFormatting sqref="I508">
    <cfRule type="cellIs" dxfId="593" priority="341" operator="equal">
      <formula>"A venir"</formula>
    </cfRule>
    <cfRule type="cellIs" dxfId="592" priority="342" operator="equal">
      <formula>"Non"</formula>
    </cfRule>
    <cfRule type="cellIs" dxfId="591" priority="343" operator="equal">
      <formula>"Débité"</formula>
    </cfRule>
  </conditionalFormatting>
  <conditionalFormatting sqref="I460">
    <cfRule type="cellIs" dxfId="590" priority="338" operator="equal">
      <formula>"A venir"</formula>
    </cfRule>
    <cfRule type="cellIs" dxfId="589" priority="339" operator="equal">
      <formula>"Non"</formula>
    </cfRule>
    <cfRule type="cellIs" dxfId="588" priority="340" operator="equal">
      <formula>"Débité"</formula>
    </cfRule>
  </conditionalFormatting>
  <conditionalFormatting sqref="I941">
    <cfRule type="cellIs" dxfId="587" priority="335" operator="equal">
      <formula>"A venir"</formula>
    </cfRule>
    <cfRule type="cellIs" dxfId="586" priority="336" operator="equal">
      <formula>"Non"</formula>
    </cfRule>
    <cfRule type="cellIs" dxfId="585" priority="337" operator="equal">
      <formula>"Débité"</formula>
    </cfRule>
  </conditionalFormatting>
  <conditionalFormatting sqref="I943">
    <cfRule type="cellIs" dxfId="584" priority="332" operator="equal">
      <formula>"A venir"</formula>
    </cfRule>
    <cfRule type="cellIs" dxfId="583" priority="333" operator="equal">
      <formula>"Non"</formula>
    </cfRule>
    <cfRule type="cellIs" dxfId="582" priority="334" operator="equal">
      <formula>"Débité"</formula>
    </cfRule>
  </conditionalFormatting>
  <conditionalFormatting sqref="I946">
    <cfRule type="cellIs" dxfId="581" priority="329" operator="equal">
      <formula>"A venir"</formula>
    </cfRule>
    <cfRule type="cellIs" dxfId="580" priority="330" operator="equal">
      <formula>"Non"</formula>
    </cfRule>
    <cfRule type="cellIs" dxfId="579" priority="331" operator="equal">
      <formula>"Débité"</formula>
    </cfRule>
  </conditionalFormatting>
  <conditionalFormatting sqref="I948">
    <cfRule type="cellIs" dxfId="578" priority="326" operator="equal">
      <formula>"A venir"</formula>
    </cfRule>
    <cfRule type="cellIs" dxfId="577" priority="327" operator="equal">
      <formula>"Non"</formula>
    </cfRule>
    <cfRule type="cellIs" dxfId="576" priority="328" operator="equal">
      <formula>"Débité"</formula>
    </cfRule>
  </conditionalFormatting>
  <conditionalFormatting sqref="I950:I954">
    <cfRule type="cellIs" dxfId="575" priority="323" operator="equal">
      <formula>"A venir"</formula>
    </cfRule>
    <cfRule type="cellIs" dxfId="574" priority="324" operator="equal">
      <formula>"Non"</formula>
    </cfRule>
    <cfRule type="cellIs" dxfId="573" priority="325" operator="equal">
      <formula>"Débité"</formula>
    </cfRule>
  </conditionalFormatting>
  <conditionalFormatting sqref="I955">
    <cfRule type="cellIs" dxfId="572" priority="320" operator="equal">
      <formula>"A venir"</formula>
    </cfRule>
    <cfRule type="cellIs" dxfId="571" priority="321" operator="equal">
      <formula>"Non"</formula>
    </cfRule>
    <cfRule type="cellIs" dxfId="570" priority="322" operator="equal">
      <formula>"Débité"</formula>
    </cfRule>
  </conditionalFormatting>
  <conditionalFormatting sqref="I958">
    <cfRule type="cellIs" dxfId="569" priority="317" operator="equal">
      <formula>"A venir"</formula>
    </cfRule>
    <cfRule type="cellIs" dxfId="568" priority="318" operator="equal">
      <formula>"Non"</formula>
    </cfRule>
    <cfRule type="cellIs" dxfId="567" priority="319" operator="equal">
      <formula>"Débité"</formula>
    </cfRule>
  </conditionalFormatting>
  <conditionalFormatting sqref="I965">
    <cfRule type="cellIs" dxfId="566" priority="314" operator="equal">
      <formula>"A venir"</formula>
    </cfRule>
    <cfRule type="cellIs" dxfId="565" priority="315" operator="equal">
      <formula>"Non"</formula>
    </cfRule>
    <cfRule type="cellIs" dxfId="564" priority="316" operator="equal">
      <formula>"Débité"</formula>
    </cfRule>
  </conditionalFormatting>
  <conditionalFormatting sqref="I971">
    <cfRule type="cellIs" dxfId="563" priority="311" operator="equal">
      <formula>"A venir"</formula>
    </cfRule>
    <cfRule type="cellIs" dxfId="562" priority="312" operator="equal">
      <formula>"Non"</formula>
    </cfRule>
    <cfRule type="cellIs" dxfId="561" priority="313" operator="equal">
      <formula>"Débité"</formula>
    </cfRule>
  </conditionalFormatting>
  <conditionalFormatting sqref="I973">
    <cfRule type="cellIs" dxfId="560" priority="308" operator="equal">
      <formula>"A venir"</formula>
    </cfRule>
    <cfRule type="cellIs" dxfId="559" priority="309" operator="equal">
      <formula>"Non"</formula>
    </cfRule>
    <cfRule type="cellIs" dxfId="558" priority="310" operator="equal">
      <formula>"Débité"</formula>
    </cfRule>
  </conditionalFormatting>
  <conditionalFormatting sqref="I975">
    <cfRule type="cellIs" dxfId="557" priority="305" operator="equal">
      <formula>"A venir"</formula>
    </cfRule>
    <cfRule type="cellIs" dxfId="556" priority="306" operator="equal">
      <formula>"Non"</formula>
    </cfRule>
    <cfRule type="cellIs" dxfId="555" priority="307" operator="equal">
      <formula>"Débité"</formula>
    </cfRule>
  </conditionalFormatting>
  <conditionalFormatting sqref="I497">
    <cfRule type="cellIs" dxfId="554" priority="302" operator="equal">
      <formula>"A venir"</formula>
    </cfRule>
    <cfRule type="cellIs" dxfId="553" priority="303" operator="equal">
      <formula>"Non"</formula>
    </cfRule>
    <cfRule type="cellIs" dxfId="552" priority="304" operator="equal">
      <formula>"Débité"</formula>
    </cfRule>
  </conditionalFormatting>
  <conditionalFormatting sqref="I498">
    <cfRule type="cellIs" dxfId="551" priority="299" operator="equal">
      <formula>"A venir"</formula>
    </cfRule>
    <cfRule type="cellIs" dxfId="550" priority="300" operator="equal">
      <formula>"Non"</formula>
    </cfRule>
    <cfRule type="cellIs" dxfId="549" priority="301" operator="equal">
      <formula>"Débité"</formula>
    </cfRule>
  </conditionalFormatting>
  <conditionalFormatting sqref="I524">
    <cfRule type="cellIs" dxfId="548" priority="296" operator="equal">
      <formula>"A venir"</formula>
    </cfRule>
    <cfRule type="cellIs" dxfId="547" priority="297" operator="equal">
      <formula>"Non"</formula>
    </cfRule>
    <cfRule type="cellIs" dxfId="546" priority="298" operator="equal">
      <formula>"Débité"</formula>
    </cfRule>
  </conditionalFormatting>
  <conditionalFormatting sqref="I523">
    <cfRule type="cellIs" dxfId="545" priority="293" operator="equal">
      <formula>"A venir"</formula>
    </cfRule>
    <cfRule type="cellIs" dxfId="544" priority="294" operator="equal">
      <formula>"Non"</formula>
    </cfRule>
    <cfRule type="cellIs" dxfId="543" priority="295" operator="equal">
      <formula>"Débité"</formula>
    </cfRule>
  </conditionalFormatting>
  <conditionalFormatting sqref="I531">
    <cfRule type="cellIs" dxfId="542" priority="290" operator="equal">
      <formula>"A venir"</formula>
    </cfRule>
    <cfRule type="cellIs" dxfId="541" priority="291" operator="equal">
      <formula>"Non"</formula>
    </cfRule>
    <cfRule type="cellIs" dxfId="540" priority="292" operator="equal">
      <formula>"Débité"</formula>
    </cfRule>
  </conditionalFormatting>
  <conditionalFormatting sqref="I530">
    <cfRule type="cellIs" dxfId="539" priority="287" operator="equal">
      <formula>"A venir"</formula>
    </cfRule>
    <cfRule type="cellIs" dxfId="538" priority="288" operator="equal">
      <formula>"Non"</formula>
    </cfRule>
    <cfRule type="cellIs" dxfId="537" priority="289" operator="equal">
      <formula>"Débité"</formula>
    </cfRule>
  </conditionalFormatting>
  <conditionalFormatting sqref="I575">
    <cfRule type="cellIs" dxfId="536" priority="284" operator="equal">
      <formula>"A venir"</formula>
    </cfRule>
    <cfRule type="cellIs" dxfId="535" priority="285" operator="equal">
      <formula>"Non"</formula>
    </cfRule>
    <cfRule type="cellIs" dxfId="534" priority="286" operator="equal">
      <formula>"Débité"</formula>
    </cfRule>
  </conditionalFormatting>
  <conditionalFormatting sqref="I518">
    <cfRule type="cellIs" dxfId="533" priority="281" operator="equal">
      <formula>"A venir"</formula>
    </cfRule>
    <cfRule type="cellIs" dxfId="532" priority="282" operator="equal">
      <formula>"Non"</formula>
    </cfRule>
    <cfRule type="cellIs" dxfId="531" priority="283" operator="equal">
      <formula>"Débité"</formula>
    </cfRule>
  </conditionalFormatting>
  <conditionalFormatting sqref="I151">
    <cfRule type="cellIs" dxfId="530" priority="278" operator="equal">
      <formula>"A venir"</formula>
    </cfRule>
    <cfRule type="cellIs" dxfId="529" priority="279" operator="equal">
      <formula>"Non"</formula>
    </cfRule>
    <cfRule type="cellIs" dxfId="528" priority="280" operator="equal">
      <formula>"Débité"</formula>
    </cfRule>
  </conditionalFormatting>
  <conditionalFormatting sqref="I989">
    <cfRule type="cellIs" dxfId="527" priority="275" operator="equal">
      <formula>"A venir"</formula>
    </cfRule>
    <cfRule type="cellIs" dxfId="526" priority="276" operator="equal">
      <formula>"Non"</formula>
    </cfRule>
    <cfRule type="cellIs" dxfId="525" priority="277" operator="equal">
      <formula>"Débité"</formula>
    </cfRule>
  </conditionalFormatting>
  <conditionalFormatting sqref="I990">
    <cfRule type="cellIs" dxfId="524" priority="272" operator="equal">
      <formula>"A venir"</formula>
    </cfRule>
    <cfRule type="cellIs" dxfId="523" priority="273" operator="equal">
      <formula>"Non"</formula>
    </cfRule>
    <cfRule type="cellIs" dxfId="522" priority="274" operator="equal">
      <formula>"Débité"</formula>
    </cfRule>
  </conditionalFormatting>
  <conditionalFormatting sqref="I991">
    <cfRule type="cellIs" dxfId="521" priority="269" operator="equal">
      <formula>"A venir"</formula>
    </cfRule>
    <cfRule type="cellIs" dxfId="520" priority="270" operator="equal">
      <formula>"Non"</formula>
    </cfRule>
    <cfRule type="cellIs" dxfId="519" priority="271" operator="equal">
      <formula>"Débité"</formula>
    </cfRule>
  </conditionalFormatting>
  <conditionalFormatting sqref="I1">
    <cfRule type="cellIs" dxfId="518" priority="266" operator="equal">
      <formula>"A venir"</formula>
    </cfRule>
    <cfRule type="cellIs" dxfId="517" priority="267" operator="equal">
      <formula>"Non"</formula>
    </cfRule>
    <cfRule type="cellIs" dxfId="516" priority="268" operator="equal">
      <formula>"Débité"</formula>
    </cfRule>
  </conditionalFormatting>
  <conditionalFormatting sqref="I993 I1055 I1105 I1122 I1146 I1158 I1171 I1183 I1196 I1208 I1221 I1261 I1275 I1292 I1306 I1319 I1331 I1345 I1376 I1067:I1089 I1236 I1238:I1248">
    <cfRule type="cellIs" dxfId="515" priority="263" operator="equal">
      <formula>"A venir"</formula>
    </cfRule>
    <cfRule type="cellIs" dxfId="514" priority="264" operator="equal">
      <formula>"Non"</formula>
    </cfRule>
    <cfRule type="cellIs" dxfId="513" priority="265" operator="equal">
      <formula>"Débité"</formula>
    </cfRule>
  </conditionalFormatting>
  <conditionalFormatting sqref="G993:H993 G1029:H1029 G1055:H1055 G1030:G1040 G1067:G1088">
    <cfRule type="containsText" dxfId="512" priority="262" operator="containsText" text="Estim">
      <formula>NOT(ISERROR(SEARCH("Estim",G993)))</formula>
    </cfRule>
  </conditionalFormatting>
  <conditionalFormatting sqref="G1105 G1122">
    <cfRule type="containsText" dxfId="511" priority="261" operator="containsText" text="Estim">
      <formula>NOT(ISERROR(SEARCH("Estim",G1105)))</formula>
    </cfRule>
  </conditionalFormatting>
  <conditionalFormatting sqref="I994:I998 I1000:I1004">
    <cfRule type="cellIs" dxfId="510" priority="258" operator="equal">
      <formula>"A venir"</formula>
    </cfRule>
    <cfRule type="cellIs" dxfId="509" priority="259" operator="equal">
      <formula>"Non"</formula>
    </cfRule>
    <cfRule type="cellIs" dxfId="508" priority="260" operator="equal">
      <formula>"Débité"</formula>
    </cfRule>
  </conditionalFormatting>
  <conditionalFormatting sqref="I1005">
    <cfRule type="cellIs" dxfId="507" priority="254" operator="equal">
      <formula>"A venir"</formula>
    </cfRule>
    <cfRule type="cellIs" dxfId="506" priority="255" operator="equal">
      <formula>"Non"</formula>
    </cfRule>
    <cfRule type="cellIs" dxfId="505" priority="256" operator="equal">
      <formula>"Débité"</formula>
    </cfRule>
  </conditionalFormatting>
  <conditionalFormatting sqref="G994:H998 G1000:H1004">
    <cfRule type="containsText" dxfId="504" priority="257" operator="containsText" text="Estim">
      <formula>NOT(ISERROR(SEARCH("Estim",G994)))</formula>
    </cfRule>
  </conditionalFormatting>
  <conditionalFormatting sqref="G1005:H1005">
    <cfRule type="containsText" dxfId="503" priority="253" operator="containsText" text="Estim">
      <formula>NOT(ISERROR(SEARCH("Estim",G1005)))</formula>
    </cfRule>
  </conditionalFormatting>
  <conditionalFormatting sqref="I1006:I1014">
    <cfRule type="cellIs" dxfId="502" priority="250" operator="equal">
      <formula>"A venir"</formula>
    </cfRule>
    <cfRule type="cellIs" dxfId="501" priority="251" operator="equal">
      <formula>"Non"</formula>
    </cfRule>
    <cfRule type="cellIs" dxfId="500" priority="252" operator="equal">
      <formula>"Débité"</formula>
    </cfRule>
  </conditionalFormatting>
  <conditionalFormatting sqref="G1006:H1014">
    <cfRule type="containsText" dxfId="499" priority="249" operator="containsText" text="Estim">
      <formula>NOT(ISERROR(SEARCH("Estim",G1006)))</formula>
    </cfRule>
  </conditionalFormatting>
  <conditionalFormatting sqref="I1029">
    <cfRule type="cellIs" dxfId="498" priority="246" operator="equal">
      <formula>"A venir"</formula>
    </cfRule>
    <cfRule type="cellIs" dxfId="497" priority="247" operator="equal">
      <formula>"Non"</formula>
    </cfRule>
    <cfRule type="cellIs" dxfId="496" priority="248" operator="equal">
      <formula>"Débité"</formula>
    </cfRule>
  </conditionalFormatting>
  <conditionalFormatting sqref="G1041:H1048 G1053:H1054 G1050:H1050 H1049">
    <cfRule type="containsText" dxfId="495" priority="245" operator="containsText" text="Estim">
      <formula>NOT(ISERROR(SEARCH("Estim",G1041)))</formula>
    </cfRule>
  </conditionalFormatting>
  <conditionalFormatting sqref="I1041:I1050 I1053:I1054">
    <cfRule type="cellIs" dxfId="494" priority="242" operator="equal">
      <formula>"A venir"</formula>
    </cfRule>
    <cfRule type="cellIs" dxfId="493" priority="243" operator="equal">
      <formula>"Non"</formula>
    </cfRule>
    <cfRule type="cellIs" dxfId="492" priority="244" operator="equal">
      <formula>"Débité"</formula>
    </cfRule>
  </conditionalFormatting>
  <conditionalFormatting sqref="H1030:H1040">
    <cfRule type="containsText" dxfId="491" priority="241" operator="containsText" text="Estim">
      <formula>NOT(ISERROR(SEARCH("Estim",H1030)))</formula>
    </cfRule>
  </conditionalFormatting>
  <conditionalFormatting sqref="I1030:I1040">
    <cfRule type="cellIs" dxfId="490" priority="238" operator="equal">
      <formula>"A venir"</formula>
    </cfRule>
    <cfRule type="cellIs" dxfId="489" priority="239" operator="equal">
      <formula>"Non"</formula>
    </cfRule>
    <cfRule type="cellIs" dxfId="488" priority="240" operator="equal">
      <formula>"Débité"</formula>
    </cfRule>
  </conditionalFormatting>
  <conditionalFormatting sqref="G1015:H1015">
    <cfRule type="containsText" dxfId="487" priority="237" operator="containsText" text="Estim">
      <formula>NOT(ISERROR(SEARCH("Estim",G1015)))</formula>
    </cfRule>
  </conditionalFormatting>
  <conditionalFormatting sqref="I1015">
    <cfRule type="cellIs" dxfId="486" priority="234" operator="equal">
      <formula>"A venir"</formula>
    </cfRule>
    <cfRule type="cellIs" dxfId="485" priority="235" operator="equal">
      <formula>"Non"</formula>
    </cfRule>
    <cfRule type="cellIs" dxfId="484" priority="236" operator="equal">
      <formula>"Débité"</formula>
    </cfRule>
  </conditionalFormatting>
  <conditionalFormatting sqref="G1016:H1019 G1024:H1028 G1021:H1022">
    <cfRule type="containsText" dxfId="483" priority="233" operator="containsText" text="Estim">
      <formula>NOT(ISERROR(SEARCH("Estim",G1016)))</formula>
    </cfRule>
  </conditionalFormatting>
  <conditionalFormatting sqref="I1016:I1019 I1024:I1028 I1021:I1022">
    <cfRule type="cellIs" dxfId="482" priority="230" operator="equal">
      <formula>"A venir"</formula>
    </cfRule>
    <cfRule type="cellIs" dxfId="481" priority="231" operator="equal">
      <formula>"Non"</formula>
    </cfRule>
    <cfRule type="cellIs" dxfId="480" priority="232" operator="equal">
      <formula>"Débité"</formula>
    </cfRule>
  </conditionalFormatting>
  <conditionalFormatting sqref="I1056:I1066">
    <cfRule type="cellIs" dxfId="479" priority="227" operator="equal">
      <formula>"A venir"</formula>
    </cfRule>
    <cfRule type="cellIs" dxfId="478" priority="228" operator="equal">
      <formula>"Non"</formula>
    </cfRule>
    <cfRule type="cellIs" dxfId="477" priority="229" operator="equal">
      <formula>"Débité"</formula>
    </cfRule>
  </conditionalFormatting>
  <conditionalFormatting sqref="G1056:H1066">
    <cfRule type="containsText" dxfId="476" priority="226" operator="containsText" text="Estim">
      <formula>NOT(ISERROR(SEARCH("Estim",G1056)))</formula>
    </cfRule>
  </conditionalFormatting>
  <conditionalFormatting sqref="I1090:I1091 I1095 I1097:I1104">
    <cfRule type="cellIs" dxfId="475" priority="223" operator="equal">
      <formula>"A venir"</formula>
    </cfRule>
    <cfRule type="cellIs" dxfId="474" priority="224" operator="equal">
      <formula>"Non"</formula>
    </cfRule>
    <cfRule type="cellIs" dxfId="473" priority="225" operator="equal">
      <formula>"Débité"</formula>
    </cfRule>
  </conditionalFormatting>
  <conditionalFormatting sqref="I1106:I1107 I1111:I1115 I1117:I1118 I1120:I1121">
    <cfRule type="cellIs" dxfId="472" priority="220" operator="equal">
      <formula>"A venir"</formula>
    </cfRule>
    <cfRule type="cellIs" dxfId="471" priority="221" operator="equal">
      <formula>"Non"</formula>
    </cfRule>
    <cfRule type="cellIs" dxfId="470" priority="222" operator="equal">
      <formula>"Débité"</formula>
    </cfRule>
  </conditionalFormatting>
  <conditionalFormatting sqref="G1106:G1107 G1111:G1115 G1117:G1118 G1120:G1121">
    <cfRule type="containsText" dxfId="469" priority="219" operator="containsText" text="Estim">
      <formula>NOT(ISERROR(SEARCH("Estim",G1106)))</formula>
    </cfRule>
  </conditionalFormatting>
  <conditionalFormatting sqref="I1123:I1133">
    <cfRule type="cellIs" dxfId="468" priority="216" operator="equal">
      <formula>"A venir"</formula>
    </cfRule>
    <cfRule type="cellIs" dxfId="467" priority="217" operator="equal">
      <formula>"Non"</formula>
    </cfRule>
    <cfRule type="cellIs" dxfId="466" priority="218" operator="equal">
      <formula>"Débité"</formula>
    </cfRule>
  </conditionalFormatting>
  <conditionalFormatting sqref="G1123:G1133">
    <cfRule type="containsText" dxfId="465" priority="215" operator="containsText" text="Estim">
      <formula>NOT(ISERROR(SEARCH("Estim",G1123)))</formula>
    </cfRule>
  </conditionalFormatting>
  <conditionalFormatting sqref="I1134">
    <cfRule type="cellIs" dxfId="464" priority="212" operator="equal">
      <formula>"A venir"</formula>
    </cfRule>
    <cfRule type="cellIs" dxfId="463" priority="213" operator="equal">
      <formula>"Non"</formula>
    </cfRule>
    <cfRule type="cellIs" dxfId="462" priority="214" operator="equal">
      <formula>"Débité"</formula>
    </cfRule>
  </conditionalFormatting>
  <conditionalFormatting sqref="G1134">
    <cfRule type="containsText" dxfId="461" priority="211" operator="containsText" text="Estim">
      <formula>NOT(ISERROR(SEARCH("Estim",G1134)))</formula>
    </cfRule>
  </conditionalFormatting>
  <conditionalFormatting sqref="I1135:I1145">
    <cfRule type="cellIs" dxfId="460" priority="208" operator="equal">
      <formula>"A venir"</formula>
    </cfRule>
    <cfRule type="cellIs" dxfId="459" priority="209" operator="equal">
      <formula>"Non"</formula>
    </cfRule>
    <cfRule type="cellIs" dxfId="458" priority="210" operator="equal">
      <formula>"Débité"</formula>
    </cfRule>
  </conditionalFormatting>
  <conditionalFormatting sqref="G1135:G1145">
    <cfRule type="containsText" dxfId="457" priority="207" operator="containsText" text="Estim">
      <formula>NOT(ISERROR(SEARCH("Estim",G1135)))</formula>
    </cfRule>
  </conditionalFormatting>
  <conditionalFormatting sqref="I1147:I1157">
    <cfRule type="cellIs" dxfId="456" priority="204" operator="equal">
      <formula>"A venir"</formula>
    </cfRule>
    <cfRule type="cellIs" dxfId="455" priority="205" operator="equal">
      <formula>"Non"</formula>
    </cfRule>
    <cfRule type="cellIs" dxfId="454" priority="206" operator="equal">
      <formula>"Débité"</formula>
    </cfRule>
  </conditionalFormatting>
  <conditionalFormatting sqref="I1159:I1160 I1162:I1170">
    <cfRule type="cellIs" dxfId="453" priority="201" operator="equal">
      <formula>"A venir"</formula>
    </cfRule>
    <cfRule type="cellIs" dxfId="452" priority="202" operator="equal">
      <formula>"Non"</formula>
    </cfRule>
    <cfRule type="cellIs" dxfId="451" priority="203" operator="equal">
      <formula>"Débité"</formula>
    </cfRule>
  </conditionalFormatting>
  <conditionalFormatting sqref="I1172:I1182">
    <cfRule type="cellIs" dxfId="450" priority="198" operator="equal">
      <formula>"A venir"</formula>
    </cfRule>
    <cfRule type="cellIs" dxfId="449" priority="199" operator="equal">
      <formula>"Non"</formula>
    </cfRule>
    <cfRule type="cellIs" dxfId="448" priority="200" operator="equal">
      <formula>"Débité"</formula>
    </cfRule>
  </conditionalFormatting>
  <conditionalFormatting sqref="I1184:I1186 I1188:I1195">
    <cfRule type="cellIs" dxfId="447" priority="195" operator="equal">
      <formula>"A venir"</formula>
    </cfRule>
    <cfRule type="cellIs" dxfId="446" priority="196" operator="equal">
      <formula>"Non"</formula>
    </cfRule>
    <cfRule type="cellIs" dxfId="445" priority="197" operator="equal">
      <formula>"Débité"</formula>
    </cfRule>
  </conditionalFormatting>
  <conditionalFormatting sqref="I1197:I1207">
    <cfRule type="cellIs" dxfId="444" priority="192" operator="equal">
      <formula>"A venir"</formula>
    </cfRule>
    <cfRule type="cellIs" dxfId="443" priority="193" operator="equal">
      <formula>"Non"</formula>
    </cfRule>
    <cfRule type="cellIs" dxfId="442" priority="194" operator="equal">
      <formula>"Débité"</formula>
    </cfRule>
  </conditionalFormatting>
  <conditionalFormatting sqref="I1211:I1220">
    <cfRule type="cellIs" dxfId="441" priority="189" operator="equal">
      <formula>"A venir"</formula>
    </cfRule>
    <cfRule type="cellIs" dxfId="440" priority="190" operator="equal">
      <formula>"Non"</formula>
    </cfRule>
    <cfRule type="cellIs" dxfId="439" priority="191" operator="equal">
      <formula>"Débité"</formula>
    </cfRule>
  </conditionalFormatting>
  <conditionalFormatting sqref="I1223:I1225 I1227 I1229:I1235">
    <cfRule type="cellIs" dxfId="438" priority="186" operator="equal">
      <formula>"A venir"</formula>
    </cfRule>
    <cfRule type="cellIs" dxfId="437" priority="187" operator="equal">
      <formula>"Non"</formula>
    </cfRule>
    <cfRule type="cellIs" dxfId="436" priority="188" operator="equal">
      <formula>"Débité"</formula>
    </cfRule>
  </conditionalFormatting>
  <conditionalFormatting sqref="I1249:I1258 I1260">
    <cfRule type="cellIs" dxfId="435" priority="183" operator="equal">
      <formula>"A venir"</formula>
    </cfRule>
    <cfRule type="cellIs" dxfId="434" priority="184" operator="equal">
      <formula>"Non"</formula>
    </cfRule>
    <cfRule type="cellIs" dxfId="433" priority="185" operator="equal">
      <formula>"Débité"</formula>
    </cfRule>
  </conditionalFormatting>
  <conditionalFormatting sqref="I1263:I1271 I1273:I1274">
    <cfRule type="cellIs" dxfId="432" priority="180" operator="equal">
      <formula>"A venir"</formula>
    </cfRule>
    <cfRule type="cellIs" dxfId="431" priority="181" operator="equal">
      <formula>"Non"</formula>
    </cfRule>
    <cfRule type="cellIs" dxfId="430" priority="182" operator="equal">
      <formula>"Débité"</formula>
    </cfRule>
  </conditionalFormatting>
  <conditionalFormatting sqref="I1276:I1278 I1280:I1282 I1285:I1289">
    <cfRule type="cellIs" dxfId="429" priority="177" operator="equal">
      <formula>"A venir"</formula>
    </cfRule>
    <cfRule type="cellIs" dxfId="428" priority="178" operator="equal">
      <formula>"Non"</formula>
    </cfRule>
    <cfRule type="cellIs" dxfId="427" priority="179" operator="equal">
      <formula>"Débité"</formula>
    </cfRule>
  </conditionalFormatting>
  <conditionalFormatting sqref="I1293:I1302 I1305">
    <cfRule type="cellIs" dxfId="426" priority="174" operator="equal">
      <formula>"A venir"</formula>
    </cfRule>
    <cfRule type="cellIs" dxfId="425" priority="175" operator="equal">
      <formula>"Non"</formula>
    </cfRule>
    <cfRule type="cellIs" dxfId="424" priority="176" operator="equal">
      <formula>"Débité"</formula>
    </cfRule>
  </conditionalFormatting>
  <conditionalFormatting sqref="I1307:I1311 I1313:I1318">
    <cfRule type="cellIs" dxfId="423" priority="171" operator="equal">
      <formula>"A venir"</formula>
    </cfRule>
    <cfRule type="cellIs" dxfId="422" priority="172" operator="equal">
      <formula>"Non"</formula>
    </cfRule>
    <cfRule type="cellIs" dxfId="421" priority="173" operator="equal">
      <formula>"Débité"</formula>
    </cfRule>
  </conditionalFormatting>
  <conditionalFormatting sqref="I1320:I1330">
    <cfRule type="cellIs" dxfId="420" priority="168" operator="equal">
      <formula>"A venir"</formula>
    </cfRule>
    <cfRule type="cellIs" dxfId="419" priority="169" operator="equal">
      <formula>"Non"</formula>
    </cfRule>
    <cfRule type="cellIs" dxfId="418" priority="170" operator="equal">
      <formula>"Débité"</formula>
    </cfRule>
  </conditionalFormatting>
  <conditionalFormatting sqref="I1332:I1336 I1341:I1344 I1338:I1339">
    <cfRule type="cellIs" dxfId="417" priority="165" operator="equal">
      <formula>"A venir"</formula>
    </cfRule>
    <cfRule type="cellIs" dxfId="416" priority="166" operator="equal">
      <formula>"Non"</formula>
    </cfRule>
    <cfRule type="cellIs" dxfId="415" priority="167" operator="equal">
      <formula>"Débité"</formula>
    </cfRule>
  </conditionalFormatting>
  <conditionalFormatting sqref="I1346:I1354">
    <cfRule type="cellIs" dxfId="414" priority="162" operator="equal">
      <formula>"A venir"</formula>
    </cfRule>
    <cfRule type="cellIs" dxfId="413" priority="163" operator="equal">
      <formula>"Non"</formula>
    </cfRule>
    <cfRule type="cellIs" dxfId="412" priority="164" operator="equal">
      <formula>"Débité"</formula>
    </cfRule>
  </conditionalFormatting>
  <conditionalFormatting sqref="I1367 I1371 I1375">
    <cfRule type="cellIs" dxfId="411" priority="159" operator="equal">
      <formula>"A venir"</formula>
    </cfRule>
    <cfRule type="cellIs" dxfId="410" priority="160" operator="equal">
      <formula>"Non"</formula>
    </cfRule>
    <cfRule type="cellIs" dxfId="409" priority="161" operator="equal">
      <formula>"Débité"</formula>
    </cfRule>
  </conditionalFormatting>
  <conditionalFormatting sqref="I1377:I1380 I1382:I1383 I1385:I1386">
    <cfRule type="cellIs" dxfId="408" priority="156" operator="equal">
      <formula>"A venir"</formula>
    </cfRule>
    <cfRule type="cellIs" dxfId="407" priority="157" operator="equal">
      <formula>"Non"</formula>
    </cfRule>
    <cfRule type="cellIs" dxfId="406" priority="158" operator="equal">
      <formula>"Débité"</formula>
    </cfRule>
  </conditionalFormatting>
  <conditionalFormatting sqref="I1093">
    <cfRule type="cellIs" dxfId="405" priority="132" operator="equal">
      <formula>"A venir"</formula>
    </cfRule>
    <cfRule type="cellIs" dxfId="404" priority="133" operator="equal">
      <formula>"Non"</formula>
    </cfRule>
    <cfRule type="cellIs" dxfId="403" priority="134" operator="equal">
      <formula>"Débité"</formula>
    </cfRule>
  </conditionalFormatting>
  <conditionalFormatting sqref="G1052:H1052">
    <cfRule type="containsText" dxfId="402" priority="142" operator="containsText" text="Estim">
      <formula>NOT(ISERROR(SEARCH("Estim",G1052)))</formula>
    </cfRule>
  </conditionalFormatting>
  <conditionalFormatting sqref="I1052">
    <cfRule type="cellIs" dxfId="401" priority="139" operator="equal">
      <formula>"A venir"</formula>
    </cfRule>
    <cfRule type="cellIs" dxfId="400" priority="140" operator="equal">
      <formula>"Non"</formula>
    </cfRule>
    <cfRule type="cellIs" dxfId="399" priority="141" operator="equal">
      <formula>"Débité"</formula>
    </cfRule>
  </conditionalFormatting>
  <conditionalFormatting sqref="G1051:H1051">
    <cfRule type="containsText" dxfId="398" priority="138" operator="containsText" text="Estim">
      <formula>NOT(ISERROR(SEARCH("Estim",G1051)))</formula>
    </cfRule>
  </conditionalFormatting>
  <conditionalFormatting sqref="I1051">
    <cfRule type="cellIs" dxfId="397" priority="135" operator="equal">
      <formula>"A venir"</formula>
    </cfRule>
    <cfRule type="cellIs" dxfId="396" priority="136" operator="equal">
      <formula>"Non"</formula>
    </cfRule>
    <cfRule type="cellIs" dxfId="395" priority="137" operator="equal">
      <formula>"Débité"</formula>
    </cfRule>
  </conditionalFormatting>
  <conditionalFormatting sqref="I1094">
    <cfRule type="cellIs" dxfId="394" priority="129" operator="equal">
      <formula>"A venir"</formula>
    </cfRule>
    <cfRule type="cellIs" dxfId="393" priority="130" operator="equal">
      <formula>"Non"</formula>
    </cfRule>
    <cfRule type="cellIs" dxfId="392" priority="131" operator="equal">
      <formula>"Débité"</formula>
    </cfRule>
  </conditionalFormatting>
  <conditionalFormatting sqref="I1092">
    <cfRule type="cellIs" dxfId="391" priority="126" operator="equal">
      <formula>"A venir"</formula>
    </cfRule>
    <cfRule type="cellIs" dxfId="390" priority="127" operator="equal">
      <formula>"Non"</formula>
    </cfRule>
    <cfRule type="cellIs" dxfId="389" priority="128" operator="equal">
      <formula>"Débité"</formula>
    </cfRule>
  </conditionalFormatting>
  <conditionalFormatting sqref="G1023:H1023">
    <cfRule type="containsText" dxfId="388" priority="125" operator="containsText" text="Estim">
      <formula>NOT(ISERROR(SEARCH("Estim",G1023)))</formula>
    </cfRule>
  </conditionalFormatting>
  <conditionalFormatting sqref="I1023">
    <cfRule type="cellIs" dxfId="387" priority="122" operator="equal">
      <formula>"A venir"</formula>
    </cfRule>
    <cfRule type="cellIs" dxfId="386" priority="123" operator="equal">
      <formula>"Non"</formula>
    </cfRule>
    <cfRule type="cellIs" dxfId="385" priority="124" operator="equal">
      <formula>"Débité"</formula>
    </cfRule>
  </conditionalFormatting>
  <conditionalFormatting sqref="G1020:H1020">
    <cfRule type="containsText" dxfId="384" priority="121" operator="containsText" text="Estim">
      <formula>NOT(ISERROR(SEARCH("Estim",G1020)))</formula>
    </cfRule>
  </conditionalFormatting>
  <conditionalFormatting sqref="I1020">
    <cfRule type="cellIs" dxfId="383" priority="118" operator="equal">
      <formula>"A venir"</formula>
    </cfRule>
    <cfRule type="cellIs" dxfId="382" priority="119" operator="equal">
      <formula>"Non"</formula>
    </cfRule>
    <cfRule type="cellIs" dxfId="381" priority="120" operator="equal">
      <formula>"Débité"</formula>
    </cfRule>
  </conditionalFormatting>
  <conditionalFormatting sqref="I1110">
    <cfRule type="cellIs" dxfId="380" priority="115" operator="equal">
      <formula>"A venir"</formula>
    </cfRule>
    <cfRule type="cellIs" dxfId="379" priority="116" operator="equal">
      <formula>"Non"</formula>
    </cfRule>
    <cfRule type="cellIs" dxfId="378" priority="117" operator="equal">
      <formula>"Débité"</formula>
    </cfRule>
  </conditionalFormatting>
  <conditionalFormatting sqref="G1110">
    <cfRule type="containsText" dxfId="377" priority="114" operator="containsText" text="Estim">
      <formula>NOT(ISERROR(SEARCH("Estim",G1110)))</formula>
    </cfRule>
  </conditionalFormatting>
  <conditionalFormatting sqref="I1096">
    <cfRule type="cellIs" dxfId="376" priority="111" operator="equal">
      <formula>"A venir"</formula>
    </cfRule>
    <cfRule type="cellIs" dxfId="375" priority="112" operator="equal">
      <formula>"Non"</formula>
    </cfRule>
    <cfRule type="cellIs" dxfId="374" priority="113" operator="equal">
      <formula>"Débité"</formula>
    </cfRule>
  </conditionalFormatting>
  <conditionalFormatting sqref="I1109">
    <cfRule type="cellIs" dxfId="373" priority="108" operator="equal">
      <formula>"A venir"</formula>
    </cfRule>
    <cfRule type="cellIs" dxfId="372" priority="109" operator="equal">
      <formula>"Non"</formula>
    </cfRule>
    <cfRule type="cellIs" dxfId="371" priority="110" operator="equal">
      <formula>"Débité"</formula>
    </cfRule>
  </conditionalFormatting>
  <conditionalFormatting sqref="G1109">
    <cfRule type="containsText" dxfId="370" priority="107" operator="containsText" text="Estim">
      <formula>NOT(ISERROR(SEARCH("Estim",G1109)))</formula>
    </cfRule>
  </conditionalFormatting>
  <conditionalFormatting sqref="I1108">
    <cfRule type="cellIs" dxfId="369" priority="104" operator="equal">
      <formula>"A venir"</formula>
    </cfRule>
    <cfRule type="cellIs" dxfId="368" priority="105" operator="equal">
      <formula>"Non"</formula>
    </cfRule>
    <cfRule type="cellIs" dxfId="367" priority="106" operator="equal">
      <formula>"Débité"</formula>
    </cfRule>
  </conditionalFormatting>
  <conditionalFormatting sqref="G1108">
    <cfRule type="containsText" dxfId="366" priority="103" operator="containsText" text="Estim">
      <formula>NOT(ISERROR(SEARCH("Estim",G1108)))</formula>
    </cfRule>
  </conditionalFormatting>
  <conditionalFormatting sqref="I1116">
    <cfRule type="cellIs" dxfId="365" priority="100" operator="equal">
      <formula>"A venir"</formula>
    </cfRule>
    <cfRule type="cellIs" dxfId="364" priority="101" operator="equal">
      <formula>"Non"</formula>
    </cfRule>
    <cfRule type="cellIs" dxfId="363" priority="102" operator="equal">
      <formula>"Débité"</formula>
    </cfRule>
  </conditionalFormatting>
  <conditionalFormatting sqref="G1116">
    <cfRule type="containsText" dxfId="362" priority="99" operator="containsText" text="Estim">
      <formula>NOT(ISERROR(SEARCH("Estim",G1116)))</formula>
    </cfRule>
  </conditionalFormatting>
  <conditionalFormatting sqref="I1119">
    <cfRule type="cellIs" dxfId="361" priority="96" operator="equal">
      <formula>"A venir"</formula>
    </cfRule>
    <cfRule type="cellIs" dxfId="360" priority="97" operator="equal">
      <formula>"Non"</formula>
    </cfRule>
    <cfRule type="cellIs" dxfId="359" priority="98" operator="equal">
      <formula>"Débité"</formula>
    </cfRule>
  </conditionalFormatting>
  <conditionalFormatting sqref="G1119">
    <cfRule type="containsText" dxfId="358" priority="95" operator="containsText" text="Estim">
      <formula>NOT(ISERROR(SEARCH("Estim",G1119)))</formula>
    </cfRule>
  </conditionalFormatting>
  <conditionalFormatting sqref="I1226">
    <cfRule type="cellIs" dxfId="357" priority="92" operator="equal">
      <formula>"A venir"</formula>
    </cfRule>
    <cfRule type="cellIs" dxfId="356" priority="93" operator="equal">
      <formula>"Non"</formula>
    </cfRule>
    <cfRule type="cellIs" dxfId="355" priority="94" operator="equal">
      <formula>"Débité"</formula>
    </cfRule>
  </conditionalFormatting>
  <conditionalFormatting sqref="I1187">
    <cfRule type="cellIs" dxfId="354" priority="89" operator="equal">
      <formula>"A venir"</formula>
    </cfRule>
    <cfRule type="cellIs" dxfId="353" priority="90" operator="equal">
      <formula>"Non"</formula>
    </cfRule>
    <cfRule type="cellIs" dxfId="352" priority="91" operator="equal">
      <formula>"Débité"</formula>
    </cfRule>
  </conditionalFormatting>
  <conditionalFormatting sqref="G1365:G1366 G1327:G1328 G1287:G1288 G1221 G1214 G1049">
    <cfRule type="containsText" dxfId="351" priority="88" operator="containsText" text="Estim">
      <formula>NOT(ISERROR(SEARCH("Estim",G1049)))</formula>
    </cfRule>
  </conditionalFormatting>
  <conditionalFormatting sqref="I1259">
    <cfRule type="cellIs" dxfId="350" priority="85" operator="equal">
      <formula>"A venir"</formula>
    </cfRule>
    <cfRule type="cellIs" dxfId="349" priority="86" operator="equal">
      <formula>"Non"</formula>
    </cfRule>
    <cfRule type="cellIs" dxfId="348" priority="87" operator="equal">
      <formula>"Débité"</formula>
    </cfRule>
  </conditionalFormatting>
  <conditionalFormatting sqref="I1290:I1291">
    <cfRule type="cellIs" dxfId="347" priority="82" operator="equal">
      <formula>"A venir"</formula>
    </cfRule>
    <cfRule type="cellIs" dxfId="346" priority="83" operator="equal">
      <formula>"Non"</formula>
    </cfRule>
    <cfRule type="cellIs" dxfId="345" priority="84" operator="equal">
      <formula>"Débité"</formula>
    </cfRule>
  </conditionalFormatting>
  <conditionalFormatting sqref="I1279">
    <cfRule type="cellIs" dxfId="344" priority="79" operator="equal">
      <formula>"A venir"</formula>
    </cfRule>
    <cfRule type="cellIs" dxfId="343" priority="80" operator="equal">
      <formula>"Non"</formula>
    </cfRule>
    <cfRule type="cellIs" dxfId="342" priority="81" operator="equal">
      <formula>"Débité"</formula>
    </cfRule>
  </conditionalFormatting>
  <conditionalFormatting sqref="I1272">
    <cfRule type="cellIs" dxfId="341" priority="76" operator="equal">
      <formula>"A venir"</formula>
    </cfRule>
    <cfRule type="cellIs" dxfId="340" priority="77" operator="equal">
      <formula>"Non"</formula>
    </cfRule>
    <cfRule type="cellIs" dxfId="339" priority="78" operator="equal">
      <formula>"Débité"</formula>
    </cfRule>
  </conditionalFormatting>
  <conditionalFormatting sqref="I1284">
    <cfRule type="cellIs" dxfId="338" priority="73" operator="equal">
      <formula>"A venir"</formula>
    </cfRule>
    <cfRule type="cellIs" dxfId="337" priority="74" operator="equal">
      <formula>"Non"</formula>
    </cfRule>
    <cfRule type="cellIs" dxfId="336" priority="75" operator="equal">
      <formula>"Débité"</formula>
    </cfRule>
  </conditionalFormatting>
  <conditionalFormatting sqref="I1283">
    <cfRule type="cellIs" dxfId="335" priority="70" operator="equal">
      <formula>"A venir"</formula>
    </cfRule>
    <cfRule type="cellIs" dxfId="334" priority="71" operator="equal">
      <formula>"Non"</formula>
    </cfRule>
    <cfRule type="cellIs" dxfId="333" priority="72" operator="equal">
      <formula>"Débité"</formula>
    </cfRule>
  </conditionalFormatting>
  <conditionalFormatting sqref="G1382 G1314">
    <cfRule type="containsText" dxfId="332" priority="69" operator="containsText" text="Estim">
      <formula>NOT(ISERROR(SEARCH("Estim",G1314)))</formula>
    </cfRule>
  </conditionalFormatting>
  <conditionalFormatting sqref="I1262">
    <cfRule type="cellIs" dxfId="331" priority="66" operator="equal">
      <formula>"A venir"</formula>
    </cfRule>
    <cfRule type="cellIs" dxfId="330" priority="67" operator="equal">
      <formula>"Non"</formula>
    </cfRule>
    <cfRule type="cellIs" dxfId="329" priority="68" operator="equal">
      <formula>"Débité"</formula>
    </cfRule>
  </conditionalFormatting>
  <conditionalFormatting sqref="I1340">
    <cfRule type="cellIs" dxfId="328" priority="63" operator="equal">
      <formula>"A venir"</formula>
    </cfRule>
    <cfRule type="cellIs" dxfId="327" priority="64" operator="equal">
      <formula>"Non"</formula>
    </cfRule>
    <cfRule type="cellIs" dxfId="326" priority="65" operator="equal">
      <formula>"Débité"</formula>
    </cfRule>
  </conditionalFormatting>
  <conditionalFormatting sqref="I1337">
    <cfRule type="cellIs" dxfId="325" priority="60" operator="equal">
      <formula>"A venir"</formula>
    </cfRule>
    <cfRule type="cellIs" dxfId="324" priority="61" operator="equal">
      <formula>"Non"</formula>
    </cfRule>
    <cfRule type="cellIs" dxfId="323" priority="62" operator="equal">
      <formula>"Débité"</formula>
    </cfRule>
  </conditionalFormatting>
  <conditionalFormatting sqref="I1355:I1362 I1364:I1366">
    <cfRule type="cellIs" dxfId="322" priority="57" operator="equal">
      <formula>"A venir"</formula>
    </cfRule>
    <cfRule type="cellIs" dxfId="321" priority="58" operator="equal">
      <formula>"Non"</formula>
    </cfRule>
    <cfRule type="cellIs" dxfId="320" priority="59" operator="equal">
      <formula>"Débité"</formula>
    </cfRule>
  </conditionalFormatting>
  <conditionalFormatting sqref="I1363">
    <cfRule type="cellIs" dxfId="319" priority="54" operator="equal">
      <formula>"A venir"</formula>
    </cfRule>
    <cfRule type="cellIs" dxfId="318" priority="55" operator="equal">
      <formula>"Non"</formula>
    </cfRule>
    <cfRule type="cellIs" dxfId="317" priority="56" operator="equal">
      <formula>"Débité"</formula>
    </cfRule>
  </conditionalFormatting>
  <conditionalFormatting sqref="I1381">
    <cfRule type="cellIs" dxfId="316" priority="51" operator="equal">
      <formula>"A venir"</formula>
    </cfRule>
    <cfRule type="cellIs" dxfId="315" priority="52" operator="equal">
      <formula>"Non"</formula>
    </cfRule>
    <cfRule type="cellIs" dxfId="314" priority="53" operator="equal">
      <formula>"Débité"</formula>
    </cfRule>
  </conditionalFormatting>
  <conditionalFormatting sqref="G1381">
    <cfRule type="containsText" dxfId="313" priority="50" operator="containsText" text="Estim">
      <formula>NOT(ISERROR(SEARCH("Estim",G1381)))</formula>
    </cfRule>
  </conditionalFormatting>
  <conditionalFormatting sqref="I1312">
    <cfRule type="cellIs" dxfId="312" priority="47" operator="equal">
      <formula>"A venir"</formula>
    </cfRule>
    <cfRule type="cellIs" dxfId="311" priority="48" operator="equal">
      <formula>"Non"</formula>
    </cfRule>
    <cfRule type="cellIs" dxfId="310" priority="49" operator="equal">
      <formula>"Débité"</formula>
    </cfRule>
  </conditionalFormatting>
  <conditionalFormatting sqref="I1228">
    <cfRule type="cellIs" dxfId="309" priority="44" operator="equal">
      <formula>"A venir"</formula>
    </cfRule>
    <cfRule type="cellIs" dxfId="308" priority="45" operator="equal">
      <formula>"Non"</formula>
    </cfRule>
    <cfRule type="cellIs" dxfId="307" priority="46" operator="equal">
      <formula>"Débité"</formula>
    </cfRule>
  </conditionalFormatting>
  <conditionalFormatting sqref="I1368:I1369">
    <cfRule type="cellIs" dxfId="306" priority="41" operator="equal">
      <formula>"A venir"</formula>
    </cfRule>
    <cfRule type="cellIs" dxfId="305" priority="42" operator="equal">
      <formula>"Non"</formula>
    </cfRule>
    <cfRule type="cellIs" dxfId="304" priority="43" operator="equal">
      <formula>"Débité"</formula>
    </cfRule>
  </conditionalFormatting>
  <conditionalFormatting sqref="I1303">
    <cfRule type="cellIs" dxfId="303" priority="38" operator="equal">
      <formula>"A venir"</formula>
    </cfRule>
    <cfRule type="cellIs" dxfId="302" priority="39" operator="equal">
      <formula>"Non"</formula>
    </cfRule>
    <cfRule type="cellIs" dxfId="301" priority="40" operator="equal">
      <formula>"Débité"</formula>
    </cfRule>
  </conditionalFormatting>
  <conditionalFormatting sqref="I1304">
    <cfRule type="cellIs" dxfId="300" priority="35" operator="equal">
      <formula>"A venir"</formula>
    </cfRule>
    <cfRule type="cellIs" dxfId="299" priority="36" operator="equal">
      <formula>"Non"</formula>
    </cfRule>
    <cfRule type="cellIs" dxfId="298" priority="37" operator="equal">
      <formula>"Débité"</formula>
    </cfRule>
  </conditionalFormatting>
  <conditionalFormatting sqref="I1373">
    <cfRule type="cellIs" dxfId="297" priority="32" operator="equal">
      <formula>"A venir"</formula>
    </cfRule>
    <cfRule type="cellIs" dxfId="296" priority="33" operator="equal">
      <formula>"Non"</formula>
    </cfRule>
    <cfRule type="cellIs" dxfId="295" priority="34" operator="equal">
      <formula>"Débité"</formula>
    </cfRule>
  </conditionalFormatting>
  <conditionalFormatting sqref="I1374">
    <cfRule type="cellIs" dxfId="294" priority="29" operator="equal">
      <formula>"A venir"</formula>
    </cfRule>
    <cfRule type="cellIs" dxfId="293" priority="30" operator="equal">
      <formula>"Non"</formula>
    </cfRule>
    <cfRule type="cellIs" dxfId="292" priority="31" operator="equal">
      <formula>"Débité"</formula>
    </cfRule>
  </conditionalFormatting>
  <conditionalFormatting sqref="I1370">
    <cfRule type="cellIs" dxfId="291" priority="26" operator="equal">
      <formula>"A venir"</formula>
    </cfRule>
    <cfRule type="cellIs" dxfId="290" priority="27" operator="equal">
      <formula>"Non"</formula>
    </cfRule>
    <cfRule type="cellIs" dxfId="289" priority="28" operator="equal">
      <formula>"Débité"</formula>
    </cfRule>
  </conditionalFormatting>
  <conditionalFormatting sqref="I1161">
    <cfRule type="cellIs" dxfId="288" priority="23" operator="equal">
      <formula>"A venir"</formula>
    </cfRule>
    <cfRule type="cellIs" dxfId="287" priority="24" operator="equal">
      <formula>"Non"</formula>
    </cfRule>
    <cfRule type="cellIs" dxfId="286" priority="25" operator="equal">
      <formula>"Débité"</formula>
    </cfRule>
  </conditionalFormatting>
  <conditionalFormatting sqref="I1210">
    <cfRule type="cellIs" dxfId="285" priority="20" operator="equal">
      <formula>"A venir"</formula>
    </cfRule>
    <cfRule type="cellIs" dxfId="284" priority="21" operator="equal">
      <formula>"Non"</formula>
    </cfRule>
    <cfRule type="cellIs" dxfId="283" priority="22" operator="equal">
      <formula>"Débité"</formula>
    </cfRule>
  </conditionalFormatting>
  <conditionalFormatting sqref="I1209">
    <cfRule type="cellIs" dxfId="282" priority="17" operator="equal">
      <formula>"A venir"</formula>
    </cfRule>
    <cfRule type="cellIs" dxfId="281" priority="18" operator="equal">
      <formula>"Non"</formula>
    </cfRule>
    <cfRule type="cellIs" dxfId="280" priority="19" operator="equal">
      <formula>"Débité"</formula>
    </cfRule>
  </conditionalFormatting>
  <conditionalFormatting sqref="I1222">
    <cfRule type="cellIs" dxfId="279" priority="14" operator="equal">
      <formula>"A venir"</formula>
    </cfRule>
    <cfRule type="cellIs" dxfId="278" priority="15" operator="equal">
      <formula>"Non"</formula>
    </cfRule>
    <cfRule type="cellIs" dxfId="277" priority="16" operator="equal">
      <formula>"Débité"</formula>
    </cfRule>
  </conditionalFormatting>
  <conditionalFormatting sqref="I1384">
    <cfRule type="cellIs" dxfId="276" priority="11" operator="equal">
      <formula>"A venir"</formula>
    </cfRule>
    <cfRule type="cellIs" dxfId="275" priority="12" operator="equal">
      <formula>"Non"</formula>
    </cfRule>
    <cfRule type="cellIs" dxfId="274" priority="13" operator="equal">
      <formula>"Débité"</formula>
    </cfRule>
  </conditionalFormatting>
  <conditionalFormatting sqref="I1372">
    <cfRule type="cellIs" dxfId="273" priority="8" operator="equal">
      <formula>"A venir"</formula>
    </cfRule>
    <cfRule type="cellIs" dxfId="272" priority="9" operator="equal">
      <formula>"Non"</formula>
    </cfRule>
    <cfRule type="cellIs" dxfId="271" priority="10" operator="equal">
      <formula>"Débité"</formula>
    </cfRule>
  </conditionalFormatting>
  <conditionalFormatting sqref="I1237">
    <cfRule type="cellIs" dxfId="270" priority="5" operator="equal">
      <formula>"A venir"</formula>
    </cfRule>
    <cfRule type="cellIs" dxfId="269" priority="6" operator="equal">
      <formula>"Non"</formula>
    </cfRule>
    <cfRule type="cellIs" dxfId="268" priority="7" operator="equal">
      <formula>"Débité"</formula>
    </cfRule>
  </conditionalFormatting>
  <conditionalFormatting sqref="I999">
    <cfRule type="cellIs" dxfId="267" priority="2" operator="equal">
      <formula>"A venir"</formula>
    </cfRule>
    <cfRule type="cellIs" dxfId="266" priority="3" operator="equal">
      <formula>"Non"</formula>
    </cfRule>
    <cfRule type="cellIs" dxfId="265" priority="4" operator="equal">
      <formula>"Débité"</formula>
    </cfRule>
  </conditionalFormatting>
  <conditionalFormatting sqref="G999:H999">
    <cfRule type="containsText" dxfId="264" priority="1" operator="containsText" text="Estim">
      <formula>NOT(ISERROR(SEARCH("Estim",G999)))</formula>
    </cfRule>
  </conditionalFormatting>
  <hyperlinks>
    <hyperlink ref="C422" r:id="rId1" xr:uid="{8DE245EF-3257-43E9-82F1-59DA8257F70D}"/>
    <hyperlink ref="C594" r:id="rId2" xr:uid="{4E476CC3-3DC1-414D-8ABE-EE35B2CFD8FE}"/>
    <hyperlink ref="C511" r:id="rId3" xr:uid="{99B92655-4584-4662-B253-7D7D2A2FAA13}"/>
    <hyperlink ref="C562:C564" r:id="rId4" display="Fact Fioul 890520079" xr:uid="{FE6F1531-BD8B-46ED-8BA9-F83AB7D73B44}"/>
    <hyperlink ref="C666" r:id="rId5" xr:uid="{9C595F8F-425F-424A-8ECA-DDE85AEB2807}"/>
    <hyperlink ref="C623" r:id="rId6" xr:uid="{41AE7CDB-F4DF-457F-98E7-FAFBBE47EA6D}"/>
    <hyperlink ref="C658" r:id="rId7" xr:uid="{649D4691-071A-4573-9F35-7726598404BF}"/>
    <hyperlink ref="C659" r:id="rId8" xr:uid="{B5ACDA82-6760-4526-9363-7582F259CAEA}"/>
    <hyperlink ref="C633" r:id="rId9" display="Intermarché 37,27 Carte Lio" xr:uid="{753C99B8-5915-4A1C-893E-EF1A2AF6DEA6}"/>
    <hyperlink ref="C576" r:id="rId10" xr:uid="{6A408CE9-0081-4C81-8C9F-EE0659D7E2E4}"/>
    <hyperlink ref="C667" r:id="rId11" xr:uid="{4F66966A-287C-495C-A6CC-3F5CC7E3871B}"/>
    <hyperlink ref="C767:C768" r:id="rId12" display="CM 05042019 76.17 € Carte Lio" xr:uid="{D3660D8C-A9B0-45AB-A238-5E000ECDFCFF}"/>
    <hyperlink ref="C771:C779" r:id="rId13" display="Ass Arona Echéancier" xr:uid="{DCB9823D-00BD-447A-A598-C19400DD1951}"/>
    <hyperlink ref="C702" r:id="rId14" xr:uid="{1D5738CA-0F99-414E-B270-663F4086C550}"/>
    <hyperlink ref="C712" r:id="rId15" xr:uid="{D95F0AD6-99E2-436C-83D0-D5C486989C9D}"/>
    <hyperlink ref="C807:C809" r:id="rId16" display="20190412 Carte Vivi CM 39,74 €" xr:uid="{B35FAFF6-EB4C-4215-BC8F-45ABCF9DBB72}"/>
    <hyperlink ref="C781:C783" r:id="rId17" display="Inter 141,94 € 12/04" xr:uid="{6BF94409-EEF3-40C2-B953-522F50705980}"/>
    <hyperlink ref="C810:C813" r:id="rId18" display="20190410 Carte Vivi Aldi 78,26 €" xr:uid="{0D0A0E8B-DA40-4BCB-9911-221943E3A004}"/>
    <hyperlink ref="C814:C816" r:id="rId19" display="20190408 Carte Vivi CM 41,11€" xr:uid="{94592126-E7C2-4EE2-9C1C-78B5EC6C0AB6}"/>
    <hyperlink ref="C817:C819" r:id="rId20" display="20190409 Carte Vivi CM 75,56 €" xr:uid="{0EB7C98F-EFE1-42EC-BBAF-13D27DDE8FB3}"/>
    <hyperlink ref="C742" r:id="rId21" display="20190415 Carte 6063 Inter 17.48 €" xr:uid="{1DECAA6D-D3AB-4B04-9A4E-7DC85C846372}"/>
    <hyperlink ref="C328:C330" r:id="rId22" display="20190412 Carte Vivi CM 39,72 €" xr:uid="{24821FDF-730A-4007-918C-76038790EC1E}"/>
    <hyperlink ref="C753" r:id="rId23" xr:uid="{5C91D593-007F-4293-A33E-D84DF1A88F81}"/>
    <hyperlink ref="C771" r:id="rId24" xr:uid="{59809E8D-FCD1-4D74-B579-EFD38EAF0024}"/>
    <hyperlink ref="C812" r:id="rId25" xr:uid="{F3E76541-3663-4038-B346-CE753C6A7BC0}"/>
    <hyperlink ref="C813" r:id="rId26" xr:uid="{4715C896-0752-4F49-924E-41D3F6BCAF83}"/>
    <hyperlink ref="C764" r:id="rId27" xr:uid="{4205E845-45F2-4F43-A62C-565ACA41A918}"/>
    <hyperlink ref="C762" r:id="rId28" xr:uid="{49092F5E-5947-4FAE-A744-9058367F5A75}"/>
    <hyperlink ref="C772" r:id="rId29" xr:uid="{48714855-623E-4DC0-86B7-D598286B127A}"/>
    <hyperlink ref="C757" r:id="rId30" xr:uid="{F22836AF-BC10-4E57-AA81-A658DC2F3130}"/>
    <hyperlink ref="C741" r:id="rId31" xr:uid="{854F916C-86F6-4BBD-8A84-EFB42CE45967}"/>
    <hyperlink ref="C697" r:id="rId32" xr:uid="{CF7F4A4B-4AAA-419C-AEBF-D067FC0F982A}"/>
    <hyperlink ref="C729" r:id="rId33" xr:uid="{B405A36E-641C-45AE-BCE5-2138D0C2D94B}"/>
    <hyperlink ref="C956" r:id="rId34" xr:uid="{CB8E8E13-E6E4-4970-A6DA-D9D8482AF38C}"/>
    <hyperlink ref="C1057" r:id="rId35" xr:uid="{B1673F88-5D66-4A6A-95A5-B5F7675A6A42}"/>
    <hyperlink ref="C1111" r:id="rId36" xr:uid="{9D77DED3-64D6-45D7-B746-E9D6029A39D6}"/>
    <hyperlink ref="C1165" r:id="rId37" xr:uid="{15CD569F-2488-4496-B0FE-73CA8C226884}"/>
    <hyperlink ref="C1219" r:id="rId38" xr:uid="{93874928-D122-4DA8-AAE2-7C888F0F0203}"/>
    <hyperlink ref="C1273" r:id="rId39" xr:uid="{9ED560ED-89A7-49C2-AD2A-3814F0DA9F1C}"/>
    <hyperlink ref="C1327" r:id="rId40" xr:uid="{9D1F9DA0-90EA-43FC-A247-7EE03DD16EA2}"/>
    <hyperlink ref="C1381" r:id="rId41" xr:uid="{13FEC87E-A129-49B2-81BA-26E7A5BE9E02}"/>
    <hyperlink ref="C767" r:id="rId42" xr:uid="{C59D0B62-BDA8-4433-9B63-CD4C00F177C1}"/>
    <hyperlink ref="C785" r:id="rId43" xr:uid="{AD8EE989-CF0B-454F-8B39-B1CF42E0C221}"/>
    <hyperlink ref="C766" r:id="rId44" xr:uid="{A60EB622-CAC9-492F-95AF-32DCF2921110}"/>
    <hyperlink ref="C768" r:id="rId45" xr:uid="{0C555C20-0CB5-42EF-98B5-AE90EF0DB995}"/>
    <hyperlink ref="C769" r:id="rId46" xr:uid="{74181B35-89C1-423B-BE8C-2AC15309BEDF}"/>
    <hyperlink ref="C749" r:id="rId47" xr:uid="{78E2C98A-32FC-478B-973A-374DACEB0E99}"/>
    <hyperlink ref="C778" r:id="rId48" xr:uid="{BEF2314A-6680-4A85-BE13-A24840E698C6}"/>
    <hyperlink ref="C789" r:id="rId49" xr:uid="{D8A16FAA-06AE-42D5-B7FD-4EEE3F2BBBE2}"/>
    <hyperlink ref="C844:C846" r:id="rId50" display="20190416 Carrefour Carte 8309 75.85 €" xr:uid="{820E6224-ECDA-4382-BFF9-AC165D2F30C3}"/>
    <hyperlink ref="C790" r:id="rId51" xr:uid="{539FFE2F-4519-4C05-8CCB-121A3E2838F0}"/>
    <hyperlink ref="C791" r:id="rId52" xr:uid="{33B7820F-5942-4780-92B5-0F32AC8A5B80}"/>
    <hyperlink ref="C814" r:id="rId53" xr:uid="{608C8412-88E8-4765-BFD3-FFE398AB435E}"/>
    <hyperlink ref="C815" r:id="rId54" xr:uid="{F111FA45-0739-4687-ABFD-8982C29885AE}"/>
    <hyperlink ref="C797" r:id="rId55" xr:uid="{1CE768C8-45FE-4513-9D4E-14F268A0EE12}"/>
    <hyperlink ref="C796" r:id="rId56" xr:uid="{F0962F30-5D10-4917-8B86-C3D8A2A0A759}"/>
    <hyperlink ref="C842" r:id="rId57" xr:uid="{DD603997-C779-4D6B-9280-1319BDDFA653}"/>
    <hyperlink ref="C834" r:id="rId58" xr:uid="{6502270E-41D0-4F07-94D6-1B7A428AEECE}"/>
    <hyperlink ref="C832" r:id="rId59" xr:uid="{68EE120A-D208-463B-BB53-DCCB992F264D}"/>
    <hyperlink ref="C833" r:id="rId60" xr:uid="{09BADF12-07A1-4ADA-A947-25E58A8A4E66}"/>
    <hyperlink ref="C841" r:id="rId61" xr:uid="{6EAB48F0-CF52-418C-8101-6CDA8A587374}"/>
    <hyperlink ref="C817" r:id="rId62" xr:uid="{E1CB9607-5527-492D-B882-0150D03CD236}"/>
    <hyperlink ref="C818" r:id="rId63" xr:uid="{4B5A7619-237B-404E-8A04-6C723DC76D64}"/>
    <hyperlink ref="C819" r:id="rId64" xr:uid="{C4DC0441-63A1-4854-A984-A1FEE99A3A42}"/>
    <hyperlink ref="C794" r:id="rId65" xr:uid="{A03C6D2B-13FB-4CCD-B399-FD56E44ED8F2}"/>
    <hyperlink ref="C840" r:id="rId66" xr:uid="{2387A57B-A106-41FC-8E80-A9609AE4D711}"/>
    <hyperlink ref="C795" r:id="rId67" xr:uid="{AB6AC468-E4CB-40EA-9F06-9CC550D6C182}"/>
    <hyperlink ref="C853" r:id="rId68" xr:uid="{1C7ED37A-7E0A-4A47-AEA7-23F30C2407EE}"/>
    <hyperlink ref="C984" r:id="rId69" xr:uid="{337CF727-3496-4CB2-B986-1FDD04A207DC}"/>
    <hyperlink ref="C857" r:id="rId70" xr:uid="{C7F34284-B4D9-408D-B310-7DCFBEED6E8D}"/>
    <hyperlink ref="C892:C893" r:id="rId71" display="20190503 8309 Inter 56.47 €" xr:uid="{BF276F2D-086D-44BF-A7EA-C94F49163C0E}"/>
    <hyperlink ref="C894:C895" r:id="rId72" display="20190504 6063 Inter 17.70 €" xr:uid="{5DC2340C-F8F9-4F44-9C63-3C5AB2390E3B}"/>
    <hyperlink ref="C899:C900" r:id="rId73" display="PS AMAZON -49,99" xr:uid="{05260551-98D3-4C7D-810E-5C64ED5DE079}"/>
    <hyperlink ref="C901:C902" r:id="rId74" display="PS AMAZON -26,33 Ou -41,17" xr:uid="{E81C9F21-8F12-4864-9C44-2DBE7165799A}"/>
    <hyperlink ref="C909" r:id="rId75" xr:uid="{F06A5AF9-B9D2-460B-9B3C-72CDA43D034B}"/>
    <hyperlink ref="C883" r:id="rId76" xr:uid="{3D7D70A3-AAF2-4DEC-A69D-885909BEF92D}"/>
    <hyperlink ref="C905:C906" r:id="rId77" display="20190502 6063 Gulf Bonbons_Clopes 11.75 €" xr:uid="{DACFE383-A45B-4CD0-B871-368F4496FD46}"/>
    <hyperlink ref="C907:C908" r:id="rId78" display="20190502 6063 Total Bonbons_Plein KA+ 27.04 €" xr:uid="{04ECB4E0-3612-4616-8C4A-7F97C1A23076}"/>
    <hyperlink ref="C875" r:id="rId79" xr:uid="{D0925040-A6DA-45CE-A1D2-EA07117E0C2A}"/>
    <hyperlink ref="C910:C911" r:id="rId80" display="20190507 8309 CM Rettel Courses_Alcool 42.12 €" xr:uid="{062CEF30-B21D-4737-B77F-07166ED63004}"/>
    <hyperlink ref="C896" r:id="rId81" xr:uid="{D28A92E3-11A4-4C14-801D-20862DAC625A}"/>
    <hyperlink ref="C940:C941" r:id="rId82" display="20190514 8309 Inter 57.17 €" xr:uid="{BB27AFEC-8411-4181-919D-1BC5854F8F19}"/>
    <hyperlink ref="C942:C943" r:id="rId83" display="20190515 8309 CMRettel 59.47 €" xr:uid="{510A694D-EBFA-448E-BE4A-2946D5A4CAF7}"/>
    <hyperlink ref="C1036" r:id="rId84" xr:uid="{8EDA147C-2C33-43CF-931A-F42C18EB9411}"/>
    <hyperlink ref="C945:C946" r:id="rId85" display="20190517 8309 Inter 68.77 €" xr:uid="{22B57DEE-1B8B-4F63-985C-F214EC5F33DE}"/>
    <hyperlink ref="C12" r:id="rId86" display="..\Factures Ticket caisse\20181203 Facture Fioul 883450003.pdf" xr:uid="{AA25FA6A-BE0E-4255-9F70-0A519096462E}"/>
    <hyperlink ref="C4" r:id="rId87" display="..\Factures Ticket caisse\20181203 Facture Fioul 883450003.pdf" xr:uid="{2E33EEC5-A36D-4A50-9575-35594E76A232}"/>
    <hyperlink ref="C32" r:id="rId88" xr:uid="{C94D6C63-CB6A-40A2-BE77-425FCBA4C756}"/>
    <hyperlink ref="C85" r:id="rId89" xr:uid="{2D8624D5-2E1F-4D8D-80E0-2100D15E367D}"/>
    <hyperlink ref="C114" r:id="rId90" display="..\Santé\Releve_de_remboursement_114630108 PDS Malone.pdf" xr:uid="{1199C09F-C4FD-44B7-93EA-6073CE8D81A1}"/>
    <hyperlink ref="C188" r:id="rId91" xr:uid="{098BBE81-45D6-42AD-910D-9149A44AF354}"/>
    <hyperlink ref="C300" r:id="rId92" xr:uid="{A15656FD-A74C-496A-9E47-9F1FDA908DC2}"/>
  </hyperlinks>
  <pageMargins left="0.7" right="0.7" top="0.75" bottom="0.75" header="0.3" footer="0.3"/>
  <pageSetup paperSize="9" orientation="portrait" horizontalDpi="4294967293" verticalDpi="0" r:id="rId93"/>
  <drawing r:id="rId94"/>
  <legacyDrawing r:id="rId95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2" r:id="rId96" name="Button 4">
              <controlPr defaultSize="0" print="0" autoFill="0" autoPict="0" macro="[0]!lancerFormulaire">
                <anchor moveWithCells="1" sizeWithCells="1">
                  <from>
                    <xdr:col>12</xdr:col>
                    <xdr:colOff>28575</xdr:colOff>
                    <xdr:row>0</xdr:row>
                    <xdr:rowOff>0</xdr:rowOff>
                  </from>
                  <to>
                    <xdr:col>14</xdr:col>
                    <xdr:colOff>628650</xdr:colOff>
                    <xdr:row>0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3" r:id="rId97" name="Button 5">
              <controlPr defaultSize="0" print="0" autoFill="0" autoPict="0" macro="[0]!lancerFormulaire">
                <anchor moveWithCells="1" sizeWithCells="1">
                  <from>
                    <xdr:col>12</xdr:col>
                    <xdr:colOff>28575</xdr:colOff>
                    <xdr:row>991</xdr:row>
                    <xdr:rowOff>0</xdr:rowOff>
                  </from>
                  <to>
                    <xdr:col>14</xdr:col>
                    <xdr:colOff>628650</xdr:colOff>
                    <xdr:row>992</xdr:row>
                    <xdr:rowOff>171450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B2556CE0-53B1-4BA9-A8C6-B6EEE2BEA1C5}">
          <x14:formula1>
            <xm:f>'C:\Users\CD3Fr\OneDrive\Desktop\Fichiers Persos\Comptes\[Cpte 2018.xlsx]Listes'!#REF!</xm:f>
          </x14:formula1>
          <xm:sqref>A51:A61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BA3A117-AA5A-4104-8C7D-37386778F238}">
  <sheetPr codeName="Feuil3"/>
  <dimension ref="A1:E290"/>
  <sheetViews>
    <sheetView workbookViewId="0">
      <selection activeCell="B13" sqref="B13"/>
    </sheetView>
  </sheetViews>
  <sheetFormatPr baseColWidth="10" defaultRowHeight="11.25" x14ac:dyDescent="0.2"/>
  <cols>
    <col min="1" max="1" width="24.33203125" customWidth="1"/>
    <col min="2" max="2" width="33" bestFit="1" customWidth="1"/>
    <col min="3" max="3" width="19.33203125" bestFit="1" customWidth="1"/>
    <col min="4" max="4" width="23.83203125" bestFit="1" customWidth="1"/>
  </cols>
  <sheetData>
    <row r="1" spans="1:5" x14ac:dyDescent="0.2">
      <c r="A1" s="12" t="s">
        <v>1221</v>
      </c>
      <c r="B1" s="12" t="s">
        <v>1226</v>
      </c>
      <c r="C1" s="12" t="s">
        <v>597</v>
      </c>
      <c r="D1" s="12" t="s">
        <v>1225</v>
      </c>
      <c r="E1" s="13" t="s">
        <v>1415</v>
      </c>
    </row>
    <row r="2" spans="1:5" x14ac:dyDescent="0.2">
      <c r="A2" t="s">
        <v>481</v>
      </c>
      <c r="B2" t="s">
        <v>292</v>
      </c>
      <c r="C2" t="s">
        <v>77</v>
      </c>
      <c r="D2" t="s">
        <v>172</v>
      </c>
      <c r="E2" t="s">
        <v>7</v>
      </c>
    </row>
    <row r="3" spans="1:5" x14ac:dyDescent="0.2">
      <c r="A3" t="s">
        <v>8</v>
      </c>
      <c r="B3" t="s">
        <v>1231</v>
      </c>
      <c r="C3" t="s">
        <v>94</v>
      </c>
      <c r="D3" t="s">
        <v>49</v>
      </c>
      <c r="E3" t="s">
        <v>885</v>
      </c>
    </row>
    <row r="4" spans="1:5" x14ac:dyDescent="0.2">
      <c r="A4" t="s">
        <v>3</v>
      </c>
      <c r="B4" t="s">
        <v>223</v>
      </c>
      <c r="C4" t="s">
        <v>69</v>
      </c>
      <c r="D4" t="s">
        <v>144</v>
      </c>
      <c r="E4" t="s">
        <v>1232</v>
      </c>
    </row>
    <row r="5" spans="1:5" x14ac:dyDescent="0.2">
      <c r="B5" t="s">
        <v>274</v>
      </c>
    </row>
    <row r="6" spans="1:5" x14ac:dyDescent="0.2">
      <c r="A6" t="s">
        <v>109</v>
      </c>
      <c r="B6" t="s">
        <v>26</v>
      </c>
      <c r="C6" t="s">
        <v>108</v>
      </c>
      <c r="D6" t="s">
        <v>127</v>
      </c>
      <c r="E6" t="s">
        <v>621</v>
      </c>
    </row>
    <row r="7" spans="1:5" x14ac:dyDescent="0.2">
      <c r="A7" t="s">
        <v>77</v>
      </c>
      <c r="B7" t="s">
        <v>37</v>
      </c>
      <c r="C7" t="s">
        <v>658</v>
      </c>
      <c r="D7" t="s">
        <v>1233</v>
      </c>
      <c r="E7" t="s">
        <v>77</v>
      </c>
    </row>
    <row r="8" spans="1:5" x14ac:dyDescent="0.2">
      <c r="A8" t="s">
        <v>122</v>
      </c>
      <c r="B8" t="s">
        <v>14</v>
      </c>
      <c r="C8" t="s">
        <v>660</v>
      </c>
      <c r="D8" t="s">
        <v>158</v>
      </c>
    </row>
    <row r="9" spans="1:5" x14ac:dyDescent="0.2">
      <c r="A9" t="s">
        <v>287</v>
      </c>
      <c r="B9" t="s">
        <v>166</v>
      </c>
      <c r="C9" t="s">
        <v>75</v>
      </c>
      <c r="D9" t="s">
        <v>28</v>
      </c>
    </row>
    <row r="10" spans="1:5" x14ac:dyDescent="0.2">
      <c r="A10" t="s">
        <v>113</v>
      </c>
      <c r="B10" t="s">
        <v>141</v>
      </c>
      <c r="C10" t="s">
        <v>83</v>
      </c>
      <c r="D10" t="s">
        <v>19</v>
      </c>
    </row>
    <row r="11" spans="1:5" x14ac:dyDescent="0.2">
      <c r="A11" t="s">
        <v>70</v>
      </c>
      <c r="B11" t="s">
        <v>1234</v>
      </c>
      <c r="C11" t="s">
        <v>90</v>
      </c>
      <c r="D11" t="s">
        <v>263</v>
      </c>
    </row>
    <row r="12" spans="1:5" x14ac:dyDescent="0.2">
      <c r="A12" t="s">
        <v>137</v>
      </c>
      <c r="B12" t="s">
        <v>514</v>
      </c>
      <c r="C12" t="s">
        <v>88</v>
      </c>
      <c r="D12" t="s">
        <v>63</v>
      </c>
    </row>
    <row r="13" spans="1:5" x14ac:dyDescent="0.2">
      <c r="A13" t="s">
        <v>84</v>
      </c>
      <c r="B13" t="s">
        <v>1235</v>
      </c>
      <c r="C13" t="s">
        <v>91</v>
      </c>
      <c r="D13" t="s">
        <v>254</v>
      </c>
    </row>
    <row r="14" spans="1:5" x14ac:dyDescent="0.2">
      <c r="B14" t="s">
        <v>259</v>
      </c>
    </row>
    <row r="15" spans="1:5" x14ac:dyDescent="0.2">
      <c r="A15" t="s">
        <v>1236</v>
      </c>
      <c r="B15" t="s">
        <v>1237</v>
      </c>
      <c r="C15" t="s">
        <v>2</v>
      </c>
      <c r="D15" t="s">
        <v>21</v>
      </c>
    </row>
    <row r="16" spans="1:5" x14ac:dyDescent="0.2">
      <c r="A16" t="s">
        <v>1238</v>
      </c>
      <c r="B16" t="s">
        <v>230</v>
      </c>
      <c r="C16" t="s">
        <v>89</v>
      </c>
      <c r="D16" t="s">
        <v>5</v>
      </c>
    </row>
    <row r="17" spans="1:4" x14ac:dyDescent="0.2">
      <c r="A17" t="s">
        <v>774</v>
      </c>
      <c r="B17" t="s">
        <v>1239</v>
      </c>
      <c r="C17" t="s">
        <v>92</v>
      </c>
      <c r="D17" t="s">
        <v>1240</v>
      </c>
    </row>
    <row r="18" spans="1:4" x14ac:dyDescent="0.2">
      <c r="B18" t="s">
        <v>1241</v>
      </c>
      <c r="D18" t="s">
        <v>533</v>
      </c>
    </row>
    <row r="19" spans="1:4" x14ac:dyDescent="0.2">
      <c r="B19" t="s">
        <v>40</v>
      </c>
      <c r="D19" t="s">
        <v>162</v>
      </c>
    </row>
    <row r="20" spans="1:4" x14ac:dyDescent="0.2">
      <c r="B20" t="s">
        <v>194</v>
      </c>
      <c r="D20" t="s">
        <v>457</v>
      </c>
    </row>
    <row r="21" spans="1:4" x14ac:dyDescent="0.2">
      <c r="B21" t="s">
        <v>1242</v>
      </c>
      <c r="D21" t="s">
        <v>79</v>
      </c>
    </row>
    <row r="22" spans="1:4" x14ac:dyDescent="0.2">
      <c r="B22" t="s">
        <v>1243</v>
      </c>
      <c r="D22" t="s">
        <v>318</v>
      </c>
    </row>
    <row r="23" spans="1:4" x14ac:dyDescent="0.2">
      <c r="B23" t="s">
        <v>152</v>
      </c>
      <c r="D23" t="s">
        <v>60</v>
      </c>
    </row>
    <row r="24" spans="1:4" x14ac:dyDescent="0.2">
      <c r="B24" t="s">
        <v>1244</v>
      </c>
      <c r="D24" t="s">
        <v>76</v>
      </c>
    </row>
    <row r="25" spans="1:4" x14ac:dyDescent="0.2">
      <c r="B25" t="s">
        <v>708</v>
      </c>
      <c r="D25" t="s">
        <v>270</v>
      </c>
    </row>
    <row r="26" spans="1:4" x14ac:dyDescent="0.2">
      <c r="B26" t="s">
        <v>74</v>
      </c>
      <c r="D26" t="s">
        <v>118</v>
      </c>
    </row>
    <row r="27" spans="1:4" x14ac:dyDescent="0.2">
      <c r="B27" t="s">
        <v>87</v>
      </c>
      <c r="D27" t="s">
        <v>86</v>
      </c>
    </row>
    <row r="28" spans="1:4" x14ac:dyDescent="0.2">
      <c r="B28" t="s">
        <v>1245</v>
      </c>
      <c r="D28" t="s">
        <v>1246</v>
      </c>
    </row>
    <row r="29" spans="1:4" x14ac:dyDescent="0.2">
      <c r="B29" t="s">
        <v>31</v>
      </c>
      <c r="D29" t="s">
        <v>134</v>
      </c>
    </row>
    <row r="30" spans="1:4" x14ac:dyDescent="0.2">
      <c r="B30" t="s">
        <v>1247</v>
      </c>
      <c r="D30" t="s">
        <v>16</v>
      </c>
    </row>
    <row r="31" spans="1:4" x14ac:dyDescent="0.2">
      <c r="B31" t="s">
        <v>1248</v>
      </c>
      <c r="D31" t="s">
        <v>115</v>
      </c>
    </row>
    <row r="32" spans="1:4" x14ac:dyDescent="0.2">
      <c r="B32" t="s">
        <v>773</v>
      </c>
      <c r="D32" t="s">
        <v>73</v>
      </c>
    </row>
    <row r="33" spans="2:4" x14ac:dyDescent="0.2">
      <c r="B33" t="s">
        <v>556</v>
      </c>
      <c r="D33" t="s">
        <v>103</v>
      </c>
    </row>
    <row r="34" spans="2:4" x14ac:dyDescent="0.2">
      <c r="B34" t="s">
        <v>1249</v>
      </c>
      <c r="D34" t="s">
        <v>25</v>
      </c>
    </row>
    <row r="35" spans="2:4" x14ac:dyDescent="0.2">
      <c r="B35" t="s">
        <v>1250</v>
      </c>
      <c r="D35" t="s">
        <v>199</v>
      </c>
    </row>
    <row r="36" spans="2:4" x14ac:dyDescent="0.2">
      <c r="B36" t="s">
        <v>1251</v>
      </c>
      <c r="D36" t="s">
        <v>111</v>
      </c>
    </row>
    <row r="37" spans="2:4" x14ac:dyDescent="0.2">
      <c r="B37" t="s">
        <v>1252</v>
      </c>
      <c r="D37" t="s">
        <v>229</v>
      </c>
    </row>
    <row r="38" spans="2:4" x14ac:dyDescent="0.2">
      <c r="B38" t="s">
        <v>1253</v>
      </c>
      <c r="D38" t="s">
        <v>106</v>
      </c>
    </row>
    <row r="39" spans="2:4" x14ac:dyDescent="0.2">
      <c r="B39" t="s">
        <v>301</v>
      </c>
      <c r="D39" t="s">
        <v>328</v>
      </c>
    </row>
    <row r="40" spans="2:4" x14ac:dyDescent="0.2">
      <c r="B40" t="s">
        <v>1254</v>
      </c>
      <c r="D40" t="s">
        <v>244</v>
      </c>
    </row>
    <row r="41" spans="2:4" x14ac:dyDescent="0.2">
      <c r="B41" t="s">
        <v>1255</v>
      </c>
      <c r="D41" t="s">
        <v>10</v>
      </c>
    </row>
    <row r="42" spans="2:4" x14ac:dyDescent="0.2">
      <c r="B42" t="s">
        <v>1256</v>
      </c>
      <c r="D42" t="s">
        <v>336</v>
      </c>
    </row>
    <row r="43" spans="2:4" x14ac:dyDescent="0.2">
      <c r="B43" t="s">
        <v>1257</v>
      </c>
      <c r="D43" t="s">
        <v>52</v>
      </c>
    </row>
    <row r="44" spans="2:4" x14ac:dyDescent="0.2">
      <c r="B44" t="s">
        <v>1258</v>
      </c>
      <c r="D44" t="s">
        <v>307</v>
      </c>
    </row>
    <row r="45" spans="2:4" x14ac:dyDescent="0.2">
      <c r="B45" t="s">
        <v>348</v>
      </c>
    </row>
    <row r="46" spans="2:4" x14ac:dyDescent="0.2">
      <c r="B46" t="s">
        <v>260</v>
      </c>
      <c r="D46" t="s">
        <v>39</v>
      </c>
    </row>
    <row r="47" spans="2:4" x14ac:dyDescent="0.2">
      <c r="B47" t="s">
        <v>2</v>
      </c>
    </row>
    <row r="48" spans="2:4" x14ac:dyDescent="0.2">
      <c r="B48" t="s">
        <v>77</v>
      </c>
      <c r="D48" t="s">
        <v>459</v>
      </c>
    </row>
    <row r="49" spans="2:2" x14ac:dyDescent="0.2">
      <c r="B49" t="s">
        <v>271</v>
      </c>
    </row>
    <row r="50" spans="2:2" x14ac:dyDescent="0.2">
      <c r="B50" t="s">
        <v>1259</v>
      </c>
    </row>
    <row r="51" spans="2:2" x14ac:dyDescent="0.2">
      <c r="B51" t="s">
        <v>257</v>
      </c>
    </row>
    <row r="52" spans="2:2" x14ac:dyDescent="0.2">
      <c r="B52" t="s">
        <v>29</v>
      </c>
    </row>
    <row r="53" spans="2:2" x14ac:dyDescent="0.2">
      <c r="B53" t="s">
        <v>1260</v>
      </c>
    </row>
    <row r="54" spans="2:2" x14ac:dyDescent="0.2">
      <c r="B54" t="s">
        <v>241</v>
      </c>
    </row>
    <row r="55" spans="2:2" x14ac:dyDescent="0.2">
      <c r="B55" t="s">
        <v>1261</v>
      </c>
    </row>
    <row r="56" spans="2:2" x14ac:dyDescent="0.2">
      <c r="B56" t="s">
        <v>1262</v>
      </c>
    </row>
    <row r="57" spans="2:2" x14ac:dyDescent="0.2">
      <c r="B57" t="s">
        <v>1263</v>
      </c>
    </row>
    <row r="58" spans="2:2" x14ac:dyDescent="0.2">
      <c r="B58" t="s">
        <v>1264</v>
      </c>
    </row>
    <row r="59" spans="2:2" x14ac:dyDescent="0.2">
      <c r="B59" t="s">
        <v>1265</v>
      </c>
    </row>
    <row r="60" spans="2:2" x14ac:dyDescent="0.2">
      <c r="B60" t="s">
        <v>6</v>
      </c>
    </row>
    <row r="61" spans="2:2" x14ac:dyDescent="0.2">
      <c r="B61" t="s">
        <v>1266</v>
      </c>
    </row>
    <row r="62" spans="2:2" x14ac:dyDescent="0.2">
      <c r="B62" t="s">
        <v>1267</v>
      </c>
    </row>
    <row r="63" spans="2:2" x14ac:dyDescent="0.2">
      <c r="B63" t="s">
        <v>1268</v>
      </c>
    </row>
    <row r="64" spans="2:2" x14ac:dyDescent="0.2">
      <c r="B64" t="s">
        <v>1269</v>
      </c>
    </row>
    <row r="65" spans="2:2" x14ac:dyDescent="0.2">
      <c r="B65" t="s">
        <v>1270</v>
      </c>
    </row>
    <row r="66" spans="2:2" x14ac:dyDescent="0.2">
      <c r="B66" t="s">
        <v>196</v>
      </c>
    </row>
    <row r="67" spans="2:2" x14ac:dyDescent="0.2">
      <c r="B67" t="s">
        <v>1271</v>
      </c>
    </row>
    <row r="68" spans="2:2" x14ac:dyDescent="0.2">
      <c r="B68" t="s">
        <v>145</v>
      </c>
    </row>
    <row r="69" spans="2:2" x14ac:dyDescent="0.2">
      <c r="B69" t="s">
        <v>1272</v>
      </c>
    </row>
    <row r="70" spans="2:2" x14ac:dyDescent="0.2">
      <c r="B70" t="s">
        <v>1273</v>
      </c>
    </row>
    <row r="71" spans="2:2" x14ac:dyDescent="0.2">
      <c r="B71" t="s">
        <v>639</v>
      </c>
    </row>
    <row r="72" spans="2:2" x14ac:dyDescent="0.2">
      <c r="B72" t="s">
        <v>61</v>
      </c>
    </row>
    <row r="73" spans="2:2" x14ac:dyDescent="0.2">
      <c r="B73" t="s">
        <v>326</v>
      </c>
    </row>
    <row r="74" spans="2:2" x14ac:dyDescent="0.2">
      <c r="B74" t="s">
        <v>1274</v>
      </c>
    </row>
    <row r="75" spans="2:2" x14ac:dyDescent="0.2">
      <c r="B75" t="s">
        <v>215</v>
      </c>
    </row>
    <row r="76" spans="2:2" x14ac:dyDescent="0.2">
      <c r="B76" t="s">
        <v>50</v>
      </c>
    </row>
    <row r="77" spans="2:2" x14ac:dyDescent="0.2">
      <c r="B77" t="s">
        <v>258</v>
      </c>
    </row>
    <row r="78" spans="2:2" x14ac:dyDescent="0.2">
      <c r="B78" t="s">
        <v>1275</v>
      </c>
    </row>
    <row r="79" spans="2:2" x14ac:dyDescent="0.2">
      <c r="B79" t="s">
        <v>474</v>
      </c>
    </row>
    <row r="80" spans="2:2" x14ac:dyDescent="0.2">
      <c r="B80" t="s">
        <v>1276</v>
      </c>
    </row>
    <row r="81" spans="2:2" x14ac:dyDescent="0.2">
      <c r="B81" t="s">
        <v>1277</v>
      </c>
    </row>
    <row r="82" spans="2:2" x14ac:dyDescent="0.2">
      <c r="B82" t="s">
        <v>237</v>
      </c>
    </row>
    <row r="83" spans="2:2" x14ac:dyDescent="0.2">
      <c r="B83" t="s">
        <v>893</v>
      </c>
    </row>
    <row r="84" spans="2:2" x14ac:dyDescent="0.2">
      <c r="B84" t="s">
        <v>324</v>
      </c>
    </row>
    <row r="85" spans="2:2" x14ac:dyDescent="0.2">
      <c r="B85" t="s">
        <v>1278</v>
      </c>
    </row>
    <row r="86" spans="2:2" x14ac:dyDescent="0.2">
      <c r="B86" t="s">
        <v>1279</v>
      </c>
    </row>
    <row r="87" spans="2:2" x14ac:dyDescent="0.2">
      <c r="B87" t="s">
        <v>55</v>
      </c>
    </row>
    <row r="88" spans="2:2" x14ac:dyDescent="0.2">
      <c r="B88" t="s">
        <v>1280</v>
      </c>
    </row>
    <row r="89" spans="2:2" x14ac:dyDescent="0.2">
      <c r="B89" t="s">
        <v>319</v>
      </c>
    </row>
    <row r="90" spans="2:2" x14ac:dyDescent="0.2">
      <c r="B90" t="s">
        <v>1281</v>
      </c>
    </row>
    <row r="91" spans="2:2" x14ac:dyDescent="0.2">
      <c r="B91" t="s">
        <v>1282</v>
      </c>
    </row>
    <row r="92" spans="2:2" x14ac:dyDescent="0.2">
      <c r="B92" t="s">
        <v>51</v>
      </c>
    </row>
    <row r="93" spans="2:2" x14ac:dyDescent="0.2">
      <c r="B93" t="s">
        <v>1283</v>
      </c>
    </row>
    <row r="94" spans="2:2" x14ac:dyDescent="0.2">
      <c r="B94" t="s">
        <v>315</v>
      </c>
    </row>
    <row r="95" spans="2:2" x14ac:dyDescent="0.2">
      <c r="B95" t="s">
        <v>11</v>
      </c>
    </row>
    <row r="96" spans="2:2" x14ac:dyDescent="0.2">
      <c r="B96" t="s">
        <v>210</v>
      </c>
    </row>
    <row r="97" spans="2:2" x14ac:dyDescent="0.2">
      <c r="B97" t="s">
        <v>1284</v>
      </c>
    </row>
    <row r="98" spans="2:2" x14ac:dyDescent="0.2">
      <c r="B98" t="s">
        <v>22</v>
      </c>
    </row>
    <row r="99" spans="2:2" x14ac:dyDescent="0.2">
      <c r="B99" t="s">
        <v>1285</v>
      </c>
    </row>
    <row r="100" spans="2:2" x14ac:dyDescent="0.2">
      <c r="B100" t="s">
        <v>42</v>
      </c>
    </row>
    <row r="101" spans="2:2" x14ac:dyDescent="0.2">
      <c r="B101" t="s">
        <v>1286</v>
      </c>
    </row>
    <row r="102" spans="2:2" x14ac:dyDescent="0.2">
      <c r="B102" t="s">
        <v>550</v>
      </c>
    </row>
    <row r="103" spans="2:2" x14ac:dyDescent="0.2">
      <c r="B103" t="s">
        <v>176</v>
      </c>
    </row>
    <row r="104" spans="2:2" x14ac:dyDescent="0.2">
      <c r="B104" t="s">
        <v>999</v>
      </c>
    </row>
    <row r="105" spans="2:2" x14ac:dyDescent="0.2">
      <c r="B105" t="s">
        <v>114</v>
      </c>
    </row>
    <row r="106" spans="2:2" x14ac:dyDescent="0.2">
      <c r="B106" t="s">
        <v>1287</v>
      </c>
    </row>
    <row r="107" spans="2:2" x14ac:dyDescent="0.2">
      <c r="B107" t="s">
        <v>570</v>
      </c>
    </row>
    <row r="108" spans="2:2" x14ac:dyDescent="0.2">
      <c r="B108" t="s">
        <v>1288</v>
      </c>
    </row>
    <row r="109" spans="2:2" x14ac:dyDescent="0.2">
      <c r="B109" t="s">
        <v>33</v>
      </c>
    </row>
    <row r="110" spans="2:2" x14ac:dyDescent="0.2">
      <c r="B110" t="s">
        <v>1289</v>
      </c>
    </row>
    <row r="111" spans="2:2" x14ac:dyDescent="0.2">
      <c r="B111" t="s">
        <v>1290</v>
      </c>
    </row>
    <row r="112" spans="2:2" x14ac:dyDescent="0.2">
      <c r="B112" t="s">
        <v>1291</v>
      </c>
    </row>
    <row r="113" spans="2:2" x14ac:dyDescent="0.2">
      <c r="B113" t="s">
        <v>1292</v>
      </c>
    </row>
    <row r="114" spans="2:2" x14ac:dyDescent="0.2">
      <c r="B114" t="s">
        <v>252</v>
      </c>
    </row>
    <row r="115" spans="2:2" x14ac:dyDescent="0.2">
      <c r="B115" t="s">
        <v>1293</v>
      </c>
    </row>
    <row r="116" spans="2:2" x14ac:dyDescent="0.2">
      <c r="B116" t="s">
        <v>188</v>
      </c>
    </row>
    <row r="117" spans="2:2" x14ac:dyDescent="0.2">
      <c r="B117" t="s">
        <v>297</v>
      </c>
    </row>
    <row r="118" spans="2:2" x14ac:dyDescent="0.2">
      <c r="B118" t="s">
        <v>1294</v>
      </c>
    </row>
    <row r="119" spans="2:2" x14ac:dyDescent="0.2">
      <c r="B119" t="s">
        <v>1295</v>
      </c>
    </row>
    <row r="120" spans="2:2" x14ac:dyDescent="0.2">
      <c r="B120" t="s">
        <v>658</v>
      </c>
    </row>
    <row r="121" spans="2:2" x14ac:dyDescent="0.2">
      <c r="B121" t="s">
        <v>1296</v>
      </c>
    </row>
    <row r="122" spans="2:2" x14ac:dyDescent="0.2">
      <c r="B122" t="s">
        <v>1297</v>
      </c>
    </row>
    <row r="123" spans="2:2" x14ac:dyDescent="0.2">
      <c r="B123" t="s">
        <v>23</v>
      </c>
    </row>
    <row r="124" spans="2:2" x14ac:dyDescent="0.2">
      <c r="B124" t="s">
        <v>322</v>
      </c>
    </row>
    <row r="125" spans="2:2" x14ac:dyDescent="0.2">
      <c r="B125" t="s">
        <v>1298</v>
      </c>
    </row>
    <row r="126" spans="2:2" x14ac:dyDescent="0.2">
      <c r="B126" t="s">
        <v>1299</v>
      </c>
    </row>
    <row r="127" spans="2:2" x14ac:dyDescent="0.2">
      <c r="B127" t="s">
        <v>185</v>
      </c>
    </row>
    <row r="128" spans="2:2" x14ac:dyDescent="0.2">
      <c r="B128" t="s">
        <v>1300</v>
      </c>
    </row>
    <row r="129" spans="2:2" x14ac:dyDescent="0.2">
      <c r="B129" t="s">
        <v>1301</v>
      </c>
    </row>
    <row r="130" spans="2:2" x14ac:dyDescent="0.2">
      <c r="B130" t="s">
        <v>1302</v>
      </c>
    </row>
    <row r="131" spans="2:2" x14ac:dyDescent="0.2">
      <c r="B131" t="s">
        <v>1303</v>
      </c>
    </row>
    <row r="132" spans="2:2" x14ac:dyDescent="0.2">
      <c r="B132" t="s">
        <v>1304</v>
      </c>
    </row>
    <row r="133" spans="2:2" x14ac:dyDescent="0.2">
      <c r="B133" t="s">
        <v>706</v>
      </c>
    </row>
    <row r="134" spans="2:2" x14ac:dyDescent="0.2">
      <c r="B134" t="s">
        <v>1305</v>
      </c>
    </row>
    <row r="135" spans="2:2" x14ac:dyDescent="0.2">
      <c r="B135" t="s">
        <v>276</v>
      </c>
    </row>
    <row r="136" spans="2:2" x14ac:dyDescent="0.2">
      <c r="B136" t="s">
        <v>1306</v>
      </c>
    </row>
    <row r="137" spans="2:2" x14ac:dyDescent="0.2">
      <c r="B137" t="s">
        <v>68</v>
      </c>
    </row>
    <row r="138" spans="2:2" x14ac:dyDescent="0.2">
      <c r="B138" t="s">
        <v>1307</v>
      </c>
    </row>
    <row r="139" spans="2:2" x14ac:dyDescent="0.2">
      <c r="B139" t="s">
        <v>1308</v>
      </c>
    </row>
    <row r="140" spans="2:2" x14ac:dyDescent="0.2">
      <c r="B140" t="s">
        <v>1309</v>
      </c>
    </row>
    <row r="141" spans="2:2" x14ac:dyDescent="0.2">
      <c r="B141" t="s">
        <v>1310</v>
      </c>
    </row>
    <row r="142" spans="2:2" x14ac:dyDescent="0.2">
      <c r="B142" t="s">
        <v>207</v>
      </c>
    </row>
    <row r="143" spans="2:2" x14ac:dyDescent="0.2">
      <c r="B143" t="s">
        <v>1311</v>
      </c>
    </row>
    <row r="144" spans="2:2" x14ac:dyDescent="0.2">
      <c r="B144" t="s">
        <v>1312</v>
      </c>
    </row>
    <row r="145" spans="2:2" x14ac:dyDescent="0.2">
      <c r="B145" t="s">
        <v>1313</v>
      </c>
    </row>
    <row r="146" spans="2:2" x14ac:dyDescent="0.2">
      <c r="B146" t="s">
        <v>1314</v>
      </c>
    </row>
    <row r="147" spans="2:2" x14ac:dyDescent="0.2">
      <c r="B147" t="s">
        <v>1315</v>
      </c>
    </row>
    <row r="148" spans="2:2" x14ac:dyDescent="0.2">
      <c r="B148" t="s">
        <v>1316</v>
      </c>
    </row>
    <row r="149" spans="2:2" x14ac:dyDescent="0.2">
      <c r="B149" t="s">
        <v>1317</v>
      </c>
    </row>
    <row r="150" spans="2:2" x14ac:dyDescent="0.2">
      <c r="B150" t="s">
        <v>1318</v>
      </c>
    </row>
    <row r="151" spans="2:2" x14ac:dyDescent="0.2">
      <c r="B151" t="s">
        <v>971</v>
      </c>
    </row>
    <row r="152" spans="2:2" x14ac:dyDescent="0.2">
      <c r="B152" t="s">
        <v>1319</v>
      </c>
    </row>
    <row r="153" spans="2:2" x14ac:dyDescent="0.2">
      <c r="B153" t="s">
        <v>329</v>
      </c>
    </row>
    <row r="154" spans="2:2" x14ac:dyDescent="0.2">
      <c r="B154" t="s">
        <v>1320</v>
      </c>
    </row>
    <row r="155" spans="2:2" x14ac:dyDescent="0.2">
      <c r="B155" t="s">
        <v>1321</v>
      </c>
    </row>
    <row r="156" spans="2:2" x14ac:dyDescent="0.2">
      <c r="B156" t="s">
        <v>1322</v>
      </c>
    </row>
    <row r="157" spans="2:2" x14ac:dyDescent="0.2">
      <c r="B157" t="s">
        <v>1323</v>
      </c>
    </row>
    <row r="158" spans="2:2" x14ac:dyDescent="0.2">
      <c r="B158" t="s">
        <v>1324</v>
      </c>
    </row>
    <row r="159" spans="2:2" x14ac:dyDescent="0.2">
      <c r="B159" t="s">
        <v>1325</v>
      </c>
    </row>
    <row r="160" spans="2:2" x14ac:dyDescent="0.2">
      <c r="B160" t="s">
        <v>1326</v>
      </c>
    </row>
    <row r="161" spans="2:2" x14ac:dyDescent="0.2">
      <c r="B161" t="s">
        <v>566</v>
      </c>
    </row>
    <row r="162" spans="2:2" x14ac:dyDescent="0.2">
      <c r="B162" t="s">
        <v>321</v>
      </c>
    </row>
    <row r="163" spans="2:2" x14ac:dyDescent="0.2">
      <c r="B163" t="s">
        <v>1327</v>
      </c>
    </row>
    <row r="164" spans="2:2" x14ac:dyDescent="0.2">
      <c r="B164" t="s">
        <v>1328</v>
      </c>
    </row>
    <row r="165" spans="2:2" x14ac:dyDescent="0.2">
      <c r="B165" t="s">
        <v>1329</v>
      </c>
    </row>
    <row r="166" spans="2:2" x14ac:dyDescent="0.2">
      <c r="B166" t="s">
        <v>94</v>
      </c>
    </row>
    <row r="167" spans="2:2" x14ac:dyDescent="0.2">
      <c r="B167" t="s">
        <v>69</v>
      </c>
    </row>
    <row r="168" spans="2:2" x14ac:dyDescent="0.2">
      <c r="B168" t="s">
        <v>89</v>
      </c>
    </row>
    <row r="169" spans="2:2" x14ac:dyDescent="0.2">
      <c r="B169" t="s">
        <v>91</v>
      </c>
    </row>
    <row r="170" spans="2:2" x14ac:dyDescent="0.2">
      <c r="B170" t="s">
        <v>92</v>
      </c>
    </row>
    <row r="171" spans="2:2" x14ac:dyDescent="0.2">
      <c r="B171" t="s">
        <v>90</v>
      </c>
    </row>
    <row r="172" spans="2:2" x14ac:dyDescent="0.2">
      <c r="B172" t="s">
        <v>88</v>
      </c>
    </row>
    <row r="173" spans="2:2" x14ac:dyDescent="0.2">
      <c r="B173" t="s">
        <v>83</v>
      </c>
    </row>
    <row r="174" spans="2:2" x14ac:dyDescent="0.2">
      <c r="B174" t="s">
        <v>1330</v>
      </c>
    </row>
    <row r="175" spans="2:2" x14ac:dyDescent="0.2">
      <c r="B175" t="s">
        <v>791</v>
      </c>
    </row>
    <row r="176" spans="2:2" x14ac:dyDescent="0.2">
      <c r="B176" t="s">
        <v>255</v>
      </c>
    </row>
    <row r="177" spans="2:2" x14ac:dyDescent="0.2">
      <c r="B177" t="s">
        <v>1331</v>
      </c>
    </row>
    <row r="178" spans="2:2" x14ac:dyDescent="0.2">
      <c r="B178" t="s">
        <v>211</v>
      </c>
    </row>
    <row r="179" spans="2:2" x14ac:dyDescent="0.2">
      <c r="B179" t="s">
        <v>148</v>
      </c>
    </row>
    <row r="180" spans="2:2" x14ac:dyDescent="0.2">
      <c r="B180" t="s">
        <v>1332</v>
      </c>
    </row>
    <row r="181" spans="2:2" x14ac:dyDescent="0.2">
      <c r="B181" t="s">
        <v>1333</v>
      </c>
    </row>
    <row r="182" spans="2:2" x14ac:dyDescent="0.2">
      <c r="B182" t="s">
        <v>660</v>
      </c>
    </row>
    <row r="183" spans="2:2" x14ac:dyDescent="0.2">
      <c r="B183" t="s">
        <v>1334</v>
      </c>
    </row>
    <row r="184" spans="2:2" x14ac:dyDescent="0.2">
      <c r="B184" t="s">
        <v>1335</v>
      </c>
    </row>
    <row r="185" spans="2:2" x14ac:dyDescent="0.2">
      <c r="B185" t="s">
        <v>1336</v>
      </c>
    </row>
    <row r="186" spans="2:2" x14ac:dyDescent="0.2">
      <c r="B186" t="s">
        <v>1337</v>
      </c>
    </row>
    <row r="187" spans="2:2" x14ac:dyDescent="0.2">
      <c r="B187" t="s">
        <v>1338</v>
      </c>
    </row>
    <row r="188" spans="2:2" x14ac:dyDescent="0.2">
      <c r="B188" t="s">
        <v>1339</v>
      </c>
    </row>
    <row r="189" spans="2:2" x14ac:dyDescent="0.2">
      <c r="B189" t="s">
        <v>1340</v>
      </c>
    </row>
    <row r="190" spans="2:2" x14ac:dyDescent="0.2">
      <c r="B190" t="s">
        <v>139</v>
      </c>
    </row>
    <row r="191" spans="2:2" x14ac:dyDescent="0.2">
      <c r="B191" t="s">
        <v>442</v>
      </c>
    </row>
    <row r="192" spans="2:2" x14ac:dyDescent="0.2">
      <c r="B192" t="s">
        <v>1341</v>
      </c>
    </row>
    <row r="193" spans="2:2" x14ac:dyDescent="0.2">
      <c r="B193" t="s">
        <v>1342</v>
      </c>
    </row>
    <row r="194" spans="2:2" x14ac:dyDescent="0.2">
      <c r="B194" t="s">
        <v>213</v>
      </c>
    </row>
    <row r="195" spans="2:2" x14ac:dyDescent="0.2">
      <c r="B195" t="s">
        <v>17</v>
      </c>
    </row>
    <row r="196" spans="2:2" x14ac:dyDescent="0.2">
      <c r="B196" t="s">
        <v>1343</v>
      </c>
    </row>
    <row r="197" spans="2:2" x14ac:dyDescent="0.2">
      <c r="B197" t="s">
        <v>233</v>
      </c>
    </row>
    <row r="198" spans="2:2" x14ac:dyDescent="0.2">
      <c r="B198" t="s">
        <v>1344</v>
      </c>
    </row>
    <row r="199" spans="2:2" x14ac:dyDescent="0.2">
      <c r="B199" t="s">
        <v>80</v>
      </c>
    </row>
    <row r="200" spans="2:2" x14ac:dyDescent="0.2">
      <c r="B200" t="s">
        <v>1345</v>
      </c>
    </row>
    <row r="201" spans="2:2" x14ac:dyDescent="0.2">
      <c r="B201" t="s">
        <v>1346</v>
      </c>
    </row>
    <row r="202" spans="2:2" x14ac:dyDescent="0.2">
      <c r="B202" t="s">
        <v>1347</v>
      </c>
    </row>
    <row r="203" spans="2:2" x14ac:dyDescent="0.2">
      <c r="B203" t="s">
        <v>107</v>
      </c>
    </row>
    <row r="204" spans="2:2" x14ac:dyDescent="0.2">
      <c r="B204" t="s">
        <v>1348</v>
      </c>
    </row>
    <row r="205" spans="2:2" x14ac:dyDescent="0.2">
      <c r="B205" t="s">
        <v>1349</v>
      </c>
    </row>
    <row r="206" spans="2:2" x14ac:dyDescent="0.2">
      <c r="B206" t="s">
        <v>1350</v>
      </c>
    </row>
    <row r="207" spans="2:2" x14ac:dyDescent="0.2">
      <c r="B207" t="s">
        <v>1351</v>
      </c>
    </row>
    <row r="208" spans="2:2" x14ac:dyDescent="0.2">
      <c r="B208" t="s">
        <v>1352</v>
      </c>
    </row>
    <row r="209" spans="2:2" x14ac:dyDescent="0.2">
      <c r="B209" t="s">
        <v>1353</v>
      </c>
    </row>
    <row r="210" spans="2:2" x14ac:dyDescent="0.2">
      <c r="B210" t="s">
        <v>173</v>
      </c>
    </row>
    <row r="211" spans="2:2" x14ac:dyDescent="0.2">
      <c r="B211" t="s">
        <v>1354</v>
      </c>
    </row>
    <row r="212" spans="2:2" x14ac:dyDescent="0.2">
      <c r="B212" t="s">
        <v>612</v>
      </c>
    </row>
    <row r="213" spans="2:2" x14ac:dyDescent="0.2">
      <c r="B213" t="s">
        <v>1355</v>
      </c>
    </row>
    <row r="214" spans="2:2" x14ac:dyDescent="0.2">
      <c r="B214" t="s">
        <v>1356</v>
      </c>
    </row>
    <row r="215" spans="2:2" x14ac:dyDescent="0.2">
      <c r="B215" t="s">
        <v>785</v>
      </c>
    </row>
    <row r="216" spans="2:2" x14ac:dyDescent="0.2">
      <c r="B216" t="s">
        <v>1357</v>
      </c>
    </row>
    <row r="217" spans="2:2" x14ac:dyDescent="0.2">
      <c r="B217" t="s">
        <v>1358</v>
      </c>
    </row>
    <row r="218" spans="2:2" x14ac:dyDescent="0.2">
      <c r="B218" t="s">
        <v>1359</v>
      </c>
    </row>
    <row r="219" spans="2:2" x14ac:dyDescent="0.2">
      <c r="B219" t="s">
        <v>1360</v>
      </c>
    </row>
    <row r="220" spans="2:2" x14ac:dyDescent="0.2">
      <c r="B220" t="s">
        <v>1361</v>
      </c>
    </row>
    <row r="221" spans="2:2" x14ac:dyDescent="0.2">
      <c r="B221" t="s">
        <v>1362</v>
      </c>
    </row>
    <row r="222" spans="2:2" x14ac:dyDescent="0.2">
      <c r="B222" t="s">
        <v>1363</v>
      </c>
    </row>
    <row r="223" spans="2:2" x14ac:dyDescent="0.2">
      <c r="B223" t="s">
        <v>966</v>
      </c>
    </row>
    <row r="224" spans="2:2" x14ac:dyDescent="0.2">
      <c r="B224" t="s">
        <v>1364</v>
      </c>
    </row>
    <row r="225" spans="2:2" x14ac:dyDescent="0.2">
      <c r="B225" t="s">
        <v>1365</v>
      </c>
    </row>
    <row r="226" spans="2:2" x14ac:dyDescent="0.2">
      <c r="B226" t="s">
        <v>112</v>
      </c>
    </row>
    <row r="227" spans="2:2" x14ac:dyDescent="0.2">
      <c r="B227" t="s">
        <v>294</v>
      </c>
    </row>
    <row r="228" spans="2:2" x14ac:dyDescent="0.2">
      <c r="B228" t="s">
        <v>178</v>
      </c>
    </row>
    <row r="229" spans="2:2" x14ac:dyDescent="0.2">
      <c r="B229" t="s">
        <v>35</v>
      </c>
    </row>
    <row r="230" spans="2:2" x14ac:dyDescent="0.2">
      <c r="B230" t="s">
        <v>1366</v>
      </c>
    </row>
    <row r="231" spans="2:2" x14ac:dyDescent="0.2">
      <c r="B231" t="s">
        <v>1367</v>
      </c>
    </row>
    <row r="232" spans="2:2" x14ac:dyDescent="0.2">
      <c r="B232" t="s">
        <v>399</v>
      </c>
    </row>
    <row r="233" spans="2:2" x14ac:dyDescent="0.2">
      <c r="B233" t="s">
        <v>1368</v>
      </c>
    </row>
    <row r="234" spans="2:2" x14ac:dyDescent="0.2">
      <c r="B234" t="s">
        <v>728</v>
      </c>
    </row>
    <row r="235" spans="2:2" x14ac:dyDescent="0.2">
      <c r="B235" t="s">
        <v>927</v>
      </c>
    </row>
    <row r="236" spans="2:2" x14ac:dyDescent="0.2">
      <c r="B236" t="s">
        <v>1369</v>
      </c>
    </row>
    <row r="237" spans="2:2" x14ac:dyDescent="0.2">
      <c r="B237" t="s">
        <v>1370</v>
      </c>
    </row>
    <row r="238" spans="2:2" x14ac:dyDescent="0.2">
      <c r="B238" t="s">
        <v>1371</v>
      </c>
    </row>
    <row r="239" spans="2:2" x14ac:dyDescent="0.2">
      <c r="B239" t="s">
        <v>1372</v>
      </c>
    </row>
    <row r="240" spans="2:2" x14ac:dyDescent="0.2">
      <c r="B240" t="s">
        <v>890</v>
      </c>
    </row>
    <row r="241" spans="2:2" x14ac:dyDescent="0.2">
      <c r="B241" t="s">
        <v>1373</v>
      </c>
    </row>
    <row r="242" spans="2:2" x14ac:dyDescent="0.2">
      <c r="B242" t="s">
        <v>75</v>
      </c>
    </row>
    <row r="243" spans="2:2" x14ac:dyDescent="0.2">
      <c r="B243" t="s">
        <v>1374</v>
      </c>
    </row>
    <row r="244" spans="2:2" x14ac:dyDescent="0.2">
      <c r="B244" t="s">
        <v>1375</v>
      </c>
    </row>
    <row r="245" spans="2:2" x14ac:dyDescent="0.2">
      <c r="B245" t="s">
        <v>46</v>
      </c>
    </row>
    <row r="246" spans="2:2" x14ac:dyDescent="0.2">
      <c r="B246" t="s">
        <v>1376</v>
      </c>
    </row>
    <row r="247" spans="2:2" x14ac:dyDescent="0.2">
      <c r="B247" t="s">
        <v>1377</v>
      </c>
    </row>
    <row r="248" spans="2:2" x14ac:dyDescent="0.2">
      <c r="B248" t="s">
        <v>944</v>
      </c>
    </row>
    <row r="249" spans="2:2" x14ac:dyDescent="0.2">
      <c r="B249" t="s">
        <v>245</v>
      </c>
    </row>
    <row r="250" spans="2:2" x14ac:dyDescent="0.2">
      <c r="B250" t="s">
        <v>833</v>
      </c>
    </row>
    <row r="251" spans="2:2" x14ac:dyDescent="0.2">
      <c r="B251" t="s">
        <v>1378</v>
      </c>
    </row>
    <row r="252" spans="2:2" x14ac:dyDescent="0.2">
      <c r="B252" t="s">
        <v>1379</v>
      </c>
    </row>
    <row r="253" spans="2:2" x14ac:dyDescent="0.2">
      <c r="B253" t="s">
        <v>678</v>
      </c>
    </row>
    <row r="254" spans="2:2" x14ac:dyDescent="0.2">
      <c r="B254" t="s">
        <v>1380</v>
      </c>
    </row>
    <row r="255" spans="2:2" x14ac:dyDescent="0.2">
      <c r="B255" t="s">
        <v>1381</v>
      </c>
    </row>
    <row r="256" spans="2:2" x14ac:dyDescent="0.2">
      <c r="B256" t="s">
        <v>1382</v>
      </c>
    </row>
    <row r="257" spans="2:2" x14ac:dyDescent="0.2">
      <c r="B257" t="s">
        <v>1383</v>
      </c>
    </row>
    <row r="258" spans="2:2" x14ac:dyDescent="0.2">
      <c r="B258" t="s">
        <v>1384</v>
      </c>
    </row>
    <row r="259" spans="2:2" x14ac:dyDescent="0.2">
      <c r="B259" t="s">
        <v>1385</v>
      </c>
    </row>
    <row r="260" spans="2:2" x14ac:dyDescent="0.2">
      <c r="B260" t="s">
        <v>1386</v>
      </c>
    </row>
    <row r="261" spans="2:2" x14ac:dyDescent="0.2">
      <c r="B261" t="s">
        <v>534</v>
      </c>
    </row>
    <row r="262" spans="2:2" x14ac:dyDescent="0.2">
      <c r="B262" t="s">
        <v>1387</v>
      </c>
    </row>
    <row r="263" spans="2:2" x14ac:dyDescent="0.2">
      <c r="B263" t="s">
        <v>1388</v>
      </c>
    </row>
    <row r="264" spans="2:2" x14ac:dyDescent="0.2">
      <c r="B264" t="s">
        <v>1389</v>
      </c>
    </row>
    <row r="265" spans="2:2" x14ac:dyDescent="0.2">
      <c r="B265" t="s">
        <v>1390</v>
      </c>
    </row>
    <row r="266" spans="2:2" x14ac:dyDescent="0.2">
      <c r="B266" t="s">
        <v>221</v>
      </c>
    </row>
    <row r="267" spans="2:2" x14ac:dyDescent="0.2">
      <c r="B267" t="s">
        <v>1391</v>
      </c>
    </row>
    <row r="268" spans="2:2" x14ac:dyDescent="0.2">
      <c r="B268" t="s">
        <v>64</v>
      </c>
    </row>
    <row r="269" spans="2:2" x14ac:dyDescent="0.2">
      <c r="B269" t="s">
        <v>1392</v>
      </c>
    </row>
    <row r="270" spans="2:2" x14ac:dyDescent="0.2">
      <c r="B270" t="s">
        <v>124</v>
      </c>
    </row>
    <row r="271" spans="2:2" x14ac:dyDescent="0.2">
      <c r="B271" t="s">
        <v>1393</v>
      </c>
    </row>
    <row r="272" spans="2:2" x14ac:dyDescent="0.2">
      <c r="B272" t="s">
        <v>1394</v>
      </c>
    </row>
    <row r="273" spans="2:2" x14ac:dyDescent="0.2">
      <c r="B273" t="s">
        <v>1395</v>
      </c>
    </row>
    <row r="274" spans="2:2" x14ac:dyDescent="0.2">
      <c r="B274" t="s">
        <v>1396</v>
      </c>
    </row>
    <row r="275" spans="2:2" x14ac:dyDescent="0.2">
      <c r="B275" t="s">
        <v>191</v>
      </c>
    </row>
    <row r="276" spans="2:2" x14ac:dyDescent="0.2">
      <c r="B276" t="s">
        <v>1397</v>
      </c>
    </row>
    <row r="277" spans="2:2" x14ac:dyDescent="0.2">
      <c r="B277" t="s">
        <v>1398</v>
      </c>
    </row>
    <row r="278" spans="2:2" x14ac:dyDescent="0.2">
      <c r="B278" t="s">
        <v>163</v>
      </c>
    </row>
    <row r="279" spans="2:2" x14ac:dyDescent="0.2">
      <c r="B279" t="s">
        <v>1399</v>
      </c>
    </row>
    <row r="280" spans="2:2" x14ac:dyDescent="0.2">
      <c r="B280" t="s">
        <v>430</v>
      </c>
    </row>
    <row r="281" spans="2:2" x14ac:dyDescent="0.2">
      <c r="B281" t="s">
        <v>1400</v>
      </c>
    </row>
    <row r="282" spans="2:2" x14ac:dyDescent="0.2">
      <c r="B282" t="s">
        <v>200</v>
      </c>
    </row>
    <row r="283" spans="2:2" x14ac:dyDescent="0.2">
      <c r="B283" t="s">
        <v>108</v>
      </c>
    </row>
    <row r="284" spans="2:2" x14ac:dyDescent="0.2">
      <c r="B284" t="s">
        <v>1401</v>
      </c>
    </row>
    <row r="285" spans="2:2" x14ac:dyDescent="0.2">
      <c r="B285" t="s">
        <v>267</v>
      </c>
    </row>
    <row r="286" spans="2:2" x14ac:dyDescent="0.2">
      <c r="B286" t="s">
        <v>1402</v>
      </c>
    </row>
    <row r="287" spans="2:2" x14ac:dyDescent="0.2">
      <c r="B287" t="s">
        <v>1403</v>
      </c>
    </row>
    <row r="288" spans="2:2" x14ac:dyDescent="0.2">
      <c r="B288" t="s">
        <v>1404</v>
      </c>
    </row>
    <row r="289" spans="2:2" x14ac:dyDescent="0.2">
      <c r="B289" t="s">
        <v>526</v>
      </c>
    </row>
    <row r="290" spans="2:2" x14ac:dyDescent="0.2">
      <c r="B290" t="s">
        <v>1405</v>
      </c>
    </row>
  </sheetData>
  <sortState ref="A2:E290">
    <sortCondition ref="B2"/>
  </sortState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405B7D7-EF0C-40DE-80B6-D59E06D68869}">
  <sheetPr codeName="Feuil4"/>
  <dimension ref="A1:M414"/>
  <sheetViews>
    <sheetView workbookViewId="0">
      <selection activeCell="A2" sqref="A2"/>
    </sheetView>
  </sheetViews>
  <sheetFormatPr baseColWidth="10" defaultRowHeight="11.25" x14ac:dyDescent="0.2"/>
  <sheetData>
    <row r="1" spans="1:13" s="18" customFormat="1" ht="15" x14ac:dyDescent="0.25">
      <c r="A1" s="14" t="s">
        <v>597</v>
      </c>
      <c r="B1" s="14" t="s">
        <v>1221</v>
      </c>
      <c r="C1" s="15" t="s">
        <v>1230</v>
      </c>
      <c r="D1" s="2" t="s">
        <v>1222</v>
      </c>
      <c r="E1" s="2" t="s">
        <v>1223</v>
      </c>
      <c r="F1" s="15" t="s">
        <v>1224</v>
      </c>
      <c r="G1" s="15" t="s">
        <v>1225</v>
      </c>
      <c r="H1" s="15" t="s">
        <v>1226</v>
      </c>
      <c r="I1" s="18" t="s">
        <v>1406</v>
      </c>
      <c r="J1" s="16" t="s">
        <v>1227</v>
      </c>
      <c r="K1" s="16" t="s">
        <v>1228</v>
      </c>
      <c r="L1" s="17" t="s">
        <v>1229</v>
      </c>
      <c r="M1" s="19"/>
    </row>
    <row r="2" spans="1:13" x14ac:dyDescent="0.2">
      <c r="A2" t="s">
        <v>2</v>
      </c>
      <c r="B2" t="s">
        <v>3</v>
      </c>
      <c r="D2" s="2">
        <v>43450</v>
      </c>
      <c r="E2" s="2">
        <f t="shared" ref="E2:E30" si="0">IF(A2="","",IF(A2&lt;&gt;"Carte Lux",D2,VLOOKUP(D2,Periode_datedebit_2019,3)))</f>
        <v>43507</v>
      </c>
      <c r="F2" t="s">
        <v>4</v>
      </c>
      <c r="G2" t="s">
        <v>5</v>
      </c>
      <c r="H2" t="s">
        <v>6</v>
      </c>
      <c r="I2" t="s">
        <v>7</v>
      </c>
      <c r="J2" s="3">
        <v>-127.2</v>
      </c>
      <c r="K2" t="str">
        <f t="shared" ref="K2:K65" si="1">IF(D2="","",TEXT(D2,"Mmmm"))</f>
        <v>décembre</v>
      </c>
      <c r="L2" t="str">
        <f t="shared" ref="L2:L65" si="2">IF(J2="","",IF(J2&lt;0,"Dépenses","Recettes"))</f>
        <v>Dépenses</v>
      </c>
    </row>
    <row r="3" spans="1:13" x14ac:dyDescent="0.2">
      <c r="A3" t="s">
        <v>2</v>
      </c>
      <c r="B3" t="s">
        <v>8</v>
      </c>
      <c r="D3" s="2">
        <v>43450</v>
      </c>
      <c r="E3" s="2">
        <f t="shared" si="0"/>
        <v>43507</v>
      </c>
      <c r="F3" t="s">
        <v>9</v>
      </c>
      <c r="G3" t="s">
        <v>10</v>
      </c>
      <c r="H3" t="s">
        <v>11</v>
      </c>
      <c r="I3" t="s">
        <v>7</v>
      </c>
      <c r="J3" s="3">
        <v>-7</v>
      </c>
      <c r="K3" t="str">
        <f t="shared" si="1"/>
        <v>décembre</v>
      </c>
      <c r="L3" t="str">
        <f t="shared" si="2"/>
        <v>Dépenses</v>
      </c>
    </row>
    <row r="4" spans="1:13" x14ac:dyDescent="0.2">
      <c r="A4" t="s">
        <v>2</v>
      </c>
      <c r="B4" t="s">
        <v>8</v>
      </c>
      <c r="D4" s="2">
        <v>43450</v>
      </c>
      <c r="E4" s="2">
        <f t="shared" si="0"/>
        <v>43507</v>
      </c>
      <c r="F4" t="s">
        <v>12</v>
      </c>
      <c r="G4" t="s">
        <v>13</v>
      </c>
      <c r="H4" t="s">
        <v>14</v>
      </c>
      <c r="I4" t="s">
        <v>7</v>
      </c>
      <c r="J4" s="3">
        <v>-4.05</v>
      </c>
      <c r="K4" t="str">
        <f t="shared" si="1"/>
        <v>décembre</v>
      </c>
      <c r="L4" t="str">
        <f t="shared" si="2"/>
        <v>Dépenses</v>
      </c>
    </row>
    <row r="5" spans="1:13" x14ac:dyDescent="0.2">
      <c r="A5" t="s">
        <v>2</v>
      </c>
      <c r="B5" t="s">
        <v>8</v>
      </c>
      <c r="D5" s="2">
        <v>43450</v>
      </c>
      <c r="E5" s="2">
        <f t="shared" si="0"/>
        <v>43507</v>
      </c>
      <c r="F5" t="s">
        <v>15</v>
      </c>
      <c r="G5" t="s">
        <v>16</v>
      </c>
      <c r="H5" t="s">
        <v>17</v>
      </c>
      <c r="I5" t="s">
        <v>7</v>
      </c>
      <c r="J5" s="3">
        <v>-7.99</v>
      </c>
      <c r="K5" t="str">
        <f t="shared" si="1"/>
        <v>décembre</v>
      </c>
      <c r="L5" t="str">
        <f t="shared" si="2"/>
        <v>Dépenses</v>
      </c>
    </row>
    <row r="6" spans="1:13" x14ac:dyDescent="0.2">
      <c r="A6" t="s">
        <v>2</v>
      </c>
      <c r="B6" t="s">
        <v>3</v>
      </c>
      <c r="D6" s="2">
        <v>43450</v>
      </c>
      <c r="E6" s="2">
        <f t="shared" si="0"/>
        <v>43507</v>
      </c>
      <c r="F6" t="s">
        <v>18</v>
      </c>
      <c r="G6" t="s">
        <v>19</v>
      </c>
      <c r="H6" t="s">
        <v>20</v>
      </c>
      <c r="I6" t="s">
        <v>7</v>
      </c>
      <c r="J6" s="3">
        <v>-49</v>
      </c>
      <c r="K6" t="str">
        <f t="shared" si="1"/>
        <v>décembre</v>
      </c>
      <c r="L6" t="str">
        <f t="shared" si="2"/>
        <v>Dépenses</v>
      </c>
    </row>
    <row r="7" spans="1:13" x14ac:dyDescent="0.2">
      <c r="A7" t="s">
        <v>2</v>
      </c>
      <c r="B7" t="s">
        <v>8</v>
      </c>
      <c r="D7" s="2">
        <v>43451</v>
      </c>
      <c r="E7" s="2">
        <f t="shared" si="0"/>
        <v>43507</v>
      </c>
      <c r="F7" t="s">
        <v>9</v>
      </c>
      <c r="G7" t="s">
        <v>10</v>
      </c>
      <c r="H7" t="s">
        <v>11</v>
      </c>
      <c r="I7" t="s">
        <v>7</v>
      </c>
      <c r="J7" s="3">
        <v>-7</v>
      </c>
      <c r="K7" t="str">
        <f t="shared" si="1"/>
        <v>décembre</v>
      </c>
      <c r="L7" t="str">
        <f t="shared" si="2"/>
        <v>Dépenses</v>
      </c>
    </row>
    <row r="8" spans="1:13" x14ac:dyDescent="0.2">
      <c r="A8" t="s">
        <v>2</v>
      </c>
      <c r="B8" t="s">
        <v>8</v>
      </c>
      <c r="D8" s="2">
        <v>43452</v>
      </c>
      <c r="E8" s="2">
        <f t="shared" si="0"/>
        <v>43507</v>
      </c>
      <c r="F8" t="s">
        <v>21</v>
      </c>
      <c r="G8" t="s">
        <v>21</v>
      </c>
      <c r="H8" t="s">
        <v>14</v>
      </c>
      <c r="I8" t="s">
        <v>7</v>
      </c>
      <c r="J8" s="3">
        <v>-11.6</v>
      </c>
      <c r="K8" t="str">
        <f t="shared" si="1"/>
        <v>décembre</v>
      </c>
      <c r="L8" t="str">
        <f t="shared" si="2"/>
        <v>Dépenses</v>
      </c>
    </row>
    <row r="9" spans="1:13" x14ac:dyDescent="0.2">
      <c r="A9" t="s">
        <v>2</v>
      </c>
      <c r="B9" t="s">
        <v>8</v>
      </c>
      <c r="D9" s="2">
        <v>43452</v>
      </c>
      <c r="E9" s="2">
        <f t="shared" si="0"/>
        <v>43507</v>
      </c>
      <c r="F9" t="s">
        <v>12</v>
      </c>
      <c r="G9" t="s">
        <v>13</v>
      </c>
      <c r="H9" t="s">
        <v>22</v>
      </c>
      <c r="I9" t="s">
        <v>7</v>
      </c>
      <c r="J9" s="3">
        <v>-4.3499999999999996</v>
      </c>
      <c r="K9" t="str">
        <f t="shared" si="1"/>
        <v>décembre</v>
      </c>
      <c r="L9" t="str">
        <f t="shared" si="2"/>
        <v>Dépenses</v>
      </c>
    </row>
    <row r="10" spans="1:13" x14ac:dyDescent="0.2">
      <c r="A10" t="s">
        <v>2</v>
      </c>
      <c r="B10" t="s">
        <v>3</v>
      </c>
      <c r="D10" s="2">
        <v>43452</v>
      </c>
      <c r="E10" s="2">
        <f t="shared" si="0"/>
        <v>43507</v>
      </c>
      <c r="F10" t="s">
        <v>4</v>
      </c>
      <c r="G10" t="s">
        <v>5</v>
      </c>
      <c r="H10" t="s">
        <v>23</v>
      </c>
      <c r="I10" t="s">
        <v>7</v>
      </c>
      <c r="J10" s="3">
        <v>-42.29</v>
      </c>
      <c r="K10" t="str">
        <f t="shared" si="1"/>
        <v>décembre</v>
      </c>
      <c r="L10" t="str">
        <f t="shared" si="2"/>
        <v>Dépenses</v>
      </c>
    </row>
    <row r="11" spans="1:13" x14ac:dyDescent="0.2">
      <c r="A11" t="s">
        <v>2</v>
      </c>
      <c r="B11" t="s">
        <v>8</v>
      </c>
      <c r="D11" s="2">
        <v>43454</v>
      </c>
      <c r="E11" s="2">
        <f t="shared" si="0"/>
        <v>43507</v>
      </c>
      <c r="F11" t="s">
        <v>24</v>
      </c>
      <c r="G11" t="s">
        <v>25</v>
      </c>
      <c r="H11" t="s">
        <v>26</v>
      </c>
      <c r="I11" t="s">
        <v>7</v>
      </c>
      <c r="J11" s="3">
        <v>-61.9</v>
      </c>
      <c r="K11" t="str">
        <f t="shared" si="1"/>
        <v>décembre</v>
      </c>
      <c r="L11" t="str">
        <f t="shared" si="2"/>
        <v>Dépenses</v>
      </c>
    </row>
    <row r="12" spans="1:13" x14ac:dyDescent="0.2">
      <c r="A12" t="s">
        <v>2</v>
      </c>
      <c r="B12" t="s">
        <v>8</v>
      </c>
      <c r="D12" s="2">
        <v>43454</v>
      </c>
      <c r="E12" s="2">
        <f t="shared" si="0"/>
        <v>43507</v>
      </c>
      <c r="F12" t="s">
        <v>27</v>
      </c>
      <c r="G12" t="s">
        <v>28</v>
      </c>
      <c r="H12" t="s">
        <v>29</v>
      </c>
      <c r="I12" t="s">
        <v>7</v>
      </c>
      <c r="J12" s="3">
        <v>-51.47</v>
      </c>
      <c r="K12" t="str">
        <f t="shared" si="1"/>
        <v>décembre</v>
      </c>
      <c r="L12" t="str">
        <f t="shared" si="2"/>
        <v>Dépenses</v>
      </c>
    </row>
    <row r="13" spans="1:13" x14ac:dyDescent="0.2">
      <c r="A13" t="s">
        <v>2</v>
      </c>
      <c r="B13" t="s">
        <v>8</v>
      </c>
      <c r="D13" s="2">
        <v>43455</v>
      </c>
      <c r="E13" s="2">
        <f t="shared" si="0"/>
        <v>43507</v>
      </c>
      <c r="F13" t="s">
        <v>30</v>
      </c>
      <c r="G13" t="s">
        <v>5</v>
      </c>
      <c r="H13" t="s">
        <v>31</v>
      </c>
      <c r="I13" t="s">
        <v>7</v>
      </c>
      <c r="J13" s="3">
        <v>-39.61</v>
      </c>
      <c r="K13" t="str">
        <f t="shared" si="1"/>
        <v>décembre</v>
      </c>
      <c r="L13" t="str">
        <f t="shared" si="2"/>
        <v>Dépenses</v>
      </c>
    </row>
    <row r="14" spans="1:13" x14ac:dyDescent="0.2">
      <c r="A14" t="s">
        <v>2</v>
      </c>
      <c r="B14" t="s">
        <v>8</v>
      </c>
      <c r="D14" s="2">
        <v>43455</v>
      </c>
      <c r="E14" s="2">
        <f t="shared" si="0"/>
        <v>43507</v>
      </c>
      <c r="F14" t="s">
        <v>32</v>
      </c>
      <c r="G14" t="s">
        <v>5</v>
      </c>
      <c r="H14" t="s">
        <v>22</v>
      </c>
      <c r="I14" t="s">
        <v>7</v>
      </c>
      <c r="J14" s="3">
        <v>-4.25</v>
      </c>
      <c r="K14" t="str">
        <f t="shared" si="1"/>
        <v>décembre</v>
      </c>
      <c r="L14" t="str">
        <f t="shared" si="2"/>
        <v>Dépenses</v>
      </c>
    </row>
    <row r="15" spans="1:13" x14ac:dyDescent="0.2">
      <c r="A15" t="s">
        <v>2</v>
      </c>
      <c r="B15" t="s">
        <v>8</v>
      </c>
      <c r="D15" s="2">
        <v>43455</v>
      </c>
      <c r="E15" s="2">
        <f t="shared" si="0"/>
        <v>43507</v>
      </c>
      <c r="F15" t="s">
        <v>32</v>
      </c>
      <c r="G15" t="s">
        <v>5</v>
      </c>
      <c r="H15" t="s">
        <v>33</v>
      </c>
      <c r="I15" t="s">
        <v>7</v>
      </c>
      <c r="J15" s="3">
        <v>-4.2</v>
      </c>
      <c r="K15" t="str">
        <f t="shared" si="1"/>
        <v>décembre</v>
      </c>
      <c r="L15" t="str">
        <f t="shared" si="2"/>
        <v>Dépenses</v>
      </c>
    </row>
    <row r="16" spans="1:13" x14ac:dyDescent="0.2">
      <c r="A16" t="s">
        <v>2</v>
      </c>
      <c r="B16" t="s">
        <v>3</v>
      </c>
      <c r="D16" s="2">
        <v>43455</v>
      </c>
      <c r="E16" s="2">
        <f t="shared" si="0"/>
        <v>43507</v>
      </c>
      <c r="F16" t="s">
        <v>4</v>
      </c>
      <c r="G16" t="s">
        <v>5</v>
      </c>
      <c r="H16" t="s">
        <v>23</v>
      </c>
      <c r="I16" t="s">
        <v>7</v>
      </c>
      <c r="J16" s="3">
        <v>-33.880000000000003</v>
      </c>
      <c r="K16" t="str">
        <f t="shared" si="1"/>
        <v>décembre</v>
      </c>
      <c r="L16" t="str">
        <f t="shared" si="2"/>
        <v>Dépenses</v>
      </c>
    </row>
    <row r="17" spans="1:12" x14ac:dyDescent="0.2">
      <c r="A17" t="s">
        <v>2</v>
      </c>
      <c r="B17" t="s">
        <v>8</v>
      </c>
      <c r="D17" s="2">
        <v>43455</v>
      </c>
      <c r="E17" s="2">
        <f t="shared" si="0"/>
        <v>43507</v>
      </c>
      <c r="F17" t="s">
        <v>34</v>
      </c>
      <c r="G17" t="s">
        <v>5</v>
      </c>
      <c r="H17" t="s">
        <v>35</v>
      </c>
      <c r="I17" t="s">
        <v>7</v>
      </c>
      <c r="J17" s="3">
        <v>-39.4</v>
      </c>
      <c r="K17" t="str">
        <f t="shared" si="1"/>
        <v>décembre</v>
      </c>
      <c r="L17" t="str">
        <f t="shared" si="2"/>
        <v>Dépenses</v>
      </c>
    </row>
    <row r="18" spans="1:12" x14ac:dyDescent="0.2">
      <c r="A18" t="s">
        <v>2</v>
      </c>
      <c r="B18" t="s">
        <v>8</v>
      </c>
      <c r="C18" t="s">
        <v>36</v>
      </c>
      <c r="D18" s="2">
        <v>43456</v>
      </c>
      <c r="E18" s="2">
        <f t="shared" si="0"/>
        <v>43507</v>
      </c>
      <c r="F18" t="s">
        <v>27</v>
      </c>
      <c r="G18" t="s">
        <v>28</v>
      </c>
      <c r="H18" t="s">
        <v>6</v>
      </c>
      <c r="I18" t="s">
        <v>7</v>
      </c>
      <c r="J18" s="3">
        <v>-11.93</v>
      </c>
      <c r="K18" t="str">
        <f t="shared" si="1"/>
        <v>décembre</v>
      </c>
      <c r="L18" t="str">
        <f t="shared" si="2"/>
        <v>Dépenses</v>
      </c>
    </row>
    <row r="19" spans="1:12" x14ac:dyDescent="0.2">
      <c r="A19" t="s">
        <v>2</v>
      </c>
      <c r="B19" t="s">
        <v>8</v>
      </c>
      <c r="C19" t="s">
        <v>36</v>
      </c>
      <c r="D19" s="2">
        <v>43456</v>
      </c>
      <c r="E19" s="2">
        <f t="shared" si="0"/>
        <v>43507</v>
      </c>
      <c r="F19" t="s">
        <v>5</v>
      </c>
      <c r="G19" t="s">
        <v>5</v>
      </c>
      <c r="H19" t="s">
        <v>6</v>
      </c>
      <c r="I19" t="s">
        <v>7</v>
      </c>
      <c r="J19" s="3">
        <v>-59.410000000000004</v>
      </c>
      <c r="K19" t="str">
        <f t="shared" si="1"/>
        <v>décembre</v>
      </c>
      <c r="L19" t="str">
        <f t="shared" si="2"/>
        <v>Dépenses</v>
      </c>
    </row>
    <row r="20" spans="1:12" x14ac:dyDescent="0.2">
      <c r="A20" t="s">
        <v>2</v>
      </c>
      <c r="B20" t="s">
        <v>8</v>
      </c>
      <c r="D20" s="2">
        <v>43456</v>
      </c>
      <c r="E20" s="2">
        <f t="shared" si="0"/>
        <v>43507</v>
      </c>
      <c r="F20" t="s">
        <v>5</v>
      </c>
      <c r="G20" t="s">
        <v>5</v>
      </c>
      <c r="H20" t="s">
        <v>37</v>
      </c>
      <c r="I20" t="s">
        <v>7</v>
      </c>
      <c r="J20" s="3">
        <v>-17.22</v>
      </c>
      <c r="K20" t="str">
        <f t="shared" si="1"/>
        <v>décembre</v>
      </c>
      <c r="L20" t="str">
        <f t="shared" si="2"/>
        <v>Dépenses</v>
      </c>
    </row>
    <row r="21" spans="1:12" x14ac:dyDescent="0.2">
      <c r="A21" t="s">
        <v>2</v>
      </c>
      <c r="B21" t="s">
        <v>8</v>
      </c>
      <c r="D21" s="2">
        <v>43456</v>
      </c>
      <c r="E21" s="2">
        <f t="shared" si="0"/>
        <v>43507</v>
      </c>
      <c r="F21" t="s">
        <v>38</v>
      </c>
      <c r="G21" t="s">
        <v>39</v>
      </c>
      <c r="H21" t="s">
        <v>40</v>
      </c>
      <c r="I21" t="s">
        <v>7</v>
      </c>
      <c r="J21" s="3">
        <v>-50</v>
      </c>
      <c r="K21" t="str">
        <f t="shared" si="1"/>
        <v>décembre</v>
      </c>
      <c r="L21" t="str">
        <f t="shared" si="2"/>
        <v>Dépenses</v>
      </c>
    </row>
    <row r="22" spans="1:12" x14ac:dyDescent="0.2">
      <c r="A22" t="s">
        <v>2</v>
      </c>
      <c r="B22" t="s">
        <v>8</v>
      </c>
      <c r="D22" s="2">
        <v>43456</v>
      </c>
      <c r="E22" s="2">
        <f t="shared" si="0"/>
        <v>43507</v>
      </c>
      <c r="F22" t="s">
        <v>41</v>
      </c>
      <c r="G22" t="s">
        <v>19</v>
      </c>
      <c r="H22" t="s">
        <v>42</v>
      </c>
      <c r="I22" t="s">
        <v>7</v>
      </c>
      <c r="J22" s="3">
        <v>-13</v>
      </c>
      <c r="K22" t="str">
        <f t="shared" si="1"/>
        <v>décembre</v>
      </c>
      <c r="L22" t="str">
        <f t="shared" si="2"/>
        <v>Dépenses</v>
      </c>
    </row>
    <row r="23" spans="1:12" x14ac:dyDescent="0.2">
      <c r="A23" t="s">
        <v>2</v>
      </c>
      <c r="B23" t="s">
        <v>8</v>
      </c>
      <c r="C23" t="s">
        <v>43</v>
      </c>
      <c r="D23" s="2">
        <v>43457</v>
      </c>
      <c r="E23" s="2">
        <f t="shared" si="0"/>
        <v>43507</v>
      </c>
      <c r="F23" t="s">
        <v>44</v>
      </c>
      <c r="G23" t="s">
        <v>19</v>
      </c>
      <c r="H23" t="s">
        <v>23</v>
      </c>
      <c r="I23" t="s">
        <v>7</v>
      </c>
      <c r="J23" s="3">
        <v>-14.99</v>
      </c>
      <c r="K23" t="str">
        <f t="shared" si="1"/>
        <v>décembre</v>
      </c>
      <c r="L23" t="str">
        <f t="shared" si="2"/>
        <v>Dépenses</v>
      </c>
    </row>
    <row r="24" spans="1:12" x14ac:dyDescent="0.2">
      <c r="A24" t="s">
        <v>2</v>
      </c>
      <c r="B24" t="s">
        <v>8</v>
      </c>
      <c r="C24" t="s">
        <v>43</v>
      </c>
      <c r="D24" s="2">
        <v>43457</v>
      </c>
      <c r="E24" s="2">
        <f t="shared" si="0"/>
        <v>43507</v>
      </c>
      <c r="F24" t="s">
        <v>5</v>
      </c>
      <c r="G24" t="s">
        <v>5</v>
      </c>
      <c r="H24" t="s">
        <v>23</v>
      </c>
      <c r="I24" t="s">
        <v>7</v>
      </c>
      <c r="J24" s="3">
        <v>-8.9099999999999984</v>
      </c>
      <c r="K24" t="str">
        <f t="shared" si="1"/>
        <v>décembre</v>
      </c>
      <c r="L24" t="str">
        <f t="shared" si="2"/>
        <v>Dépenses</v>
      </c>
    </row>
    <row r="25" spans="1:12" x14ac:dyDescent="0.2">
      <c r="A25" t="s">
        <v>2</v>
      </c>
      <c r="B25" t="s">
        <v>8</v>
      </c>
      <c r="D25" s="2">
        <v>43457</v>
      </c>
      <c r="E25" s="2">
        <f t="shared" si="0"/>
        <v>43507</v>
      </c>
      <c r="F25" t="s">
        <v>45</v>
      </c>
      <c r="G25" t="s">
        <v>5</v>
      </c>
      <c r="H25" t="s">
        <v>46</v>
      </c>
      <c r="I25" t="s">
        <v>7</v>
      </c>
      <c r="J25" s="3">
        <v>-15.7</v>
      </c>
      <c r="K25" t="str">
        <f t="shared" si="1"/>
        <v>décembre</v>
      </c>
      <c r="L25" t="str">
        <f t="shared" si="2"/>
        <v>Dépenses</v>
      </c>
    </row>
    <row r="26" spans="1:12" x14ac:dyDescent="0.2">
      <c r="A26" t="s">
        <v>2</v>
      </c>
      <c r="B26" t="s">
        <v>8</v>
      </c>
      <c r="C26" t="s">
        <v>47</v>
      </c>
      <c r="D26" s="2">
        <v>43458</v>
      </c>
      <c r="E26" s="2">
        <f t="shared" si="0"/>
        <v>43507</v>
      </c>
      <c r="F26" t="s">
        <v>48</v>
      </c>
      <c r="G26" t="s">
        <v>49</v>
      </c>
      <c r="H26" t="s">
        <v>50</v>
      </c>
      <c r="I26" t="s">
        <v>7</v>
      </c>
      <c r="J26" s="3">
        <v>-15.97</v>
      </c>
      <c r="K26" t="str">
        <f t="shared" si="1"/>
        <v>décembre</v>
      </c>
      <c r="L26" t="str">
        <f t="shared" si="2"/>
        <v>Dépenses</v>
      </c>
    </row>
    <row r="27" spans="1:12" x14ac:dyDescent="0.2">
      <c r="A27" t="s">
        <v>2</v>
      </c>
      <c r="B27" t="s">
        <v>8</v>
      </c>
      <c r="C27" t="s">
        <v>47</v>
      </c>
      <c r="D27" s="2">
        <v>43458</v>
      </c>
      <c r="E27" s="2">
        <f t="shared" si="0"/>
        <v>43507</v>
      </c>
      <c r="F27" t="s">
        <v>5</v>
      </c>
      <c r="G27" t="s">
        <v>5</v>
      </c>
      <c r="H27" t="s">
        <v>50</v>
      </c>
      <c r="I27" t="s">
        <v>7</v>
      </c>
      <c r="J27" s="3">
        <v>-17.410000000000004</v>
      </c>
      <c r="K27" t="str">
        <f t="shared" si="1"/>
        <v>décembre</v>
      </c>
      <c r="L27" t="str">
        <f t="shared" si="2"/>
        <v>Dépenses</v>
      </c>
    </row>
    <row r="28" spans="1:12" x14ac:dyDescent="0.2">
      <c r="A28" t="s">
        <v>2</v>
      </c>
      <c r="B28" t="s">
        <v>8</v>
      </c>
      <c r="D28" s="2">
        <v>43458</v>
      </c>
      <c r="E28" s="2">
        <f t="shared" si="0"/>
        <v>43507</v>
      </c>
      <c r="F28" t="s">
        <v>21</v>
      </c>
      <c r="G28" t="s">
        <v>21</v>
      </c>
      <c r="H28" t="s">
        <v>50</v>
      </c>
      <c r="I28" t="s">
        <v>7</v>
      </c>
      <c r="J28" s="3">
        <v>-14.9</v>
      </c>
      <c r="K28" t="str">
        <f t="shared" si="1"/>
        <v>décembre</v>
      </c>
      <c r="L28" t="str">
        <f t="shared" si="2"/>
        <v>Dépenses</v>
      </c>
    </row>
    <row r="29" spans="1:12" x14ac:dyDescent="0.2">
      <c r="A29" t="s">
        <v>2</v>
      </c>
      <c r="B29" t="s">
        <v>3</v>
      </c>
      <c r="D29" s="2">
        <v>43458</v>
      </c>
      <c r="E29" s="2">
        <f t="shared" si="0"/>
        <v>43507</v>
      </c>
      <c r="F29" t="s">
        <v>51</v>
      </c>
      <c r="G29" t="s">
        <v>52</v>
      </c>
      <c r="H29" t="s">
        <v>51</v>
      </c>
      <c r="I29" t="s">
        <v>7</v>
      </c>
      <c r="J29" s="3">
        <v>-37.99</v>
      </c>
      <c r="K29" t="str">
        <f t="shared" si="1"/>
        <v>décembre</v>
      </c>
      <c r="L29" t="str">
        <f t="shared" si="2"/>
        <v>Dépenses</v>
      </c>
    </row>
    <row r="30" spans="1:12" x14ac:dyDescent="0.2">
      <c r="A30" t="s">
        <v>2</v>
      </c>
      <c r="B30" t="s">
        <v>8</v>
      </c>
      <c r="D30" s="2">
        <v>43460</v>
      </c>
      <c r="E30" s="2">
        <f t="shared" si="0"/>
        <v>43507</v>
      </c>
      <c r="F30" t="s">
        <v>53</v>
      </c>
      <c r="G30" t="s">
        <v>5</v>
      </c>
      <c r="H30" t="s">
        <v>50</v>
      </c>
      <c r="I30" t="s">
        <v>7</v>
      </c>
      <c r="J30" s="3">
        <v>-8.6199999999999992</v>
      </c>
      <c r="K30" t="str">
        <f t="shared" si="1"/>
        <v>décembre</v>
      </c>
      <c r="L30" t="str">
        <f t="shared" si="2"/>
        <v>Dépenses</v>
      </c>
    </row>
    <row r="31" spans="1:12" x14ac:dyDescent="0.2">
      <c r="A31" t="s">
        <v>2</v>
      </c>
      <c r="B31" t="s">
        <v>8</v>
      </c>
      <c r="D31" s="2">
        <v>43461</v>
      </c>
      <c r="E31" s="2">
        <v>43501</v>
      </c>
      <c r="F31" t="s">
        <v>54</v>
      </c>
      <c r="G31" t="s">
        <v>25</v>
      </c>
      <c r="H31" t="s">
        <v>55</v>
      </c>
      <c r="I31" t="s">
        <v>7</v>
      </c>
      <c r="J31" s="3">
        <v>-23.5</v>
      </c>
      <c r="K31" t="str">
        <f t="shared" si="1"/>
        <v>décembre</v>
      </c>
      <c r="L31" t="str">
        <f t="shared" si="2"/>
        <v>Dépenses</v>
      </c>
    </row>
    <row r="32" spans="1:12" x14ac:dyDescent="0.2">
      <c r="A32" t="s">
        <v>2</v>
      </c>
      <c r="B32" t="s">
        <v>3</v>
      </c>
      <c r="D32" s="2">
        <v>43462</v>
      </c>
      <c r="E32" s="2">
        <f>IF(A32="","",IF(A32&lt;&gt;"Carte Lux",D32,VLOOKUP(D32,Periode_datedebit_2019,3)))</f>
        <v>43507</v>
      </c>
      <c r="F32" t="s">
        <v>56</v>
      </c>
      <c r="G32" t="s">
        <v>5</v>
      </c>
      <c r="H32" t="s">
        <v>37</v>
      </c>
      <c r="I32" t="s">
        <v>7</v>
      </c>
      <c r="J32" s="3">
        <v>-47.34</v>
      </c>
      <c r="K32" t="str">
        <f t="shared" si="1"/>
        <v>décembre</v>
      </c>
      <c r="L32" t="str">
        <f t="shared" si="2"/>
        <v>Dépenses</v>
      </c>
    </row>
    <row r="33" spans="1:12" x14ac:dyDescent="0.2">
      <c r="A33" t="s">
        <v>2</v>
      </c>
      <c r="B33" t="s">
        <v>3</v>
      </c>
      <c r="D33" s="2">
        <v>43462</v>
      </c>
      <c r="E33" s="2">
        <f>IF(A33="","",IF(A33&lt;&gt;"Carte Lux",D33,VLOOKUP(D33,Periode_datedebit_2019,3)))</f>
        <v>43507</v>
      </c>
      <c r="F33" t="s">
        <v>57</v>
      </c>
      <c r="G33" t="s">
        <v>5</v>
      </c>
      <c r="H33" t="s">
        <v>6</v>
      </c>
      <c r="I33" t="s">
        <v>7</v>
      </c>
      <c r="J33" s="3">
        <v>-38.89</v>
      </c>
      <c r="K33" t="str">
        <f t="shared" si="1"/>
        <v>décembre</v>
      </c>
      <c r="L33" t="str">
        <f t="shared" si="2"/>
        <v>Dépenses</v>
      </c>
    </row>
    <row r="34" spans="1:12" x14ac:dyDescent="0.2">
      <c r="A34" t="s">
        <v>2</v>
      </c>
      <c r="B34" t="s">
        <v>8</v>
      </c>
      <c r="C34" s="1" t="s">
        <v>58</v>
      </c>
      <c r="D34" s="2">
        <v>43462</v>
      </c>
      <c r="E34" s="2">
        <v>43501</v>
      </c>
      <c r="F34" t="s">
        <v>59</v>
      </c>
      <c r="G34" t="s">
        <v>60</v>
      </c>
      <c r="H34" t="s">
        <v>61</v>
      </c>
      <c r="I34" t="s">
        <v>7</v>
      </c>
      <c r="J34" s="3">
        <v>-29.99</v>
      </c>
      <c r="K34" t="str">
        <f t="shared" si="1"/>
        <v>décembre</v>
      </c>
      <c r="L34" t="str">
        <f t="shared" si="2"/>
        <v>Dépenses</v>
      </c>
    </row>
    <row r="35" spans="1:12" x14ac:dyDescent="0.2">
      <c r="A35" t="s">
        <v>2</v>
      </c>
      <c r="B35" t="s">
        <v>3</v>
      </c>
      <c r="D35" s="2">
        <v>43463</v>
      </c>
      <c r="E35" s="2">
        <f>IF(A35="","",IF(A35&lt;&gt;"Carte Lux",D35,VLOOKUP(D35,Periode_datedebit_2019,3)))</f>
        <v>43507</v>
      </c>
      <c r="F35" t="s">
        <v>57</v>
      </c>
      <c r="G35" t="s">
        <v>5</v>
      </c>
      <c r="H35" t="s">
        <v>6</v>
      </c>
      <c r="I35" t="s">
        <v>7</v>
      </c>
      <c r="J35" s="3">
        <v>-146.18</v>
      </c>
      <c r="K35" t="str">
        <f t="shared" si="1"/>
        <v>décembre</v>
      </c>
      <c r="L35" t="str">
        <f t="shared" si="2"/>
        <v>Dépenses</v>
      </c>
    </row>
    <row r="36" spans="1:12" x14ac:dyDescent="0.2">
      <c r="A36" t="s">
        <v>2</v>
      </c>
      <c r="B36" t="s">
        <v>8</v>
      </c>
      <c r="D36" s="2">
        <v>43464</v>
      </c>
      <c r="E36" s="2">
        <v>43501</v>
      </c>
      <c r="F36" t="s">
        <v>62</v>
      </c>
      <c r="G36" t="s">
        <v>63</v>
      </c>
      <c r="H36" t="s">
        <v>64</v>
      </c>
      <c r="I36" t="s">
        <v>7</v>
      </c>
      <c r="J36" s="3">
        <v>-35.43</v>
      </c>
      <c r="K36" t="str">
        <f t="shared" si="1"/>
        <v>décembre</v>
      </c>
      <c r="L36" t="str">
        <f t="shared" si="2"/>
        <v>Dépenses</v>
      </c>
    </row>
    <row r="37" spans="1:12" x14ac:dyDescent="0.2">
      <c r="A37" t="s">
        <v>2</v>
      </c>
      <c r="B37" t="s">
        <v>8</v>
      </c>
      <c r="D37" s="2">
        <v>43464</v>
      </c>
      <c r="E37" s="2">
        <v>43501</v>
      </c>
      <c r="F37" t="s">
        <v>21</v>
      </c>
      <c r="G37" t="s">
        <v>21</v>
      </c>
      <c r="H37" t="s">
        <v>64</v>
      </c>
      <c r="I37" t="s">
        <v>7</v>
      </c>
      <c r="J37" s="3">
        <v>-9.8000000000000007</v>
      </c>
      <c r="K37" t="str">
        <f t="shared" si="1"/>
        <v>décembre</v>
      </c>
      <c r="L37" t="str">
        <f t="shared" si="2"/>
        <v>Dépenses</v>
      </c>
    </row>
    <row r="38" spans="1:12" x14ac:dyDescent="0.2">
      <c r="A38" t="s">
        <v>2</v>
      </c>
      <c r="B38" t="s">
        <v>8</v>
      </c>
      <c r="D38" s="2">
        <v>43464</v>
      </c>
      <c r="E38" s="2">
        <v>43501</v>
      </c>
      <c r="F38" t="s">
        <v>65</v>
      </c>
      <c r="G38" t="s">
        <v>5</v>
      </c>
      <c r="H38" t="s">
        <v>64</v>
      </c>
      <c r="I38" t="s">
        <v>7</v>
      </c>
      <c r="J38" s="3">
        <f>-4.8*2</f>
        <v>-9.6</v>
      </c>
      <c r="K38" t="str">
        <f t="shared" si="1"/>
        <v>décembre</v>
      </c>
      <c r="L38" t="str">
        <f t="shared" si="2"/>
        <v>Dépenses</v>
      </c>
    </row>
    <row r="39" spans="1:12" x14ac:dyDescent="0.2">
      <c r="A39" t="s">
        <v>2</v>
      </c>
      <c r="B39" t="s">
        <v>3</v>
      </c>
      <c r="D39" s="2">
        <v>43465</v>
      </c>
      <c r="E39" s="2">
        <f t="shared" ref="E39:E58" si="3">IF(A39="","",IF(A39&lt;&gt;"Carte Lux",D39,VLOOKUP(D39,Periode_datedebit_2019,3)))</f>
        <v>43507</v>
      </c>
      <c r="F39" t="s">
        <v>57</v>
      </c>
      <c r="G39" t="s">
        <v>5</v>
      </c>
      <c r="H39" t="s">
        <v>6</v>
      </c>
      <c r="I39" t="s">
        <v>7</v>
      </c>
      <c r="J39" s="3">
        <v>-61.89</v>
      </c>
      <c r="K39" t="str">
        <f t="shared" si="1"/>
        <v>décembre</v>
      </c>
      <c r="L39" t="str">
        <f t="shared" si="2"/>
        <v>Dépenses</v>
      </c>
    </row>
    <row r="40" spans="1:12" x14ac:dyDescent="0.2">
      <c r="A40" t="s">
        <v>2</v>
      </c>
      <c r="B40" t="s">
        <v>8</v>
      </c>
      <c r="D40" s="2">
        <v>43465</v>
      </c>
      <c r="E40" s="2">
        <f t="shared" si="3"/>
        <v>43507</v>
      </c>
      <c r="F40" t="s">
        <v>66</v>
      </c>
      <c r="G40" t="s">
        <v>60</v>
      </c>
      <c r="H40" t="s">
        <v>61</v>
      </c>
      <c r="I40" t="s">
        <v>7</v>
      </c>
      <c r="J40" s="3">
        <v>-62.97</v>
      </c>
      <c r="K40" t="str">
        <f t="shared" si="1"/>
        <v>décembre</v>
      </c>
      <c r="L40" t="str">
        <f t="shared" si="2"/>
        <v>Dépenses</v>
      </c>
    </row>
    <row r="41" spans="1:12" x14ac:dyDescent="0.2">
      <c r="A41" t="s">
        <v>2</v>
      </c>
      <c r="B41" t="s">
        <v>8</v>
      </c>
      <c r="D41" s="2">
        <v>43465</v>
      </c>
      <c r="E41" s="2">
        <f t="shared" si="3"/>
        <v>43507</v>
      </c>
      <c r="F41" t="s">
        <v>66</v>
      </c>
      <c r="G41" t="s">
        <v>60</v>
      </c>
      <c r="H41" t="s">
        <v>61</v>
      </c>
      <c r="I41" t="s">
        <v>7</v>
      </c>
      <c r="J41" s="3">
        <v>-29.01</v>
      </c>
      <c r="K41" t="str">
        <f t="shared" si="1"/>
        <v>décembre</v>
      </c>
      <c r="L41" t="str">
        <f t="shared" si="2"/>
        <v>Dépenses</v>
      </c>
    </row>
    <row r="42" spans="1:12" x14ac:dyDescent="0.2">
      <c r="A42" t="s">
        <v>2</v>
      </c>
      <c r="B42" t="s">
        <v>8</v>
      </c>
      <c r="D42" s="2">
        <v>43465</v>
      </c>
      <c r="E42" s="2">
        <f t="shared" si="3"/>
        <v>43507</v>
      </c>
      <c r="F42" t="s">
        <v>67</v>
      </c>
      <c r="G42" t="s">
        <v>5</v>
      </c>
      <c r="H42" t="s">
        <v>68</v>
      </c>
      <c r="I42" t="s">
        <v>7</v>
      </c>
      <c r="J42" s="3">
        <v>-18.5</v>
      </c>
      <c r="K42" t="str">
        <f t="shared" si="1"/>
        <v>décembre</v>
      </c>
      <c r="L42" t="str">
        <f t="shared" si="2"/>
        <v>Dépenses</v>
      </c>
    </row>
    <row r="43" spans="1:12" ht="15" x14ac:dyDescent="0.25">
      <c r="A43" t="s">
        <v>69</v>
      </c>
      <c r="B43" s="4" t="s">
        <v>70</v>
      </c>
      <c r="C43" s="5" t="s">
        <v>71</v>
      </c>
      <c r="D43" s="2">
        <v>43466</v>
      </c>
      <c r="E43" s="2">
        <f t="shared" si="3"/>
        <v>43466</v>
      </c>
      <c r="F43" t="s">
        <v>72</v>
      </c>
      <c r="G43" t="s">
        <v>73</v>
      </c>
      <c r="H43" t="s">
        <v>74</v>
      </c>
      <c r="I43" t="s">
        <v>7</v>
      </c>
      <c r="J43" s="6">
        <v>-500</v>
      </c>
      <c r="K43" t="str">
        <f t="shared" si="1"/>
        <v>janvier</v>
      </c>
      <c r="L43" t="str">
        <f t="shared" si="2"/>
        <v>Dépenses</v>
      </c>
    </row>
    <row r="44" spans="1:12" ht="15" x14ac:dyDescent="0.25">
      <c r="A44" t="s">
        <v>75</v>
      </c>
      <c r="B44" s="4" t="s">
        <v>70</v>
      </c>
      <c r="C44" s="5" t="s">
        <v>71</v>
      </c>
      <c r="D44" s="2">
        <v>43466</v>
      </c>
      <c r="E44" s="2">
        <f t="shared" si="3"/>
        <v>43466</v>
      </c>
      <c r="F44" t="s">
        <v>72</v>
      </c>
      <c r="G44" t="s">
        <v>76</v>
      </c>
      <c r="H44" t="s">
        <v>74</v>
      </c>
      <c r="I44" t="s">
        <v>7</v>
      </c>
      <c r="J44" s="6">
        <v>500</v>
      </c>
      <c r="K44" t="str">
        <f t="shared" si="1"/>
        <v>janvier</v>
      </c>
      <c r="L44" t="str">
        <f t="shared" si="2"/>
        <v>Recettes</v>
      </c>
    </row>
    <row r="45" spans="1:12" x14ac:dyDescent="0.2">
      <c r="A45" t="s">
        <v>77</v>
      </c>
      <c r="B45" t="s">
        <v>77</v>
      </c>
      <c r="D45" s="2">
        <v>43466</v>
      </c>
      <c r="E45" s="2">
        <f t="shared" si="3"/>
        <v>43466</v>
      </c>
      <c r="F45" t="s">
        <v>78</v>
      </c>
      <c r="G45" t="s">
        <v>79</v>
      </c>
      <c r="H45" t="s">
        <v>80</v>
      </c>
      <c r="I45" t="s">
        <v>77</v>
      </c>
      <c r="J45" s="3">
        <v>30</v>
      </c>
      <c r="K45" t="str">
        <f t="shared" si="1"/>
        <v>janvier</v>
      </c>
      <c r="L45" t="str">
        <f t="shared" si="2"/>
        <v>Recettes</v>
      </c>
    </row>
    <row r="46" spans="1:12" x14ac:dyDescent="0.2">
      <c r="A46" t="s">
        <v>77</v>
      </c>
      <c r="B46" s="4" t="s">
        <v>77</v>
      </c>
      <c r="D46" s="2">
        <v>43466</v>
      </c>
      <c r="E46" s="2">
        <f t="shared" si="3"/>
        <v>43466</v>
      </c>
      <c r="F46" t="s">
        <v>81</v>
      </c>
      <c r="G46" t="s">
        <v>19</v>
      </c>
      <c r="I46" t="s">
        <v>77</v>
      </c>
      <c r="J46" s="3">
        <v>360</v>
      </c>
      <c r="K46" t="str">
        <f t="shared" si="1"/>
        <v>janvier</v>
      </c>
      <c r="L46" t="str">
        <f t="shared" si="2"/>
        <v>Recettes</v>
      </c>
    </row>
    <row r="47" spans="1:12" x14ac:dyDescent="0.2">
      <c r="A47" t="s">
        <v>77</v>
      </c>
      <c r="B47" t="s">
        <v>77</v>
      </c>
      <c r="D47" s="2">
        <v>43466</v>
      </c>
      <c r="E47" s="2">
        <f t="shared" si="3"/>
        <v>43466</v>
      </c>
      <c r="F47" t="s">
        <v>82</v>
      </c>
      <c r="G47" t="s">
        <v>5</v>
      </c>
      <c r="H47" t="s">
        <v>50</v>
      </c>
      <c r="I47" t="s">
        <v>77</v>
      </c>
      <c r="J47" s="3">
        <v>-1.5</v>
      </c>
      <c r="K47" t="str">
        <f t="shared" si="1"/>
        <v>janvier</v>
      </c>
      <c r="L47" t="str">
        <f t="shared" si="2"/>
        <v>Dépenses</v>
      </c>
    </row>
    <row r="48" spans="1:12" x14ac:dyDescent="0.2">
      <c r="A48" t="s">
        <v>83</v>
      </c>
      <c r="B48" t="s">
        <v>84</v>
      </c>
      <c r="D48" s="2">
        <v>43466</v>
      </c>
      <c r="E48" s="2">
        <f t="shared" si="3"/>
        <v>43466</v>
      </c>
      <c r="F48" t="s">
        <v>85</v>
      </c>
      <c r="G48" t="s">
        <v>86</v>
      </c>
      <c r="H48" t="s">
        <v>87</v>
      </c>
      <c r="I48" t="s">
        <v>7</v>
      </c>
      <c r="J48" s="3">
        <v>0.05</v>
      </c>
      <c r="K48" t="str">
        <f t="shared" si="1"/>
        <v>janvier</v>
      </c>
      <c r="L48" t="str">
        <f t="shared" si="2"/>
        <v>Recettes</v>
      </c>
    </row>
    <row r="49" spans="1:12" x14ac:dyDescent="0.2">
      <c r="A49" t="s">
        <v>88</v>
      </c>
      <c r="B49" t="s">
        <v>84</v>
      </c>
      <c r="D49" s="2">
        <v>43466</v>
      </c>
      <c r="E49" s="2">
        <f t="shared" si="3"/>
        <v>43466</v>
      </c>
      <c r="F49" t="s">
        <v>85</v>
      </c>
      <c r="G49" t="s">
        <v>86</v>
      </c>
      <c r="H49" t="s">
        <v>87</v>
      </c>
      <c r="I49" t="s">
        <v>7</v>
      </c>
      <c r="J49" s="3">
        <v>0.05</v>
      </c>
      <c r="K49" t="str">
        <f t="shared" si="1"/>
        <v>janvier</v>
      </c>
      <c r="L49" t="str">
        <f t="shared" si="2"/>
        <v>Recettes</v>
      </c>
    </row>
    <row r="50" spans="1:12" x14ac:dyDescent="0.2">
      <c r="A50" t="s">
        <v>89</v>
      </c>
      <c r="B50" t="s">
        <v>84</v>
      </c>
      <c r="D50" s="2">
        <v>43466</v>
      </c>
      <c r="E50" s="2">
        <f t="shared" si="3"/>
        <v>43466</v>
      </c>
      <c r="F50" t="s">
        <v>85</v>
      </c>
      <c r="G50" t="s">
        <v>86</v>
      </c>
      <c r="H50" t="s">
        <v>87</v>
      </c>
      <c r="I50" t="s">
        <v>7</v>
      </c>
      <c r="J50" s="3">
        <v>0.08</v>
      </c>
      <c r="K50" t="str">
        <f t="shared" si="1"/>
        <v>janvier</v>
      </c>
      <c r="L50" t="str">
        <f t="shared" si="2"/>
        <v>Recettes</v>
      </c>
    </row>
    <row r="51" spans="1:12" x14ac:dyDescent="0.2">
      <c r="A51" t="s">
        <v>90</v>
      </c>
      <c r="B51" t="s">
        <v>84</v>
      </c>
      <c r="D51" s="2">
        <v>43466</v>
      </c>
      <c r="E51" s="2">
        <f t="shared" si="3"/>
        <v>43466</v>
      </c>
      <c r="F51" t="s">
        <v>85</v>
      </c>
      <c r="G51" t="s">
        <v>86</v>
      </c>
      <c r="H51" t="s">
        <v>87</v>
      </c>
      <c r="I51" t="s">
        <v>7</v>
      </c>
      <c r="J51" s="3">
        <v>0.8</v>
      </c>
      <c r="K51" t="str">
        <f t="shared" si="1"/>
        <v>janvier</v>
      </c>
      <c r="L51" t="str">
        <f t="shared" si="2"/>
        <v>Recettes</v>
      </c>
    </row>
    <row r="52" spans="1:12" x14ac:dyDescent="0.2">
      <c r="A52" t="s">
        <v>91</v>
      </c>
      <c r="B52" t="s">
        <v>84</v>
      </c>
      <c r="D52" s="2">
        <v>43466</v>
      </c>
      <c r="E52" s="2">
        <f t="shared" si="3"/>
        <v>43466</v>
      </c>
      <c r="F52" t="s">
        <v>85</v>
      </c>
      <c r="G52" t="s">
        <v>86</v>
      </c>
      <c r="H52" t="s">
        <v>87</v>
      </c>
      <c r="I52" t="s">
        <v>7</v>
      </c>
      <c r="J52" s="3">
        <v>0.08</v>
      </c>
      <c r="K52" t="str">
        <f t="shared" si="1"/>
        <v>janvier</v>
      </c>
      <c r="L52" t="str">
        <f t="shared" si="2"/>
        <v>Recettes</v>
      </c>
    </row>
    <row r="53" spans="1:12" x14ac:dyDescent="0.2">
      <c r="A53" t="s">
        <v>92</v>
      </c>
      <c r="B53" t="s">
        <v>84</v>
      </c>
      <c r="D53" s="2">
        <v>43466</v>
      </c>
      <c r="E53" s="2">
        <f t="shared" si="3"/>
        <v>43466</v>
      </c>
      <c r="F53" t="s">
        <v>85</v>
      </c>
      <c r="G53" t="s">
        <v>86</v>
      </c>
      <c r="H53" t="s">
        <v>87</v>
      </c>
      <c r="I53" t="s">
        <v>7</v>
      </c>
      <c r="J53" s="3">
        <v>0.08</v>
      </c>
      <c r="K53" t="str">
        <f t="shared" si="1"/>
        <v>janvier</v>
      </c>
      <c r="L53" t="str">
        <f t="shared" si="2"/>
        <v>Recettes</v>
      </c>
    </row>
    <row r="54" spans="1:12" x14ac:dyDescent="0.2">
      <c r="A54" t="s">
        <v>2</v>
      </c>
      <c r="B54" t="s">
        <v>8</v>
      </c>
      <c r="D54" s="2">
        <v>43467</v>
      </c>
      <c r="E54" s="2">
        <f t="shared" si="3"/>
        <v>43507</v>
      </c>
      <c r="F54" t="s">
        <v>93</v>
      </c>
      <c r="G54" t="s">
        <v>10</v>
      </c>
      <c r="H54" t="s">
        <v>11</v>
      </c>
      <c r="I54" t="s">
        <v>7</v>
      </c>
      <c r="J54" s="3">
        <v>-25</v>
      </c>
      <c r="K54" t="str">
        <f t="shared" si="1"/>
        <v>janvier</v>
      </c>
      <c r="L54" t="str">
        <f t="shared" si="2"/>
        <v>Dépenses</v>
      </c>
    </row>
    <row r="55" spans="1:12" x14ac:dyDescent="0.2">
      <c r="A55" t="s">
        <v>94</v>
      </c>
      <c r="B55" s="4" t="s">
        <v>70</v>
      </c>
      <c r="C55" s="5" t="s">
        <v>95</v>
      </c>
      <c r="D55" s="2">
        <v>43467</v>
      </c>
      <c r="E55" s="2">
        <f t="shared" si="3"/>
        <v>43467</v>
      </c>
      <c r="F55" t="s">
        <v>96</v>
      </c>
      <c r="G55" t="s">
        <v>86</v>
      </c>
      <c r="H55" t="s">
        <v>87</v>
      </c>
      <c r="I55" t="s">
        <v>7</v>
      </c>
      <c r="J55" s="3">
        <v>-6.72</v>
      </c>
      <c r="K55" t="str">
        <f t="shared" si="1"/>
        <v>janvier</v>
      </c>
      <c r="L55" t="str">
        <f t="shared" si="2"/>
        <v>Dépenses</v>
      </c>
    </row>
    <row r="56" spans="1:12" ht="15" x14ac:dyDescent="0.25">
      <c r="A56" t="s">
        <v>69</v>
      </c>
      <c r="B56" s="4" t="s">
        <v>70</v>
      </c>
      <c r="C56" s="7" t="s">
        <v>97</v>
      </c>
      <c r="D56" s="2">
        <v>43467</v>
      </c>
      <c r="E56" s="2">
        <f t="shared" si="3"/>
        <v>43467</v>
      </c>
      <c r="F56" t="s">
        <v>98</v>
      </c>
      <c r="G56" t="s">
        <v>73</v>
      </c>
      <c r="H56" t="s">
        <v>74</v>
      </c>
      <c r="I56" t="s">
        <v>7</v>
      </c>
      <c r="J56" s="6">
        <v>-597</v>
      </c>
      <c r="K56" t="str">
        <f t="shared" si="1"/>
        <v>janvier</v>
      </c>
      <c r="L56" t="str">
        <f t="shared" si="2"/>
        <v>Dépenses</v>
      </c>
    </row>
    <row r="57" spans="1:12" ht="15" x14ac:dyDescent="0.25">
      <c r="A57" t="s">
        <v>69</v>
      </c>
      <c r="B57" s="4" t="s">
        <v>70</v>
      </c>
      <c r="C57" s="7" t="s">
        <v>99</v>
      </c>
      <c r="D57" s="2">
        <v>43467</v>
      </c>
      <c r="E57" s="2">
        <f t="shared" si="3"/>
        <v>43467</v>
      </c>
      <c r="F57" t="s">
        <v>100</v>
      </c>
      <c r="G57" t="s">
        <v>73</v>
      </c>
      <c r="H57" t="s">
        <v>74</v>
      </c>
      <c r="I57" t="s">
        <v>7</v>
      </c>
      <c r="J57" s="6">
        <v>-120</v>
      </c>
      <c r="K57" t="str">
        <f t="shared" si="1"/>
        <v>janvier</v>
      </c>
      <c r="L57" t="str">
        <f t="shared" si="2"/>
        <v>Dépenses</v>
      </c>
    </row>
    <row r="58" spans="1:12" ht="15" x14ac:dyDescent="0.25">
      <c r="A58" t="s">
        <v>69</v>
      </c>
      <c r="B58" s="4" t="s">
        <v>70</v>
      </c>
      <c r="C58" s="7" t="s">
        <v>101</v>
      </c>
      <c r="D58" s="2">
        <v>43467</v>
      </c>
      <c r="E58" s="2">
        <f t="shared" si="3"/>
        <v>43467</v>
      </c>
      <c r="F58" t="s">
        <v>102</v>
      </c>
      <c r="G58" t="s">
        <v>103</v>
      </c>
      <c r="H58" t="s">
        <v>94</v>
      </c>
      <c r="I58" t="s">
        <v>7</v>
      </c>
      <c r="J58" s="6">
        <v>-400</v>
      </c>
      <c r="K58" t="str">
        <f t="shared" si="1"/>
        <v>janvier</v>
      </c>
      <c r="L58" t="str">
        <f t="shared" si="2"/>
        <v>Dépenses</v>
      </c>
    </row>
    <row r="59" spans="1:12" ht="15" x14ac:dyDescent="0.25">
      <c r="A59" t="s">
        <v>69</v>
      </c>
      <c r="B59" s="4" t="s">
        <v>70</v>
      </c>
      <c r="C59" s="5" t="s">
        <v>104</v>
      </c>
      <c r="D59" s="2">
        <v>43467</v>
      </c>
      <c r="E59" s="2">
        <v>43467</v>
      </c>
      <c r="F59" t="s">
        <v>105</v>
      </c>
      <c r="G59" t="s">
        <v>106</v>
      </c>
      <c r="H59" t="s">
        <v>107</v>
      </c>
      <c r="I59" t="s">
        <v>7</v>
      </c>
      <c r="J59" s="6">
        <v>-10.99</v>
      </c>
      <c r="K59" t="str">
        <f t="shared" si="1"/>
        <v>janvier</v>
      </c>
      <c r="L59" t="str">
        <f t="shared" si="2"/>
        <v>Dépenses</v>
      </c>
    </row>
    <row r="60" spans="1:12" x14ac:dyDescent="0.2">
      <c r="A60" t="s">
        <v>108</v>
      </c>
      <c r="B60" t="s">
        <v>109</v>
      </c>
      <c r="D60" s="2">
        <v>43467</v>
      </c>
      <c r="E60" s="2">
        <f t="shared" ref="E60:E113" si="4">IF(A60="","",IF(A60&lt;&gt;"Carte Lux",D60,VLOOKUP(D60,Periode_datedebit_2019,3)))</f>
        <v>43467</v>
      </c>
      <c r="F60" t="s">
        <v>110</v>
      </c>
      <c r="G60" t="s">
        <v>111</v>
      </c>
      <c r="H60" t="s">
        <v>112</v>
      </c>
      <c r="I60" t="s">
        <v>7</v>
      </c>
      <c r="J60" s="3">
        <v>-15.3</v>
      </c>
      <c r="K60" t="str">
        <f t="shared" si="1"/>
        <v>janvier</v>
      </c>
      <c r="L60" t="str">
        <f t="shared" si="2"/>
        <v>Dépenses</v>
      </c>
    </row>
    <row r="61" spans="1:12" x14ac:dyDescent="0.2">
      <c r="A61" t="s">
        <v>77</v>
      </c>
      <c r="B61" s="4" t="s">
        <v>113</v>
      </c>
      <c r="D61" s="2">
        <v>43467</v>
      </c>
      <c r="E61" s="2">
        <f t="shared" si="4"/>
        <v>43467</v>
      </c>
      <c r="F61" t="s">
        <v>114</v>
      </c>
      <c r="G61" t="s">
        <v>115</v>
      </c>
      <c r="H61" t="s">
        <v>114</v>
      </c>
      <c r="I61" t="s">
        <v>77</v>
      </c>
      <c r="J61" s="3">
        <v>-15.5</v>
      </c>
      <c r="K61" t="str">
        <f t="shared" si="1"/>
        <v>janvier</v>
      </c>
      <c r="L61" t="str">
        <f t="shared" si="2"/>
        <v>Dépenses</v>
      </c>
    </row>
    <row r="62" spans="1:12" x14ac:dyDescent="0.2">
      <c r="A62" t="s">
        <v>2</v>
      </c>
      <c r="B62" t="s">
        <v>3</v>
      </c>
      <c r="C62" t="s">
        <v>116</v>
      </c>
      <c r="D62" s="2">
        <v>43467</v>
      </c>
      <c r="E62" s="2">
        <f t="shared" si="4"/>
        <v>43507</v>
      </c>
      <c r="F62" t="s">
        <v>48</v>
      </c>
      <c r="G62" t="s">
        <v>49</v>
      </c>
      <c r="H62" t="s">
        <v>23</v>
      </c>
      <c r="I62" t="s">
        <v>7</v>
      </c>
      <c r="J62" s="3">
        <v>-8.4700000000000006</v>
      </c>
      <c r="K62" t="str">
        <f t="shared" si="1"/>
        <v>janvier</v>
      </c>
      <c r="L62" t="str">
        <f t="shared" si="2"/>
        <v>Dépenses</v>
      </c>
    </row>
    <row r="63" spans="1:12" x14ac:dyDescent="0.2">
      <c r="A63" t="s">
        <v>2</v>
      </c>
      <c r="B63" t="s">
        <v>3</v>
      </c>
      <c r="C63" t="s">
        <v>116</v>
      </c>
      <c r="D63" s="2">
        <v>43467</v>
      </c>
      <c r="E63" s="2">
        <f t="shared" si="4"/>
        <v>43507</v>
      </c>
      <c r="F63" t="s">
        <v>117</v>
      </c>
      <c r="G63" t="s">
        <v>118</v>
      </c>
      <c r="H63" t="s">
        <v>23</v>
      </c>
      <c r="I63" t="s">
        <v>7</v>
      </c>
      <c r="J63" s="3">
        <v>-6.66</v>
      </c>
      <c r="K63" t="str">
        <f t="shared" si="1"/>
        <v>janvier</v>
      </c>
      <c r="L63" t="str">
        <f t="shared" si="2"/>
        <v>Dépenses</v>
      </c>
    </row>
    <row r="64" spans="1:12" x14ac:dyDescent="0.2">
      <c r="A64" t="s">
        <v>2</v>
      </c>
      <c r="B64" t="s">
        <v>3</v>
      </c>
      <c r="C64" t="s">
        <v>116</v>
      </c>
      <c r="D64" s="2">
        <v>43467</v>
      </c>
      <c r="E64" s="2">
        <f t="shared" si="4"/>
        <v>43507</v>
      </c>
      <c r="F64" t="s">
        <v>5</v>
      </c>
      <c r="G64" t="s">
        <v>5</v>
      </c>
      <c r="H64" t="s">
        <v>23</v>
      </c>
      <c r="I64" t="s">
        <v>7</v>
      </c>
      <c r="J64" s="3">
        <f>-42.82--6.66--8.47</f>
        <v>-27.689999999999998</v>
      </c>
      <c r="K64" t="str">
        <f t="shared" si="1"/>
        <v>janvier</v>
      </c>
      <c r="L64" t="str">
        <f t="shared" si="2"/>
        <v>Dépenses</v>
      </c>
    </row>
    <row r="65" spans="1:12" x14ac:dyDescent="0.2">
      <c r="A65" t="s">
        <v>108</v>
      </c>
      <c r="B65" t="s">
        <v>109</v>
      </c>
      <c r="D65" s="2">
        <v>43467</v>
      </c>
      <c r="E65" s="2">
        <f t="shared" si="4"/>
        <v>43467</v>
      </c>
      <c r="F65" t="s">
        <v>119</v>
      </c>
      <c r="G65" t="s">
        <v>39</v>
      </c>
      <c r="H65" t="s">
        <v>120</v>
      </c>
      <c r="I65" t="s">
        <v>7</v>
      </c>
      <c r="J65" s="3">
        <v>-8</v>
      </c>
      <c r="K65" t="str">
        <f t="shared" si="1"/>
        <v>janvier</v>
      </c>
      <c r="L65" t="str">
        <f t="shared" si="2"/>
        <v>Dépenses</v>
      </c>
    </row>
    <row r="66" spans="1:12" x14ac:dyDescent="0.2">
      <c r="A66" t="s">
        <v>108</v>
      </c>
      <c r="B66" s="4" t="s">
        <v>70</v>
      </c>
      <c r="C66" s="5" t="s">
        <v>121</v>
      </c>
      <c r="D66" s="2">
        <v>43468</v>
      </c>
      <c r="E66" s="2">
        <f t="shared" si="4"/>
        <v>43468</v>
      </c>
      <c r="F66" t="s">
        <v>96</v>
      </c>
      <c r="G66" t="s">
        <v>86</v>
      </c>
      <c r="H66" t="s">
        <v>87</v>
      </c>
      <c r="I66" t="s">
        <v>7</v>
      </c>
      <c r="J66" s="3">
        <v>-6.72</v>
      </c>
      <c r="K66" t="str">
        <f t="shared" ref="K66:K129" si="5">IF(D66="","",TEXT(D66,"Mmmm"))</f>
        <v>janvier</v>
      </c>
      <c r="L66" t="str">
        <f t="shared" ref="L66:L129" si="6">IF(J66="","",IF(J66&lt;0,"Dépenses","Recettes"))</f>
        <v>Dépenses</v>
      </c>
    </row>
    <row r="67" spans="1:12" x14ac:dyDescent="0.2">
      <c r="A67" t="s">
        <v>94</v>
      </c>
      <c r="B67" t="s">
        <v>122</v>
      </c>
      <c r="C67">
        <v>8748507</v>
      </c>
      <c r="D67" s="2">
        <v>43468</v>
      </c>
      <c r="E67" s="2">
        <f t="shared" si="4"/>
        <v>43468</v>
      </c>
      <c r="F67" t="s">
        <v>123</v>
      </c>
      <c r="G67" t="s">
        <v>25</v>
      </c>
      <c r="H67" t="s">
        <v>124</v>
      </c>
      <c r="I67" t="s">
        <v>7</v>
      </c>
      <c r="J67" s="3">
        <v>-28.5</v>
      </c>
      <c r="K67" t="str">
        <f t="shared" si="5"/>
        <v>janvier</v>
      </c>
      <c r="L67" t="str">
        <f t="shared" si="6"/>
        <v>Dépenses</v>
      </c>
    </row>
    <row r="68" spans="1:12" x14ac:dyDescent="0.2">
      <c r="A68" t="s">
        <v>77</v>
      </c>
      <c r="B68" s="4" t="s">
        <v>113</v>
      </c>
      <c r="D68" s="2">
        <v>43468</v>
      </c>
      <c r="E68" s="2">
        <f t="shared" si="4"/>
        <v>43468</v>
      </c>
      <c r="F68" t="s">
        <v>114</v>
      </c>
      <c r="G68" t="s">
        <v>115</v>
      </c>
      <c r="H68" t="s">
        <v>114</v>
      </c>
      <c r="I68" t="s">
        <v>77</v>
      </c>
      <c r="J68" s="3">
        <v>-48</v>
      </c>
      <c r="K68" t="str">
        <f t="shared" si="5"/>
        <v>janvier</v>
      </c>
      <c r="L68" t="str">
        <f t="shared" si="6"/>
        <v>Dépenses</v>
      </c>
    </row>
    <row r="69" spans="1:12" x14ac:dyDescent="0.2">
      <c r="A69" t="s">
        <v>2</v>
      </c>
      <c r="B69" t="s">
        <v>3</v>
      </c>
      <c r="C69" t="s">
        <v>125</v>
      </c>
      <c r="D69" s="2">
        <v>43468</v>
      </c>
      <c r="E69" s="2">
        <f t="shared" si="4"/>
        <v>43507</v>
      </c>
      <c r="F69" t="s">
        <v>126</v>
      </c>
      <c r="G69" t="s">
        <v>127</v>
      </c>
      <c r="H69" t="s">
        <v>6</v>
      </c>
      <c r="I69" t="s">
        <v>7</v>
      </c>
      <c r="J69" s="3">
        <f>-6.99-3.99-2.14</f>
        <v>-13.120000000000001</v>
      </c>
      <c r="K69" t="str">
        <f t="shared" si="5"/>
        <v>janvier</v>
      </c>
      <c r="L69" t="str">
        <f t="shared" si="6"/>
        <v>Dépenses</v>
      </c>
    </row>
    <row r="70" spans="1:12" x14ac:dyDescent="0.2">
      <c r="A70" t="s">
        <v>2</v>
      </c>
      <c r="B70" t="s">
        <v>3</v>
      </c>
      <c r="C70" t="s">
        <v>125</v>
      </c>
      <c r="D70" s="2">
        <v>43468</v>
      </c>
      <c r="E70" s="2">
        <f t="shared" si="4"/>
        <v>43507</v>
      </c>
      <c r="F70" t="s">
        <v>48</v>
      </c>
      <c r="G70" t="s">
        <v>49</v>
      </c>
      <c r="H70" t="s">
        <v>6</v>
      </c>
      <c r="I70" t="s">
        <v>7</v>
      </c>
      <c r="J70" s="3">
        <v>-11.25</v>
      </c>
      <c r="K70" t="str">
        <f t="shared" si="5"/>
        <v>janvier</v>
      </c>
      <c r="L70" t="str">
        <f t="shared" si="6"/>
        <v>Dépenses</v>
      </c>
    </row>
    <row r="71" spans="1:12" x14ac:dyDescent="0.2">
      <c r="A71" t="s">
        <v>2</v>
      </c>
      <c r="B71" t="s">
        <v>3</v>
      </c>
      <c r="C71" t="s">
        <v>125</v>
      </c>
      <c r="D71" s="2">
        <v>43468</v>
      </c>
      <c r="E71" s="2">
        <f t="shared" si="4"/>
        <v>43507</v>
      </c>
      <c r="F71" t="s">
        <v>5</v>
      </c>
      <c r="G71" t="s">
        <v>5</v>
      </c>
      <c r="H71" t="s">
        <v>6</v>
      </c>
      <c r="I71" t="s">
        <v>7</v>
      </c>
      <c r="J71" s="3">
        <f>-46.34--13.12--11.25</f>
        <v>-21.970000000000006</v>
      </c>
      <c r="K71" t="str">
        <f t="shared" si="5"/>
        <v>janvier</v>
      </c>
      <c r="L71" t="str">
        <f t="shared" si="6"/>
        <v>Dépenses</v>
      </c>
    </row>
    <row r="72" spans="1:12" x14ac:dyDescent="0.2">
      <c r="A72" t="s">
        <v>2</v>
      </c>
      <c r="B72" t="s">
        <v>3</v>
      </c>
      <c r="C72" t="s">
        <v>128</v>
      </c>
      <c r="D72" s="2">
        <v>43468</v>
      </c>
      <c r="E72" s="2">
        <f t="shared" si="4"/>
        <v>43507</v>
      </c>
      <c r="F72" t="s">
        <v>129</v>
      </c>
      <c r="G72" t="s">
        <v>5</v>
      </c>
      <c r="H72" t="s">
        <v>37</v>
      </c>
      <c r="I72" t="s">
        <v>7</v>
      </c>
      <c r="J72" s="3">
        <f>-5.19-4.43*2-2.34*2-3.36</f>
        <v>-22.09</v>
      </c>
      <c r="K72" t="str">
        <f t="shared" si="5"/>
        <v>janvier</v>
      </c>
      <c r="L72" t="str">
        <f t="shared" si="6"/>
        <v>Dépenses</v>
      </c>
    </row>
    <row r="73" spans="1:12" x14ac:dyDescent="0.2">
      <c r="A73" t="s">
        <v>2</v>
      </c>
      <c r="B73" t="s">
        <v>3</v>
      </c>
      <c r="C73" t="s">
        <v>128</v>
      </c>
      <c r="D73" s="2">
        <v>43468</v>
      </c>
      <c r="E73" s="2">
        <f t="shared" si="4"/>
        <v>43507</v>
      </c>
      <c r="F73" t="s">
        <v>5</v>
      </c>
      <c r="G73" t="s">
        <v>5</v>
      </c>
      <c r="H73" t="s">
        <v>37</v>
      </c>
      <c r="I73" t="s">
        <v>7</v>
      </c>
      <c r="J73" s="3">
        <f>-0.99-0.79-0.85-0.39</f>
        <v>-3.02</v>
      </c>
      <c r="K73" t="str">
        <f t="shared" si="5"/>
        <v>janvier</v>
      </c>
      <c r="L73" t="str">
        <f t="shared" si="6"/>
        <v>Dépenses</v>
      </c>
    </row>
    <row r="74" spans="1:12" x14ac:dyDescent="0.2">
      <c r="A74" t="s">
        <v>2</v>
      </c>
      <c r="B74" t="s">
        <v>8</v>
      </c>
      <c r="C74" t="s">
        <v>130</v>
      </c>
      <c r="D74" s="2">
        <v>43468</v>
      </c>
      <c r="E74" s="2">
        <f t="shared" si="4"/>
        <v>43507</v>
      </c>
      <c r="F74" t="s">
        <v>131</v>
      </c>
      <c r="G74" t="s">
        <v>132</v>
      </c>
      <c r="H74" t="s">
        <v>64</v>
      </c>
      <c r="I74" t="s">
        <v>7</v>
      </c>
      <c r="J74" s="3">
        <v>-53.69</v>
      </c>
      <c r="K74" t="str">
        <f t="shared" si="5"/>
        <v>janvier</v>
      </c>
      <c r="L74" t="str">
        <f t="shared" si="6"/>
        <v>Dépenses</v>
      </c>
    </row>
    <row r="75" spans="1:12" x14ac:dyDescent="0.2">
      <c r="A75" t="s">
        <v>2</v>
      </c>
      <c r="B75" t="s">
        <v>8</v>
      </c>
      <c r="C75" t="s">
        <v>130</v>
      </c>
      <c r="D75" s="2">
        <v>43468</v>
      </c>
      <c r="E75" s="2">
        <f t="shared" si="4"/>
        <v>43507</v>
      </c>
      <c r="F75" t="s">
        <v>12</v>
      </c>
      <c r="G75" t="s">
        <v>5</v>
      </c>
      <c r="H75" t="s">
        <v>64</v>
      </c>
      <c r="I75" t="s">
        <v>7</v>
      </c>
      <c r="J75" s="3">
        <v>-3.9</v>
      </c>
      <c r="K75" t="str">
        <f t="shared" si="5"/>
        <v>janvier</v>
      </c>
      <c r="L75" t="str">
        <f t="shared" si="6"/>
        <v>Dépenses</v>
      </c>
    </row>
    <row r="76" spans="1:12" x14ac:dyDescent="0.2">
      <c r="A76" t="s">
        <v>69</v>
      </c>
      <c r="B76" t="s">
        <v>84</v>
      </c>
      <c r="D76" s="2">
        <v>43468</v>
      </c>
      <c r="E76" s="2">
        <f t="shared" si="4"/>
        <v>43468</v>
      </c>
      <c r="F76" t="s">
        <v>133</v>
      </c>
      <c r="G76" t="s">
        <v>134</v>
      </c>
      <c r="H76" t="s">
        <v>11</v>
      </c>
      <c r="I76" t="s">
        <v>7</v>
      </c>
      <c r="J76" s="3">
        <v>0.8</v>
      </c>
      <c r="K76" t="str">
        <f t="shared" si="5"/>
        <v>janvier</v>
      </c>
      <c r="L76" t="str">
        <f t="shared" si="6"/>
        <v>Recettes</v>
      </c>
    </row>
    <row r="77" spans="1:12" ht="15" x14ac:dyDescent="0.25">
      <c r="A77" t="s">
        <v>94</v>
      </c>
      <c r="B77" s="4" t="s">
        <v>70</v>
      </c>
      <c r="C77" s="7" t="s">
        <v>101</v>
      </c>
      <c r="D77" s="2">
        <v>43469</v>
      </c>
      <c r="E77" s="2">
        <f t="shared" si="4"/>
        <v>43469</v>
      </c>
      <c r="F77" t="s">
        <v>135</v>
      </c>
      <c r="G77" t="s">
        <v>103</v>
      </c>
      <c r="H77" t="s">
        <v>69</v>
      </c>
      <c r="I77" t="s">
        <v>7</v>
      </c>
      <c r="J77" s="6">
        <v>400</v>
      </c>
      <c r="K77" t="str">
        <f t="shared" si="5"/>
        <v>janvier</v>
      </c>
      <c r="L77" t="str">
        <f t="shared" si="6"/>
        <v>Recettes</v>
      </c>
    </row>
    <row r="78" spans="1:12" x14ac:dyDescent="0.2">
      <c r="A78" t="s">
        <v>2</v>
      </c>
      <c r="B78" t="s">
        <v>8</v>
      </c>
      <c r="D78" s="2">
        <v>43469</v>
      </c>
      <c r="E78" s="2">
        <f t="shared" si="4"/>
        <v>43507</v>
      </c>
      <c r="F78" t="s">
        <v>136</v>
      </c>
      <c r="G78" t="s">
        <v>5</v>
      </c>
      <c r="H78" t="s">
        <v>22</v>
      </c>
      <c r="I78" t="s">
        <v>7</v>
      </c>
      <c r="J78" s="3">
        <v>-4.3</v>
      </c>
      <c r="K78" t="str">
        <f t="shared" si="5"/>
        <v>janvier</v>
      </c>
      <c r="L78" t="str">
        <f t="shared" si="6"/>
        <v>Dépenses</v>
      </c>
    </row>
    <row r="79" spans="1:12" x14ac:dyDescent="0.2">
      <c r="A79" t="s">
        <v>2</v>
      </c>
      <c r="B79" t="s">
        <v>8</v>
      </c>
      <c r="D79" s="2">
        <v>43469</v>
      </c>
      <c r="E79" s="2">
        <f t="shared" si="4"/>
        <v>43507</v>
      </c>
      <c r="F79" t="s">
        <v>5</v>
      </c>
      <c r="G79" t="s">
        <v>5</v>
      </c>
      <c r="H79" t="s">
        <v>6</v>
      </c>
      <c r="I79" t="s">
        <v>7</v>
      </c>
      <c r="J79" s="3">
        <v>-39.68</v>
      </c>
      <c r="K79" t="str">
        <f t="shared" si="5"/>
        <v>janvier</v>
      </c>
      <c r="L79" t="str">
        <f t="shared" si="6"/>
        <v>Dépenses</v>
      </c>
    </row>
    <row r="80" spans="1:12" x14ac:dyDescent="0.2">
      <c r="A80" t="s">
        <v>77</v>
      </c>
      <c r="B80" t="s">
        <v>77</v>
      </c>
      <c r="D80" s="2">
        <v>43469</v>
      </c>
      <c r="E80" s="2">
        <f t="shared" si="4"/>
        <v>43469</v>
      </c>
      <c r="F80" t="s">
        <v>115</v>
      </c>
      <c r="G80" t="s">
        <v>115</v>
      </c>
      <c r="H80" t="s">
        <v>14</v>
      </c>
      <c r="I80" t="s">
        <v>77</v>
      </c>
      <c r="J80" s="3">
        <v>-4.2</v>
      </c>
      <c r="K80" t="str">
        <f t="shared" si="5"/>
        <v>janvier</v>
      </c>
      <c r="L80" t="str">
        <f t="shared" si="6"/>
        <v>Dépenses</v>
      </c>
    </row>
    <row r="81" spans="1:12" x14ac:dyDescent="0.2">
      <c r="A81" t="s">
        <v>69</v>
      </c>
      <c r="B81" t="s">
        <v>137</v>
      </c>
      <c r="D81" s="2">
        <v>43469</v>
      </c>
      <c r="E81" s="2">
        <f t="shared" si="4"/>
        <v>43469</v>
      </c>
      <c r="F81" t="s">
        <v>138</v>
      </c>
      <c r="G81" t="s">
        <v>25</v>
      </c>
      <c r="H81" t="s">
        <v>139</v>
      </c>
      <c r="I81" t="s">
        <v>7</v>
      </c>
      <c r="J81" s="3">
        <v>-25.2</v>
      </c>
      <c r="K81" t="str">
        <f t="shared" si="5"/>
        <v>janvier</v>
      </c>
      <c r="L81" t="str">
        <f t="shared" si="6"/>
        <v>Dépenses</v>
      </c>
    </row>
    <row r="82" spans="1:12" x14ac:dyDescent="0.2">
      <c r="A82" t="s">
        <v>108</v>
      </c>
      <c r="B82" t="s">
        <v>109</v>
      </c>
      <c r="D82" s="2">
        <v>43469</v>
      </c>
      <c r="E82" s="2">
        <f t="shared" si="4"/>
        <v>43469</v>
      </c>
      <c r="F82" t="s">
        <v>140</v>
      </c>
      <c r="G82" t="s">
        <v>16</v>
      </c>
      <c r="H82" t="s">
        <v>141</v>
      </c>
      <c r="I82" t="s">
        <v>7</v>
      </c>
      <c r="J82" s="3">
        <f>-7.89-6.99</f>
        <v>-14.879999999999999</v>
      </c>
      <c r="K82" t="str">
        <f t="shared" si="5"/>
        <v>janvier</v>
      </c>
      <c r="L82" t="str">
        <f t="shared" si="6"/>
        <v>Dépenses</v>
      </c>
    </row>
    <row r="83" spans="1:12" ht="15" x14ac:dyDescent="0.25">
      <c r="A83" t="s">
        <v>94</v>
      </c>
      <c r="B83" s="4" t="s">
        <v>70</v>
      </c>
      <c r="C83" s="7" t="s">
        <v>142</v>
      </c>
      <c r="D83" s="2">
        <v>43470</v>
      </c>
      <c r="E83" s="2">
        <f t="shared" si="4"/>
        <v>43470</v>
      </c>
      <c r="F83" t="s">
        <v>143</v>
      </c>
      <c r="G83" t="s">
        <v>144</v>
      </c>
      <c r="H83" t="s">
        <v>145</v>
      </c>
      <c r="I83" t="s">
        <v>7</v>
      </c>
      <c r="J83" s="6">
        <v>131.16</v>
      </c>
      <c r="K83" t="str">
        <f t="shared" si="5"/>
        <v>janvier</v>
      </c>
      <c r="L83" t="str">
        <f t="shared" si="6"/>
        <v>Recettes</v>
      </c>
    </row>
    <row r="84" spans="1:12" ht="15" x14ac:dyDescent="0.25">
      <c r="A84" t="s">
        <v>69</v>
      </c>
      <c r="B84" s="4" t="s">
        <v>70</v>
      </c>
      <c r="C84" s="7" t="s">
        <v>146</v>
      </c>
      <c r="D84" s="2">
        <v>43470</v>
      </c>
      <c r="E84" s="2">
        <f t="shared" si="4"/>
        <v>43470</v>
      </c>
      <c r="F84" t="s">
        <v>147</v>
      </c>
      <c r="G84" t="s">
        <v>115</v>
      </c>
      <c r="H84" t="s">
        <v>148</v>
      </c>
      <c r="I84" t="s">
        <v>7</v>
      </c>
      <c r="J84" s="6">
        <v>-26.26</v>
      </c>
      <c r="K84" t="str">
        <f t="shared" si="5"/>
        <v>janvier</v>
      </c>
      <c r="L84" t="str">
        <f t="shared" si="6"/>
        <v>Dépenses</v>
      </c>
    </row>
    <row r="85" spans="1:12" x14ac:dyDescent="0.2">
      <c r="A85" t="s">
        <v>77</v>
      </c>
      <c r="B85" s="4" t="s">
        <v>77</v>
      </c>
      <c r="D85" s="2">
        <v>43470</v>
      </c>
      <c r="E85" s="2">
        <f t="shared" si="4"/>
        <v>43470</v>
      </c>
      <c r="F85" t="s">
        <v>149</v>
      </c>
      <c r="G85" t="s">
        <v>5</v>
      </c>
      <c r="H85" t="s">
        <v>33</v>
      </c>
      <c r="I85" t="s">
        <v>77</v>
      </c>
      <c r="J85" s="3">
        <v>-4.2</v>
      </c>
      <c r="K85" t="str">
        <f t="shared" si="5"/>
        <v>janvier</v>
      </c>
      <c r="L85" t="str">
        <f t="shared" si="6"/>
        <v>Dépenses</v>
      </c>
    </row>
    <row r="86" spans="1:12" x14ac:dyDescent="0.2">
      <c r="A86" t="s">
        <v>108</v>
      </c>
      <c r="B86" t="s">
        <v>109</v>
      </c>
      <c r="D86" s="2">
        <v>43470</v>
      </c>
      <c r="E86" s="2">
        <f t="shared" si="4"/>
        <v>43470</v>
      </c>
      <c r="F86" t="s">
        <v>150</v>
      </c>
      <c r="G86" t="s">
        <v>111</v>
      </c>
      <c r="H86" t="s">
        <v>112</v>
      </c>
      <c r="I86" t="s">
        <v>7</v>
      </c>
      <c r="J86" s="3">
        <v>-4.9000000000000004</v>
      </c>
      <c r="K86" t="str">
        <f t="shared" si="5"/>
        <v>janvier</v>
      </c>
      <c r="L86" t="str">
        <f t="shared" si="6"/>
        <v>Dépenses</v>
      </c>
    </row>
    <row r="87" spans="1:12" x14ac:dyDescent="0.2">
      <c r="A87" t="s">
        <v>2</v>
      </c>
      <c r="B87" t="s">
        <v>3</v>
      </c>
      <c r="D87" s="2">
        <v>43470</v>
      </c>
      <c r="E87" s="2">
        <f t="shared" si="4"/>
        <v>43507</v>
      </c>
      <c r="F87" t="s">
        <v>5</v>
      </c>
      <c r="G87" t="s">
        <v>5</v>
      </c>
      <c r="H87" t="s">
        <v>6</v>
      </c>
      <c r="I87" t="s">
        <v>7</v>
      </c>
      <c r="J87" s="3">
        <v>-30.47</v>
      </c>
      <c r="K87" t="str">
        <f t="shared" si="5"/>
        <v>janvier</v>
      </c>
      <c r="L87" t="str">
        <f t="shared" si="6"/>
        <v>Dépenses</v>
      </c>
    </row>
    <row r="88" spans="1:12" x14ac:dyDescent="0.2">
      <c r="A88" t="s">
        <v>2</v>
      </c>
      <c r="B88" t="s">
        <v>8</v>
      </c>
      <c r="D88" s="2">
        <v>43470</v>
      </c>
      <c r="E88" s="2">
        <f t="shared" si="4"/>
        <v>43507</v>
      </c>
      <c r="F88" t="s">
        <v>151</v>
      </c>
      <c r="G88" t="s">
        <v>5</v>
      </c>
      <c r="H88" t="s">
        <v>152</v>
      </c>
      <c r="I88" t="s">
        <v>7</v>
      </c>
      <c r="J88" s="3">
        <v>-19.2</v>
      </c>
      <c r="K88" t="str">
        <f t="shared" si="5"/>
        <v>janvier</v>
      </c>
      <c r="L88" t="str">
        <f t="shared" si="6"/>
        <v>Dépenses</v>
      </c>
    </row>
    <row r="89" spans="1:12" x14ac:dyDescent="0.2">
      <c r="A89" t="s">
        <v>2</v>
      </c>
      <c r="B89" t="s">
        <v>8</v>
      </c>
      <c r="D89" s="2">
        <v>43470</v>
      </c>
      <c r="E89" s="2">
        <f t="shared" si="4"/>
        <v>43507</v>
      </c>
      <c r="F89" t="s">
        <v>5</v>
      </c>
      <c r="G89" t="s">
        <v>5</v>
      </c>
      <c r="H89" t="s">
        <v>23</v>
      </c>
      <c r="I89" t="s">
        <v>7</v>
      </c>
      <c r="J89" s="3">
        <v>-18.399999999999999</v>
      </c>
      <c r="K89" t="str">
        <f t="shared" si="5"/>
        <v>janvier</v>
      </c>
      <c r="L89" t="str">
        <f t="shared" si="6"/>
        <v>Dépenses</v>
      </c>
    </row>
    <row r="90" spans="1:12" x14ac:dyDescent="0.2">
      <c r="A90" t="s">
        <v>2</v>
      </c>
      <c r="B90" t="s">
        <v>8</v>
      </c>
      <c r="C90" s="1" t="s">
        <v>153</v>
      </c>
      <c r="D90" s="2">
        <v>43470</v>
      </c>
      <c r="E90" s="2">
        <f t="shared" si="4"/>
        <v>43507</v>
      </c>
      <c r="F90" t="s">
        <v>154</v>
      </c>
      <c r="G90" t="s">
        <v>79</v>
      </c>
      <c r="H90" t="s">
        <v>155</v>
      </c>
      <c r="I90" t="s">
        <v>7</v>
      </c>
      <c r="J90" s="3">
        <v>-52</v>
      </c>
      <c r="K90" t="str">
        <f t="shared" si="5"/>
        <v>janvier</v>
      </c>
      <c r="L90" t="str">
        <f t="shared" si="6"/>
        <v>Dépenses</v>
      </c>
    </row>
    <row r="91" spans="1:12" ht="15" x14ac:dyDescent="0.25">
      <c r="A91" t="s">
        <v>94</v>
      </c>
      <c r="B91" s="4" t="s">
        <v>70</v>
      </c>
      <c r="C91" s="7" t="s">
        <v>156</v>
      </c>
      <c r="D91" s="2">
        <v>43471</v>
      </c>
      <c r="E91" s="2">
        <f t="shared" si="4"/>
        <v>43471</v>
      </c>
      <c r="F91" t="s">
        <v>157</v>
      </c>
      <c r="G91" t="s">
        <v>158</v>
      </c>
      <c r="H91" t="s">
        <v>87</v>
      </c>
      <c r="I91" t="s">
        <v>7</v>
      </c>
      <c r="J91" s="6">
        <v>-7.43</v>
      </c>
      <c r="K91" t="str">
        <f t="shared" si="5"/>
        <v>janvier</v>
      </c>
      <c r="L91" t="str">
        <f t="shared" si="6"/>
        <v>Dépenses</v>
      </c>
    </row>
    <row r="92" spans="1:12" x14ac:dyDescent="0.2">
      <c r="A92" t="s">
        <v>108</v>
      </c>
      <c r="B92" t="s">
        <v>109</v>
      </c>
      <c r="D92" s="2">
        <v>43472</v>
      </c>
      <c r="E92" s="2">
        <f t="shared" si="4"/>
        <v>43472</v>
      </c>
      <c r="F92" t="s">
        <v>159</v>
      </c>
      <c r="G92" t="s">
        <v>16</v>
      </c>
      <c r="H92" t="s">
        <v>141</v>
      </c>
      <c r="I92" t="s">
        <v>7</v>
      </c>
      <c r="J92" s="3">
        <v>-6.99</v>
      </c>
      <c r="K92" t="str">
        <f t="shared" si="5"/>
        <v>janvier</v>
      </c>
      <c r="L92" t="str">
        <f t="shared" si="6"/>
        <v>Dépenses</v>
      </c>
    </row>
    <row r="93" spans="1:12" x14ac:dyDescent="0.2">
      <c r="A93" t="s">
        <v>108</v>
      </c>
      <c r="B93" t="s">
        <v>109</v>
      </c>
      <c r="D93" s="2">
        <v>43472</v>
      </c>
      <c r="E93" s="2">
        <f t="shared" si="4"/>
        <v>43472</v>
      </c>
      <c r="F93" t="s">
        <v>159</v>
      </c>
      <c r="G93" t="s">
        <v>16</v>
      </c>
      <c r="H93" t="s">
        <v>141</v>
      </c>
      <c r="I93" t="s">
        <v>7</v>
      </c>
      <c r="J93" s="3">
        <v>-10.99</v>
      </c>
      <c r="K93" t="str">
        <f t="shared" si="5"/>
        <v>janvier</v>
      </c>
      <c r="L93" t="str">
        <f t="shared" si="6"/>
        <v>Dépenses</v>
      </c>
    </row>
    <row r="94" spans="1:12" ht="15" x14ac:dyDescent="0.25">
      <c r="A94" t="s">
        <v>94</v>
      </c>
      <c r="B94" s="4" t="s">
        <v>70</v>
      </c>
      <c r="C94" s="7" t="s">
        <v>160</v>
      </c>
      <c r="D94" s="2">
        <v>43472</v>
      </c>
      <c r="E94" s="2">
        <f t="shared" si="4"/>
        <v>43472</v>
      </c>
      <c r="F94" t="s">
        <v>161</v>
      </c>
      <c r="G94" t="s">
        <v>162</v>
      </c>
      <c r="H94" t="s">
        <v>163</v>
      </c>
      <c r="I94" t="s">
        <v>7</v>
      </c>
      <c r="J94" s="6">
        <v>-63.37</v>
      </c>
      <c r="K94" t="str">
        <f t="shared" si="5"/>
        <v>janvier</v>
      </c>
      <c r="L94" t="str">
        <f t="shared" si="6"/>
        <v>Dépenses</v>
      </c>
    </row>
    <row r="95" spans="1:12" ht="15" x14ac:dyDescent="0.25">
      <c r="A95" t="s">
        <v>94</v>
      </c>
      <c r="B95" s="4" t="s">
        <v>70</v>
      </c>
      <c r="C95" s="7" t="s">
        <v>164</v>
      </c>
      <c r="D95" s="2">
        <v>43472</v>
      </c>
      <c r="E95" s="2">
        <f t="shared" si="4"/>
        <v>43472</v>
      </c>
      <c r="F95" t="s">
        <v>165</v>
      </c>
      <c r="G95" t="s">
        <v>158</v>
      </c>
      <c r="H95" t="s">
        <v>166</v>
      </c>
      <c r="I95" t="s">
        <v>7</v>
      </c>
      <c r="J95" s="6">
        <v>-27.35</v>
      </c>
      <c r="K95" t="str">
        <f t="shared" si="5"/>
        <v>janvier</v>
      </c>
      <c r="L95" t="str">
        <f t="shared" si="6"/>
        <v>Dépenses</v>
      </c>
    </row>
    <row r="96" spans="1:12" ht="15" x14ac:dyDescent="0.25">
      <c r="A96" t="s">
        <v>94</v>
      </c>
      <c r="B96" s="4" t="s">
        <v>70</v>
      </c>
      <c r="C96" s="7" t="s">
        <v>167</v>
      </c>
      <c r="D96" s="2">
        <v>43472</v>
      </c>
      <c r="E96" s="2">
        <f t="shared" si="4"/>
        <v>43472</v>
      </c>
      <c r="F96" t="s">
        <v>165</v>
      </c>
      <c r="G96" t="s">
        <v>158</v>
      </c>
      <c r="H96" t="s">
        <v>166</v>
      </c>
      <c r="I96" t="s">
        <v>7</v>
      </c>
      <c r="J96" s="6">
        <v>-25.2</v>
      </c>
      <c r="K96" t="str">
        <f t="shared" si="5"/>
        <v>janvier</v>
      </c>
      <c r="L96" t="str">
        <f t="shared" si="6"/>
        <v>Dépenses</v>
      </c>
    </row>
    <row r="97" spans="1:12" ht="15" x14ac:dyDescent="0.25">
      <c r="A97" t="s">
        <v>94</v>
      </c>
      <c r="B97" s="4" t="s">
        <v>70</v>
      </c>
      <c r="C97" s="7" t="s">
        <v>168</v>
      </c>
      <c r="D97" s="2">
        <v>43472</v>
      </c>
      <c r="E97" s="2">
        <f t="shared" si="4"/>
        <v>43472</v>
      </c>
      <c r="F97" t="s">
        <v>169</v>
      </c>
      <c r="G97" t="s">
        <v>158</v>
      </c>
      <c r="H97" t="s">
        <v>166</v>
      </c>
      <c r="I97" t="s">
        <v>7</v>
      </c>
      <c r="J97" s="6">
        <v>-34.33</v>
      </c>
      <c r="K97" t="str">
        <f t="shared" si="5"/>
        <v>janvier</v>
      </c>
      <c r="L97" t="str">
        <f t="shared" si="6"/>
        <v>Dépenses</v>
      </c>
    </row>
    <row r="98" spans="1:12" ht="15" x14ac:dyDescent="0.25">
      <c r="A98" t="s">
        <v>108</v>
      </c>
      <c r="B98" s="4" t="s">
        <v>70</v>
      </c>
      <c r="C98" s="7" t="s">
        <v>170</v>
      </c>
      <c r="D98" s="2">
        <v>43472</v>
      </c>
      <c r="E98" s="2">
        <f t="shared" si="4"/>
        <v>43472</v>
      </c>
      <c r="F98" t="s">
        <v>171</v>
      </c>
      <c r="G98" t="s">
        <v>172</v>
      </c>
      <c r="H98" t="s">
        <v>173</v>
      </c>
      <c r="I98" t="s">
        <v>7</v>
      </c>
      <c r="J98" s="6">
        <v>-19.989999999999998</v>
      </c>
      <c r="K98" t="str">
        <f t="shared" si="5"/>
        <v>janvier</v>
      </c>
      <c r="L98" t="str">
        <f t="shared" si="6"/>
        <v>Dépenses</v>
      </c>
    </row>
    <row r="99" spans="1:12" ht="15" x14ac:dyDescent="0.25">
      <c r="A99" t="s">
        <v>94</v>
      </c>
      <c r="B99" s="4" t="s">
        <v>70</v>
      </c>
      <c r="C99" s="7" t="s">
        <v>174</v>
      </c>
      <c r="D99" s="2">
        <v>43472</v>
      </c>
      <c r="E99" s="2">
        <f t="shared" si="4"/>
        <v>43472</v>
      </c>
      <c r="F99" t="s">
        <v>175</v>
      </c>
      <c r="G99" t="s">
        <v>172</v>
      </c>
      <c r="H99" t="s">
        <v>176</v>
      </c>
      <c r="I99" t="s">
        <v>7</v>
      </c>
      <c r="J99" s="6">
        <f>-19.99-2-19.25</f>
        <v>-41.239999999999995</v>
      </c>
      <c r="K99" t="str">
        <f t="shared" si="5"/>
        <v>janvier</v>
      </c>
      <c r="L99" t="str">
        <f t="shared" si="6"/>
        <v>Dépenses</v>
      </c>
    </row>
    <row r="100" spans="1:12" x14ac:dyDescent="0.2">
      <c r="A100" t="s">
        <v>108</v>
      </c>
      <c r="B100" t="s">
        <v>109</v>
      </c>
      <c r="D100" s="2">
        <v>43472</v>
      </c>
      <c r="E100" s="2">
        <f t="shared" si="4"/>
        <v>43472</v>
      </c>
      <c r="F100" t="s">
        <v>177</v>
      </c>
      <c r="G100" t="s">
        <v>111</v>
      </c>
      <c r="H100" t="s">
        <v>178</v>
      </c>
      <c r="I100" t="s">
        <v>7</v>
      </c>
      <c r="J100" s="3">
        <v>-6.85</v>
      </c>
      <c r="K100" t="str">
        <f t="shared" si="5"/>
        <v>janvier</v>
      </c>
      <c r="L100" t="str">
        <f t="shared" si="6"/>
        <v>Dépenses</v>
      </c>
    </row>
    <row r="101" spans="1:12" x14ac:dyDescent="0.2">
      <c r="A101" t="s">
        <v>2</v>
      </c>
      <c r="B101" t="s">
        <v>8</v>
      </c>
      <c r="D101" s="2">
        <v>43472</v>
      </c>
      <c r="E101" s="2">
        <f t="shared" si="4"/>
        <v>43507</v>
      </c>
      <c r="F101" t="s">
        <v>179</v>
      </c>
      <c r="G101" t="s">
        <v>5</v>
      </c>
      <c r="H101" t="s">
        <v>22</v>
      </c>
      <c r="I101" t="s">
        <v>7</v>
      </c>
      <c r="J101" s="3">
        <v>-4.5</v>
      </c>
      <c r="K101" t="str">
        <f t="shared" si="5"/>
        <v>janvier</v>
      </c>
      <c r="L101" t="str">
        <f t="shared" si="6"/>
        <v>Dépenses</v>
      </c>
    </row>
    <row r="102" spans="1:12" x14ac:dyDescent="0.2">
      <c r="A102" t="s">
        <v>2</v>
      </c>
      <c r="B102" t="s">
        <v>8</v>
      </c>
      <c r="D102" s="2">
        <v>43472</v>
      </c>
      <c r="E102" s="2">
        <f t="shared" si="4"/>
        <v>43507</v>
      </c>
      <c r="F102" t="s">
        <v>13</v>
      </c>
      <c r="G102" t="s">
        <v>115</v>
      </c>
      <c r="H102" t="s">
        <v>14</v>
      </c>
      <c r="I102" t="s">
        <v>7</v>
      </c>
      <c r="J102" s="3">
        <v>-14.01</v>
      </c>
      <c r="K102" t="str">
        <f t="shared" si="5"/>
        <v>janvier</v>
      </c>
      <c r="L102" t="str">
        <f t="shared" si="6"/>
        <v>Dépenses</v>
      </c>
    </row>
    <row r="103" spans="1:12" x14ac:dyDescent="0.2">
      <c r="A103" t="s">
        <v>69</v>
      </c>
      <c r="B103" t="s">
        <v>84</v>
      </c>
      <c r="D103" s="2">
        <v>43472</v>
      </c>
      <c r="E103" s="2">
        <f t="shared" si="4"/>
        <v>43472</v>
      </c>
      <c r="F103" t="s">
        <v>180</v>
      </c>
      <c r="G103" t="s">
        <v>103</v>
      </c>
      <c r="H103" t="s">
        <v>94</v>
      </c>
      <c r="I103" t="s">
        <v>7</v>
      </c>
      <c r="J103" s="3">
        <v>-2000</v>
      </c>
      <c r="K103" t="str">
        <f t="shared" si="5"/>
        <v>janvier</v>
      </c>
      <c r="L103" t="str">
        <f t="shared" si="6"/>
        <v>Dépenses</v>
      </c>
    </row>
    <row r="104" spans="1:12" x14ac:dyDescent="0.2">
      <c r="A104" t="s">
        <v>94</v>
      </c>
      <c r="B104" t="s">
        <v>84</v>
      </c>
      <c r="D104" s="2">
        <v>43472</v>
      </c>
      <c r="E104" s="2">
        <f t="shared" si="4"/>
        <v>43472</v>
      </c>
      <c r="F104" t="s">
        <v>180</v>
      </c>
      <c r="G104" t="s">
        <v>103</v>
      </c>
      <c r="H104" t="s">
        <v>69</v>
      </c>
      <c r="I104" t="s">
        <v>7</v>
      </c>
      <c r="J104" s="3">
        <v>2000</v>
      </c>
      <c r="K104" t="str">
        <f t="shared" si="5"/>
        <v>janvier</v>
      </c>
      <c r="L104" t="str">
        <f t="shared" si="6"/>
        <v>Recettes</v>
      </c>
    </row>
    <row r="105" spans="1:12" x14ac:dyDescent="0.2">
      <c r="A105" t="s">
        <v>2</v>
      </c>
      <c r="B105" t="s">
        <v>3</v>
      </c>
      <c r="C105" t="s">
        <v>181</v>
      </c>
      <c r="D105" s="2">
        <v>43472</v>
      </c>
      <c r="E105" s="2">
        <f t="shared" si="4"/>
        <v>43507</v>
      </c>
      <c r="F105" t="s">
        <v>182</v>
      </c>
      <c r="G105" t="s">
        <v>49</v>
      </c>
      <c r="H105" t="s">
        <v>23</v>
      </c>
      <c r="I105" t="s">
        <v>7</v>
      </c>
      <c r="J105" s="3">
        <v>-2.38</v>
      </c>
      <c r="K105" t="str">
        <f t="shared" si="5"/>
        <v>janvier</v>
      </c>
      <c r="L105" t="str">
        <f t="shared" si="6"/>
        <v>Dépenses</v>
      </c>
    </row>
    <row r="106" spans="1:12" x14ac:dyDescent="0.2">
      <c r="A106" t="s">
        <v>2</v>
      </c>
      <c r="B106" t="s">
        <v>3</v>
      </c>
      <c r="C106" t="s">
        <v>181</v>
      </c>
      <c r="D106" s="2">
        <v>43472</v>
      </c>
      <c r="E106" s="2">
        <f t="shared" si="4"/>
        <v>43507</v>
      </c>
      <c r="F106" t="s">
        <v>5</v>
      </c>
      <c r="G106" t="s">
        <v>5</v>
      </c>
      <c r="H106" t="s">
        <v>23</v>
      </c>
      <c r="I106" t="s">
        <v>7</v>
      </c>
      <c r="J106" s="3">
        <f>-34.59--2.38</f>
        <v>-32.21</v>
      </c>
      <c r="K106" t="str">
        <f t="shared" si="5"/>
        <v>janvier</v>
      </c>
      <c r="L106" t="str">
        <f t="shared" si="6"/>
        <v>Dépenses</v>
      </c>
    </row>
    <row r="107" spans="1:12" ht="15" x14ac:dyDescent="0.25">
      <c r="A107" t="s">
        <v>108</v>
      </c>
      <c r="B107" s="4" t="s">
        <v>70</v>
      </c>
      <c r="C107" s="7" t="s">
        <v>183</v>
      </c>
      <c r="D107" s="2">
        <v>43472</v>
      </c>
      <c r="E107" s="2">
        <f t="shared" si="4"/>
        <v>43472</v>
      </c>
      <c r="F107" t="s">
        <v>184</v>
      </c>
      <c r="G107" t="s">
        <v>106</v>
      </c>
      <c r="H107" t="s">
        <v>185</v>
      </c>
      <c r="I107" t="s">
        <v>7</v>
      </c>
      <c r="J107" s="6">
        <v>-0.99</v>
      </c>
      <c r="K107" t="str">
        <f t="shared" si="5"/>
        <v>janvier</v>
      </c>
      <c r="L107" t="str">
        <f t="shared" si="6"/>
        <v>Dépenses</v>
      </c>
    </row>
    <row r="108" spans="1:12" ht="15" x14ac:dyDescent="0.25">
      <c r="A108" t="s">
        <v>94</v>
      </c>
      <c r="B108" s="4" t="s">
        <v>70</v>
      </c>
      <c r="C108" s="7" t="s">
        <v>186</v>
      </c>
      <c r="D108" s="2">
        <v>43473</v>
      </c>
      <c r="E108" s="2">
        <f t="shared" si="4"/>
        <v>43473</v>
      </c>
      <c r="F108" t="s">
        <v>187</v>
      </c>
      <c r="G108" t="s">
        <v>158</v>
      </c>
      <c r="H108" t="s">
        <v>188</v>
      </c>
      <c r="I108" t="s">
        <v>7</v>
      </c>
      <c r="J108" s="6">
        <v>-8.99</v>
      </c>
      <c r="K108" t="str">
        <f t="shared" si="5"/>
        <v>janvier</v>
      </c>
      <c r="L108" t="str">
        <f t="shared" si="6"/>
        <v>Dépenses</v>
      </c>
    </row>
    <row r="109" spans="1:12" ht="15" x14ac:dyDescent="0.25">
      <c r="A109" t="s">
        <v>94</v>
      </c>
      <c r="B109" s="4" t="s">
        <v>70</v>
      </c>
      <c r="C109" s="7" t="s">
        <v>186</v>
      </c>
      <c r="D109" s="2">
        <v>43473</v>
      </c>
      <c r="E109" s="2">
        <f t="shared" si="4"/>
        <v>43473</v>
      </c>
      <c r="F109" t="s">
        <v>189</v>
      </c>
      <c r="G109" t="s">
        <v>158</v>
      </c>
      <c r="H109" t="s">
        <v>188</v>
      </c>
      <c r="I109" t="s">
        <v>7</v>
      </c>
      <c r="J109" s="6">
        <v>-6.99</v>
      </c>
      <c r="K109" t="str">
        <f t="shared" si="5"/>
        <v>janvier</v>
      </c>
      <c r="L109" t="str">
        <f t="shared" si="6"/>
        <v>Dépenses</v>
      </c>
    </row>
    <row r="110" spans="1:12" x14ac:dyDescent="0.2">
      <c r="A110" t="s">
        <v>2</v>
      </c>
      <c r="B110" t="s">
        <v>3</v>
      </c>
      <c r="D110" s="2">
        <v>43473</v>
      </c>
      <c r="E110" s="2">
        <f t="shared" si="4"/>
        <v>43507</v>
      </c>
      <c r="F110" t="s">
        <v>5</v>
      </c>
      <c r="G110" t="s">
        <v>5</v>
      </c>
      <c r="H110" t="s">
        <v>23</v>
      </c>
      <c r="I110" t="s">
        <v>7</v>
      </c>
      <c r="J110" s="3">
        <v>-35.61</v>
      </c>
      <c r="K110" t="str">
        <f t="shared" si="5"/>
        <v>janvier</v>
      </c>
      <c r="L110" t="str">
        <f t="shared" si="6"/>
        <v>Dépenses</v>
      </c>
    </row>
    <row r="111" spans="1:12" x14ac:dyDescent="0.2">
      <c r="A111" t="s">
        <v>94</v>
      </c>
      <c r="B111" t="s">
        <v>122</v>
      </c>
      <c r="C111">
        <v>8748499</v>
      </c>
      <c r="D111" s="2">
        <v>43473</v>
      </c>
      <c r="E111" s="2">
        <f t="shared" si="4"/>
        <v>43473</v>
      </c>
      <c r="F111" t="s">
        <v>190</v>
      </c>
      <c r="G111" t="s">
        <v>16</v>
      </c>
      <c r="H111" t="s">
        <v>191</v>
      </c>
      <c r="I111" t="s">
        <v>7</v>
      </c>
      <c r="J111" s="3">
        <v>-100</v>
      </c>
      <c r="K111" t="str">
        <f t="shared" si="5"/>
        <v>janvier</v>
      </c>
      <c r="L111" t="str">
        <f t="shared" si="6"/>
        <v>Dépenses</v>
      </c>
    </row>
    <row r="112" spans="1:12" x14ac:dyDescent="0.2">
      <c r="A112" t="s">
        <v>108</v>
      </c>
      <c r="B112" t="s">
        <v>109</v>
      </c>
      <c r="D112" s="2">
        <v>43473</v>
      </c>
      <c r="E112" s="2">
        <f t="shared" si="4"/>
        <v>43473</v>
      </c>
      <c r="F112" t="s">
        <v>192</v>
      </c>
      <c r="G112" t="s">
        <v>16</v>
      </c>
      <c r="H112" t="s">
        <v>141</v>
      </c>
      <c r="I112" t="s">
        <v>7</v>
      </c>
      <c r="J112" s="3">
        <v>-11.94</v>
      </c>
      <c r="K112" t="str">
        <f t="shared" si="5"/>
        <v>janvier</v>
      </c>
      <c r="L112" t="str">
        <f t="shared" si="6"/>
        <v>Dépenses</v>
      </c>
    </row>
    <row r="113" spans="1:12" x14ac:dyDescent="0.2">
      <c r="A113" t="s">
        <v>69</v>
      </c>
      <c r="B113" t="s">
        <v>84</v>
      </c>
      <c r="C113" s="1">
        <v>223196905</v>
      </c>
      <c r="D113" s="2">
        <v>43474</v>
      </c>
      <c r="E113" s="2">
        <f t="shared" si="4"/>
        <v>43474</v>
      </c>
      <c r="F113" t="s">
        <v>193</v>
      </c>
      <c r="G113" t="s">
        <v>111</v>
      </c>
      <c r="H113" t="s">
        <v>194</v>
      </c>
      <c r="I113" t="s">
        <v>7</v>
      </c>
      <c r="J113" s="3">
        <v>7.94</v>
      </c>
      <c r="K113" t="str">
        <f t="shared" si="5"/>
        <v>janvier</v>
      </c>
      <c r="L113" t="str">
        <f t="shared" si="6"/>
        <v>Recettes</v>
      </c>
    </row>
    <row r="114" spans="1:12" x14ac:dyDescent="0.2">
      <c r="A114" t="s">
        <v>94</v>
      </c>
      <c r="B114" t="s">
        <v>122</v>
      </c>
      <c r="C114">
        <v>8748503</v>
      </c>
      <c r="D114" s="2">
        <v>43474</v>
      </c>
      <c r="E114" s="2">
        <v>43496</v>
      </c>
      <c r="F114" t="s">
        <v>195</v>
      </c>
      <c r="G114" t="s">
        <v>16</v>
      </c>
      <c r="H114" t="s">
        <v>196</v>
      </c>
      <c r="I114" t="s">
        <v>7</v>
      </c>
      <c r="J114" s="3">
        <v>-25</v>
      </c>
      <c r="K114" t="str">
        <f t="shared" si="5"/>
        <v>janvier</v>
      </c>
      <c r="L114" t="str">
        <f t="shared" si="6"/>
        <v>Dépenses</v>
      </c>
    </row>
    <row r="115" spans="1:12" ht="15" x14ac:dyDescent="0.25">
      <c r="A115" t="s">
        <v>108</v>
      </c>
      <c r="B115" s="4" t="s">
        <v>70</v>
      </c>
      <c r="C115" s="7" t="s">
        <v>197</v>
      </c>
      <c r="D115" s="2">
        <v>43475</v>
      </c>
      <c r="E115" s="2">
        <f t="shared" ref="E115:E138" si="7">IF(A115="","",IF(A115&lt;&gt;"Carte Lux",D115,VLOOKUP(D115,Periode_datedebit_2019,3)))</f>
        <v>43475</v>
      </c>
      <c r="F115" t="s">
        <v>198</v>
      </c>
      <c r="G115" t="s">
        <v>199</v>
      </c>
      <c r="H115" t="s">
        <v>200</v>
      </c>
      <c r="I115" t="s">
        <v>7</v>
      </c>
      <c r="J115" s="6">
        <v>880.86</v>
      </c>
      <c r="K115" t="str">
        <f t="shared" si="5"/>
        <v>janvier</v>
      </c>
      <c r="L115" t="str">
        <f t="shared" si="6"/>
        <v>Recettes</v>
      </c>
    </row>
    <row r="116" spans="1:12" ht="15" x14ac:dyDescent="0.25">
      <c r="A116" t="s">
        <v>94</v>
      </c>
      <c r="B116" s="4" t="s">
        <v>70</v>
      </c>
      <c r="C116" s="7" t="s">
        <v>201</v>
      </c>
      <c r="D116" s="2">
        <v>43475</v>
      </c>
      <c r="E116" s="2">
        <f t="shared" si="7"/>
        <v>43475</v>
      </c>
      <c r="F116" t="s">
        <v>202</v>
      </c>
      <c r="G116" t="s">
        <v>158</v>
      </c>
      <c r="H116" t="s">
        <v>87</v>
      </c>
      <c r="I116" t="s">
        <v>7</v>
      </c>
      <c r="J116" s="6">
        <v>-15</v>
      </c>
      <c r="K116" t="str">
        <f t="shared" si="5"/>
        <v>janvier</v>
      </c>
      <c r="L116" t="str">
        <f t="shared" si="6"/>
        <v>Dépenses</v>
      </c>
    </row>
    <row r="117" spans="1:12" ht="15" x14ac:dyDescent="0.25">
      <c r="A117" t="s">
        <v>94</v>
      </c>
      <c r="B117" s="4" t="s">
        <v>70</v>
      </c>
      <c r="C117" s="7" t="s">
        <v>203</v>
      </c>
      <c r="D117" s="2">
        <v>43475</v>
      </c>
      <c r="E117" s="2">
        <f t="shared" si="7"/>
        <v>43475</v>
      </c>
      <c r="F117" t="s">
        <v>204</v>
      </c>
      <c r="G117" t="s">
        <v>158</v>
      </c>
      <c r="H117" t="s">
        <v>87</v>
      </c>
      <c r="I117" t="s">
        <v>7</v>
      </c>
      <c r="J117" s="6">
        <v>-15</v>
      </c>
      <c r="K117" t="str">
        <f t="shared" si="5"/>
        <v>janvier</v>
      </c>
      <c r="L117" t="str">
        <f t="shared" si="6"/>
        <v>Dépenses</v>
      </c>
    </row>
    <row r="118" spans="1:12" x14ac:dyDescent="0.2">
      <c r="A118" t="s">
        <v>108</v>
      </c>
      <c r="B118" s="4" t="s">
        <v>70</v>
      </c>
      <c r="C118" s="7" t="s">
        <v>205</v>
      </c>
      <c r="D118" s="2">
        <v>43475</v>
      </c>
      <c r="E118" s="2">
        <f t="shared" si="7"/>
        <v>43475</v>
      </c>
      <c r="F118" t="s">
        <v>206</v>
      </c>
      <c r="G118" t="s">
        <v>111</v>
      </c>
      <c r="H118" t="s">
        <v>207</v>
      </c>
      <c r="I118" t="s">
        <v>7</v>
      </c>
      <c r="J118" s="3">
        <v>-33.44</v>
      </c>
      <c r="K118" t="str">
        <f t="shared" si="5"/>
        <v>janvier</v>
      </c>
      <c r="L118" t="str">
        <f t="shared" si="6"/>
        <v>Dépenses</v>
      </c>
    </row>
    <row r="119" spans="1:12" x14ac:dyDescent="0.2">
      <c r="A119" t="s">
        <v>2</v>
      </c>
      <c r="B119" t="s">
        <v>8</v>
      </c>
      <c r="D119" s="2">
        <v>43475</v>
      </c>
      <c r="E119" s="2">
        <f t="shared" si="7"/>
        <v>43507</v>
      </c>
      <c r="F119" t="s">
        <v>208</v>
      </c>
      <c r="G119" t="s">
        <v>5</v>
      </c>
      <c r="H119" t="s">
        <v>22</v>
      </c>
      <c r="I119" t="s">
        <v>7</v>
      </c>
      <c r="J119" s="3">
        <v>-8.85</v>
      </c>
      <c r="K119" t="str">
        <f t="shared" si="5"/>
        <v>janvier</v>
      </c>
      <c r="L119" t="str">
        <f t="shared" si="6"/>
        <v>Dépenses</v>
      </c>
    </row>
    <row r="120" spans="1:12" x14ac:dyDescent="0.2">
      <c r="A120" t="s">
        <v>2</v>
      </c>
      <c r="B120" t="s">
        <v>8</v>
      </c>
      <c r="D120" s="2">
        <v>43475</v>
      </c>
      <c r="E120" s="2">
        <f t="shared" si="7"/>
        <v>43507</v>
      </c>
      <c r="F120" t="s">
        <v>209</v>
      </c>
      <c r="G120" t="s">
        <v>16</v>
      </c>
      <c r="H120" t="s">
        <v>210</v>
      </c>
      <c r="I120" t="s">
        <v>7</v>
      </c>
      <c r="J120" s="3">
        <v>-44</v>
      </c>
      <c r="K120" t="str">
        <f t="shared" si="5"/>
        <v>janvier</v>
      </c>
      <c r="L120" t="str">
        <f t="shared" si="6"/>
        <v>Dépenses</v>
      </c>
    </row>
    <row r="121" spans="1:12" x14ac:dyDescent="0.2">
      <c r="A121" t="s">
        <v>77</v>
      </c>
      <c r="B121" t="s">
        <v>77</v>
      </c>
      <c r="D121" s="2">
        <v>43475</v>
      </c>
      <c r="E121" s="2">
        <f t="shared" si="7"/>
        <v>43475</v>
      </c>
      <c r="F121" t="s">
        <v>78</v>
      </c>
      <c r="G121" t="s">
        <v>79</v>
      </c>
      <c r="H121" t="s">
        <v>211</v>
      </c>
      <c r="I121" t="s">
        <v>77</v>
      </c>
      <c r="J121" s="3">
        <v>30</v>
      </c>
      <c r="K121" t="str">
        <f t="shared" si="5"/>
        <v>janvier</v>
      </c>
      <c r="L121" t="str">
        <f t="shared" si="6"/>
        <v>Recettes</v>
      </c>
    </row>
    <row r="122" spans="1:12" x14ac:dyDescent="0.2">
      <c r="A122" t="s">
        <v>77</v>
      </c>
      <c r="B122" t="s">
        <v>77</v>
      </c>
      <c r="D122" s="2">
        <v>43475</v>
      </c>
      <c r="E122" s="2">
        <f t="shared" si="7"/>
        <v>43475</v>
      </c>
      <c r="F122" t="s">
        <v>212</v>
      </c>
      <c r="G122" t="s">
        <v>16</v>
      </c>
      <c r="H122" t="s">
        <v>213</v>
      </c>
      <c r="I122" t="s">
        <v>77</v>
      </c>
      <c r="J122" s="3">
        <v>44</v>
      </c>
      <c r="K122" t="str">
        <f t="shared" si="5"/>
        <v>janvier</v>
      </c>
      <c r="L122" t="str">
        <f t="shared" si="6"/>
        <v>Recettes</v>
      </c>
    </row>
    <row r="123" spans="1:12" x14ac:dyDescent="0.2">
      <c r="A123" t="s">
        <v>2</v>
      </c>
      <c r="B123" t="s">
        <v>8</v>
      </c>
      <c r="D123" s="2">
        <v>43476</v>
      </c>
      <c r="E123" s="2">
        <f t="shared" si="7"/>
        <v>43507</v>
      </c>
      <c r="F123" t="s">
        <v>214</v>
      </c>
      <c r="G123" t="s">
        <v>19</v>
      </c>
      <c r="H123" t="s">
        <v>215</v>
      </c>
      <c r="I123" t="s">
        <v>7</v>
      </c>
      <c r="J123" s="3">
        <v>-23.15</v>
      </c>
      <c r="K123" t="str">
        <f t="shared" si="5"/>
        <v>janvier</v>
      </c>
      <c r="L123" t="str">
        <f t="shared" si="6"/>
        <v>Dépenses</v>
      </c>
    </row>
    <row r="124" spans="1:12" x14ac:dyDescent="0.2">
      <c r="A124" t="s">
        <v>2</v>
      </c>
      <c r="B124" t="s">
        <v>3</v>
      </c>
      <c r="C124" t="s">
        <v>216</v>
      </c>
      <c r="D124" s="2">
        <v>43476</v>
      </c>
      <c r="E124" s="2">
        <f t="shared" si="7"/>
        <v>43507</v>
      </c>
      <c r="F124" t="s">
        <v>217</v>
      </c>
      <c r="G124" t="s">
        <v>49</v>
      </c>
      <c r="H124" t="s">
        <v>6</v>
      </c>
      <c r="I124" t="s">
        <v>7</v>
      </c>
      <c r="J124" s="3">
        <f>-10.1-3.25-3.35-5.75-19.15</f>
        <v>-41.599999999999994</v>
      </c>
      <c r="K124" t="str">
        <f t="shared" si="5"/>
        <v>janvier</v>
      </c>
      <c r="L124" t="str">
        <f t="shared" si="6"/>
        <v>Dépenses</v>
      </c>
    </row>
    <row r="125" spans="1:12" x14ac:dyDescent="0.2">
      <c r="A125" t="s">
        <v>2</v>
      </c>
      <c r="B125" t="s">
        <v>8</v>
      </c>
      <c r="D125" s="2">
        <v>43477</v>
      </c>
      <c r="E125" s="2">
        <f t="shared" si="7"/>
        <v>43507</v>
      </c>
      <c r="F125" t="s">
        <v>5</v>
      </c>
      <c r="G125" t="s">
        <v>5</v>
      </c>
      <c r="H125" t="s">
        <v>50</v>
      </c>
      <c r="I125" t="s">
        <v>7</v>
      </c>
      <c r="J125" s="3">
        <v>-9.7899999999999991</v>
      </c>
      <c r="K125" t="str">
        <f t="shared" si="5"/>
        <v>janvier</v>
      </c>
      <c r="L125" t="str">
        <f t="shared" si="6"/>
        <v>Dépenses</v>
      </c>
    </row>
    <row r="126" spans="1:12" x14ac:dyDescent="0.2">
      <c r="A126" t="s">
        <v>2</v>
      </c>
      <c r="B126" t="s">
        <v>8</v>
      </c>
      <c r="D126" s="2">
        <v>43477</v>
      </c>
      <c r="E126" s="2">
        <f t="shared" si="7"/>
        <v>43507</v>
      </c>
      <c r="F126" t="s">
        <v>5</v>
      </c>
      <c r="G126" t="s">
        <v>5</v>
      </c>
      <c r="H126" t="s">
        <v>50</v>
      </c>
      <c r="I126" t="s">
        <v>7</v>
      </c>
      <c r="J126" s="3">
        <v>-27.94</v>
      </c>
      <c r="K126" t="str">
        <f t="shared" si="5"/>
        <v>janvier</v>
      </c>
      <c r="L126" t="str">
        <f t="shared" si="6"/>
        <v>Dépenses</v>
      </c>
    </row>
    <row r="127" spans="1:12" x14ac:dyDescent="0.2">
      <c r="A127" t="s">
        <v>108</v>
      </c>
      <c r="B127" t="s">
        <v>109</v>
      </c>
      <c r="D127" s="2">
        <v>43477</v>
      </c>
      <c r="E127" s="2">
        <f t="shared" si="7"/>
        <v>43477</v>
      </c>
      <c r="F127" t="s">
        <v>218</v>
      </c>
      <c r="G127" t="s">
        <v>16</v>
      </c>
      <c r="H127" t="s">
        <v>141</v>
      </c>
      <c r="I127" t="s">
        <v>7</v>
      </c>
      <c r="J127" s="3">
        <v>-28</v>
      </c>
      <c r="K127" t="str">
        <f t="shared" si="5"/>
        <v>janvier</v>
      </c>
      <c r="L127" t="str">
        <f t="shared" si="6"/>
        <v>Dépenses</v>
      </c>
    </row>
    <row r="128" spans="1:12" x14ac:dyDescent="0.2">
      <c r="A128" t="s">
        <v>108</v>
      </c>
      <c r="B128" t="s">
        <v>109</v>
      </c>
      <c r="D128" s="2">
        <v>43477</v>
      </c>
      <c r="E128" s="2">
        <f t="shared" si="7"/>
        <v>43477</v>
      </c>
      <c r="F128" t="s">
        <v>219</v>
      </c>
      <c r="G128" t="s">
        <v>16</v>
      </c>
      <c r="H128" t="s">
        <v>141</v>
      </c>
      <c r="I128" t="s">
        <v>7</v>
      </c>
      <c r="J128" s="3">
        <v>-25</v>
      </c>
      <c r="K128" t="str">
        <f t="shared" si="5"/>
        <v>janvier</v>
      </c>
      <c r="L128" t="str">
        <f t="shared" si="6"/>
        <v>Dépenses</v>
      </c>
    </row>
    <row r="129" spans="1:12" x14ac:dyDescent="0.2">
      <c r="A129" t="s">
        <v>108</v>
      </c>
      <c r="B129" t="s">
        <v>109</v>
      </c>
      <c r="D129" s="2">
        <v>43477</v>
      </c>
      <c r="E129" s="2">
        <f t="shared" si="7"/>
        <v>43477</v>
      </c>
      <c r="F129" t="s">
        <v>220</v>
      </c>
      <c r="G129" t="s">
        <v>16</v>
      </c>
      <c r="H129" t="s">
        <v>221</v>
      </c>
      <c r="I129" t="s">
        <v>7</v>
      </c>
      <c r="J129" s="3">
        <v>-34.99</v>
      </c>
      <c r="K129" t="str">
        <f t="shared" si="5"/>
        <v>janvier</v>
      </c>
      <c r="L129" t="str">
        <f t="shared" si="6"/>
        <v>Dépenses</v>
      </c>
    </row>
    <row r="130" spans="1:12" x14ac:dyDescent="0.2">
      <c r="A130" t="s">
        <v>2</v>
      </c>
      <c r="B130" t="s">
        <v>3</v>
      </c>
      <c r="C130" t="s">
        <v>216</v>
      </c>
      <c r="D130" s="2">
        <v>43477</v>
      </c>
      <c r="E130" s="2">
        <f t="shared" si="7"/>
        <v>43507</v>
      </c>
      <c r="F130" t="s">
        <v>5</v>
      </c>
      <c r="G130" t="s">
        <v>5</v>
      </c>
      <c r="H130" t="s">
        <v>6</v>
      </c>
      <c r="I130" t="s">
        <v>7</v>
      </c>
      <c r="J130" s="3">
        <f>-72.23--41.6</f>
        <v>-30.630000000000003</v>
      </c>
      <c r="K130" t="str">
        <f t="shared" ref="K130:K193" si="8">IF(D130="","",TEXT(D130,"Mmmm"))</f>
        <v>janvier</v>
      </c>
      <c r="L130" t="str">
        <f t="shared" ref="L130:L193" si="9">IF(J130="","",IF(J130&lt;0,"Dépenses","Recettes"))</f>
        <v>Dépenses</v>
      </c>
    </row>
    <row r="131" spans="1:12" x14ac:dyDescent="0.2">
      <c r="A131" t="s">
        <v>2</v>
      </c>
      <c r="B131" t="s">
        <v>8</v>
      </c>
      <c r="D131" s="2">
        <v>43478</v>
      </c>
      <c r="E131" s="2">
        <f t="shared" si="7"/>
        <v>43507</v>
      </c>
      <c r="F131" t="s">
        <v>222</v>
      </c>
      <c r="G131" t="s">
        <v>5</v>
      </c>
      <c r="H131" t="s">
        <v>33</v>
      </c>
      <c r="I131" t="s">
        <v>7</v>
      </c>
      <c r="J131" s="3">
        <v>-9.6</v>
      </c>
      <c r="K131" t="str">
        <f t="shared" si="8"/>
        <v>janvier</v>
      </c>
      <c r="L131" t="str">
        <f t="shared" si="9"/>
        <v>Dépenses</v>
      </c>
    </row>
    <row r="132" spans="1:12" x14ac:dyDescent="0.2">
      <c r="A132" t="s">
        <v>2</v>
      </c>
      <c r="B132" t="s">
        <v>3</v>
      </c>
      <c r="D132" s="2">
        <v>43479</v>
      </c>
      <c r="E132" s="2">
        <f t="shared" si="7"/>
        <v>43507</v>
      </c>
      <c r="F132" t="s">
        <v>5</v>
      </c>
      <c r="G132" t="s">
        <v>5</v>
      </c>
      <c r="H132" t="s">
        <v>223</v>
      </c>
      <c r="I132" t="s">
        <v>7</v>
      </c>
      <c r="J132" s="3">
        <v>-12.49</v>
      </c>
      <c r="K132" t="str">
        <f t="shared" si="8"/>
        <v>janvier</v>
      </c>
      <c r="L132" t="str">
        <f t="shared" si="9"/>
        <v>Dépenses</v>
      </c>
    </row>
    <row r="133" spans="1:12" x14ac:dyDescent="0.2">
      <c r="A133" t="s">
        <v>2</v>
      </c>
      <c r="B133" t="s">
        <v>8</v>
      </c>
      <c r="D133" s="2">
        <v>43479</v>
      </c>
      <c r="E133" s="2">
        <f t="shared" si="7"/>
        <v>43507</v>
      </c>
      <c r="F133" t="s">
        <v>224</v>
      </c>
      <c r="G133" t="s">
        <v>115</v>
      </c>
      <c r="H133" t="s">
        <v>14</v>
      </c>
      <c r="I133" t="s">
        <v>7</v>
      </c>
      <c r="J133" s="3">
        <v>-10.220000000000001</v>
      </c>
      <c r="K133" t="str">
        <f t="shared" si="8"/>
        <v>janvier</v>
      </c>
      <c r="L133" t="str">
        <f t="shared" si="9"/>
        <v>Dépenses</v>
      </c>
    </row>
    <row r="134" spans="1:12" x14ac:dyDescent="0.2">
      <c r="A134" t="s">
        <v>108</v>
      </c>
      <c r="B134" t="s">
        <v>109</v>
      </c>
      <c r="D134" s="2">
        <v>43479</v>
      </c>
      <c r="E134" s="2">
        <f t="shared" si="7"/>
        <v>43479</v>
      </c>
      <c r="F134" t="s">
        <v>225</v>
      </c>
      <c r="G134" t="s">
        <v>16</v>
      </c>
      <c r="H134" t="s">
        <v>141</v>
      </c>
      <c r="I134" t="s">
        <v>7</v>
      </c>
      <c r="J134" s="3">
        <v>-15.99</v>
      </c>
      <c r="K134" t="str">
        <f t="shared" si="8"/>
        <v>janvier</v>
      </c>
      <c r="L134" t="str">
        <f t="shared" si="9"/>
        <v>Dépenses</v>
      </c>
    </row>
    <row r="135" spans="1:12" x14ac:dyDescent="0.2">
      <c r="A135" t="s">
        <v>108</v>
      </c>
      <c r="B135" t="s">
        <v>84</v>
      </c>
      <c r="D135" s="2">
        <v>43479</v>
      </c>
      <c r="E135" s="2">
        <f t="shared" si="7"/>
        <v>43479</v>
      </c>
      <c r="F135" t="s">
        <v>226</v>
      </c>
      <c r="G135" t="s">
        <v>16</v>
      </c>
      <c r="H135" t="s">
        <v>141</v>
      </c>
      <c r="I135" t="s">
        <v>7</v>
      </c>
      <c r="J135" s="3">
        <v>10.99</v>
      </c>
      <c r="K135" t="str">
        <f t="shared" si="8"/>
        <v>janvier</v>
      </c>
      <c r="L135" t="str">
        <f t="shared" si="9"/>
        <v>Recettes</v>
      </c>
    </row>
    <row r="136" spans="1:12" x14ac:dyDescent="0.2">
      <c r="A136" t="s">
        <v>69</v>
      </c>
      <c r="B136" t="s">
        <v>84</v>
      </c>
      <c r="D136" s="2">
        <v>43479</v>
      </c>
      <c r="E136" s="2">
        <f t="shared" si="7"/>
        <v>43479</v>
      </c>
      <c r="F136" t="s">
        <v>227</v>
      </c>
      <c r="G136" t="s">
        <v>10</v>
      </c>
      <c r="H136" t="s">
        <v>74</v>
      </c>
      <c r="I136" t="s">
        <v>7</v>
      </c>
      <c r="J136" s="3">
        <v>150</v>
      </c>
      <c r="K136" t="str">
        <f t="shared" si="8"/>
        <v>janvier</v>
      </c>
      <c r="L136" t="str">
        <f t="shared" si="9"/>
        <v>Recettes</v>
      </c>
    </row>
    <row r="137" spans="1:12" x14ac:dyDescent="0.2">
      <c r="A137" t="s">
        <v>2</v>
      </c>
      <c r="B137" t="s">
        <v>8</v>
      </c>
      <c r="D137" s="2">
        <v>43479</v>
      </c>
      <c r="E137" s="2">
        <f t="shared" si="7"/>
        <v>43507</v>
      </c>
      <c r="F137" t="s">
        <v>32</v>
      </c>
      <c r="G137" t="s">
        <v>115</v>
      </c>
      <c r="H137" t="s">
        <v>22</v>
      </c>
      <c r="I137" t="s">
        <v>7</v>
      </c>
      <c r="J137" s="3">
        <v>-4.3</v>
      </c>
      <c r="K137" t="str">
        <f t="shared" si="8"/>
        <v>janvier</v>
      </c>
      <c r="L137" t="str">
        <f t="shared" si="9"/>
        <v>Dépenses</v>
      </c>
    </row>
    <row r="138" spans="1:12" x14ac:dyDescent="0.2">
      <c r="A138" t="s">
        <v>94</v>
      </c>
      <c r="B138" t="s">
        <v>122</v>
      </c>
      <c r="D138" s="2">
        <v>43479</v>
      </c>
      <c r="E138" s="2">
        <f t="shared" si="7"/>
        <v>43479</v>
      </c>
      <c r="F138" t="s">
        <v>81</v>
      </c>
      <c r="G138" t="s">
        <v>19</v>
      </c>
      <c r="I138" t="s">
        <v>7</v>
      </c>
      <c r="J138" s="3">
        <v>50</v>
      </c>
      <c r="K138" t="str">
        <f t="shared" si="8"/>
        <v>janvier</v>
      </c>
      <c r="L138" t="str">
        <f t="shared" si="9"/>
        <v>Recettes</v>
      </c>
    </row>
    <row r="139" spans="1:12" x14ac:dyDescent="0.2">
      <c r="A139" t="s">
        <v>94</v>
      </c>
      <c r="B139" t="s">
        <v>122</v>
      </c>
      <c r="C139">
        <v>8748493</v>
      </c>
      <c r="D139" s="2">
        <v>43479</v>
      </c>
      <c r="E139" s="2">
        <v>43496</v>
      </c>
      <c r="F139" t="s">
        <v>228</v>
      </c>
      <c r="G139" t="s">
        <v>229</v>
      </c>
      <c r="H139" t="s">
        <v>230</v>
      </c>
      <c r="I139" t="s">
        <v>7</v>
      </c>
      <c r="J139" s="3">
        <v>-60</v>
      </c>
      <c r="K139" t="str">
        <f t="shared" si="8"/>
        <v>janvier</v>
      </c>
      <c r="L139" t="str">
        <f t="shared" si="9"/>
        <v>Dépenses</v>
      </c>
    </row>
    <row r="140" spans="1:12" ht="15" x14ac:dyDescent="0.25">
      <c r="A140" t="s">
        <v>94</v>
      </c>
      <c r="B140" s="4" t="s">
        <v>70</v>
      </c>
      <c r="C140" s="7" t="s">
        <v>231</v>
      </c>
      <c r="D140" s="2">
        <v>43480</v>
      </c>
      <c r="E140" s="2">
        <f t="shared" ref="E140:E153" si="10">IF(A140="","",IF(A140&lt;&gt;"Carte Lux",D140,VLOOKUP(D140,Periode_datedebit_2019,3)))</f>
        <v>43480</v>
      </c>
      <c r="F140" s="4" t="s">
        <v>232</v>
      </c>
      <c r="G140" s="4" t="s">
        <v>79</v>
      </c>
      <c r="H140" s="4" t="s">
        <v>233</v>
      </c>
      <c r="I140" t="s">
        <v>7</v>
      </c>
      <c r="J140" s="6">
        <v>-22.1</v>
      </c>
      <c r="K140" t="str">
        <f t="shared" si="8"/>
        <v>janvier</v>
      </c>
      <c r="L140" t="str">
        <f t="shared" si="9"/>
        <v>Dépenses</v>
      </c>
    </row>
    <row r="141" spans="1:12" x14ac:dyDescent="0.2">
      <c r="A141" t="s">
        <v>108</v>
      </c>
      <c r="B141" t="s">
        <v>109</v>
      </c>
      <c r="D141" s="2">
        <v>43480</v>
      </c>
      <c r="E141" s="2">
        <f t="shared" si="10"/>
        <v>43480</v>
      </c>
      <c r="F141" t="s">
        <v>234</v>
      </c>
      <c r="G141" t="s">
        <v>16</v>
      </c>
      <c r="I141" t="s">
        <v>7</v>
      </c>
      <c r="J141" s="3">
        <v>-3</v>
      </c>
      <c r="K141" t="str">
        <f t="shared" si="8"/>
        <v>janvier</v>
      </c>
      <c r="L141" t="str">
        <f t="shared" si="9"/>
        <v>Dépenses</v>
      </c>
    </row>
    <row r="142" spans="1:12" x14ac:dyDescent="0.2">
      <c r="A142" t="s">
        <v>2</v>
      </c>
      <c r="B142" t="s">
        <v>3</v>
      </c>
      <c r="D142" s="2">
        <v>43480</v>
      </c>
      <c r="E142" s="2">
        <f t="shared" si="10"/>
        <v>43507</v>
      </c>
      <c r="F142" t="s">
        <v>235</v>
      </c>
      <c r="G142" t="s">
        <v>39</v>
      </c>
      <c r="H142" t="s">
        <v>120</v>
      </c>
      <c r="I142" t="s">
        <v>7</v>
      </c>
      <c r="J142" s="3">
        <v>-8</v>
      </c>
      <c r="K142" t="str">
        <f t="shared" si="8"/>
        <v>janvier</v>
      </c>
      <c r="L142" t="str">
        <f t="shared" si="9"/>
        <v>Dépenses</v>
      </c>
    </row>
    <row r="143" spans="1:12" x14ac:dyDescent="0.2">
      <c r="A143" t="s">
        <v>2</v>
      </c>
      <c r="B143" t="s">
        <v>3</v>
      </c>
      <c r="D143" s="2">
        <v>43480</v>
      </c>
      <c r="E143" s="2">
        <f t="shared" si="10"/>
        <v>43507</v>
      </c>
      <c r="F143" t="s">
        <v>5</v>
      </c>
      <c r="G143" t="s">
        <v>5</v>
      </c>
      <c r="H143" t="s">
        <v>23</v>
      </c>
      <c r="I143" t="s">
        <v>7</v>
      </c>
      <c r="J143" s="3">
        <v>-32.49</v>
      </c>
      <c r="K143" t="str">
        <f t="shared" si="8"/>
        <v>janvier</v>
      </c>
      <c r="L143" t="str">
        <f t="shared" si="9"/>
        <v>Dépenses</v>
      </c>
    </row>
    <row r="144" spans="1:12" x14ac:dyDescent="0.2">
      <c r="A144" t="s">
        <v>108</v>
      </c>
      <c r="B144" t="s">
        <v>109</v>
      </c>
      <c r="D144" s="2">
        <v>43480</v>
      </c>
      <c r="E144" s="2">
        <f t="shared" si="10"/>
        <v>43480</v>
      </c>
      <c r="F144" t="s">
        <v>236</v>
      </c>
      <c r="G144" t="s">
        <v>127</v>
      </c>
      <c r="H144" t="s">
        <v>237</v>
      </c>
      <c r="I144" t="s">
        <v>7</v>
      </c>
      <c r="J144" s="3">
        <v>-50.4</v>
      </c>
      <c r="K144" t="str">
        <f t="shared" si="8"/>
        <v>janvier</v>
      </c>
      <c r="L144" t="str">
        <f t="shared" si="9"/>
        <v>Dépenses</v>
      </c>
    </row>
    <row r="145" spans="1:12" x14ac:dyDescent="0.2">
      <c r="A145" t="s">
        <v>2</v>
      </c>
      <c r="B145" t="s">
        <v>8</v>
      </c>
      <c r="D145" s="2">
        <v>43480</v>
      </c>
      <c r="E145" s="2">
        <f t="shared" si="10"/>
        <v>43507</v>
      </c>
      <c r="F145" t="s">
        <v>5</v>
      </c>
      <c r="G145" t="s">
        <v>5</v>
      </c>
      <c r="H145" t="s">
        <v>6</v>
      </c>
      <c r="I145" t="s">
        <v>7</v>
      </c>
      <c r="J145" s="3">
        <v>-12.9</v>
      </c>
      <c r="K145" t="str">
        <f t="shared" si="8"/>
        <v>janvier</v>
      </c>
      <c r="L145" t="str">
        <f t="shared" si="9"/>
        <v>Dépenses</v>
      </c>
    </row>
    <row r="146" spans="1:12" ht="15" x14ac:dyDescent="0.25">
      <c r="A146" t="s">
        <v>69</v>
      </c>
      <c r="B146" s="4" t="s">
        <v>70</v>
      </c>
      <c r="C146" s="7" t="s">
        <v>146</v>
      </c>
      <c r="D146" s="2">
        <v>43480</v>
      </c>
      <c r="E146" s="2">
        <f t="shared" si="10"/>
        <v>43480</v>
      </c>
      <c r="F146" t="s">
        <v>147</v>
      </c>
      <c r="G146" t="s">
        <v>115</v>
      </c>
      <c r="H146" t="s">
        <v>148</v>
      </c>
      <c r="I146" t="s">
        <v>7</v>
      </c>
      <c r="J146" s="6">
        <v>-7.71</v>
      </c>
      <c r="K146" t="str">
        <f t="shared" si="8"/>
        <v>janvier</v>
      </c>
      <c r="L146" t="str">
        <f t="shared" si="9"/>
        <v>Dépenses</v>
      </c>
    </row>
    <row r="147" spans="1:12" x14ac:dyDescent="0.2">
      <c r="A147" t="s">
        <v>77</v>
      </c>
      <c r="B147" t="s">
        <v>77</v>
      </c>
      <c r="D147" s="2">
        <v>43480</v>
      </c>
      <c r="E147" s="2">
        <f t="shared" si="10"/>
        <v>43480</v>
      </c>
      <c r="F147" t="s">
        <v>238</v>
      </c>
      <c r="G147" t="s">
        <v>5</v>
      </c>
      <c r="H147" t="s">
        <v>77</v>
      </c>
      <c r="I147" t="s">
        <v>77</v>
      </c>
      <c r="J147" s="3">
        <v>4.8</v>
      </c>
      <c r="K147" t="str">
        <f t="shared" si="8"/>
        <v>janvier</v>
      </c>
      <c r="L147" t="str">
        <f t="shared" si="9"/>
        <v>Recettes</v>
      </c>
    </row>
    <row r="148" spans="1:12" ht="15" x14ac:dyDescent="0.25">
      <c r="A148" t="s">
        <v>94</v>
      </c>
      <c r="B148" s="4" t="s">
        <v>70</v>
      </c>
      <c r="C148" s="7" t="s">
        <v>239</v>
      </c>
      <c r="D148" s="2">
        <v>43481</v>
      </c>
      <c r="E148" s="2">
        <f t="shared" si="10"/>
        <v>43481</v>
      </c>
      <c r="F148" s="4" t="s">
        <v>240</v>
      </c>
      <c r="G148" s="4" t="s">
        <v>73</v>
      </c>
      <c r="H148" s="4" t="s">
        <v>241</v>
      </c>
      <c r="I148" t="s">
        <v>7</v>
      </c>
      <c r="J148" s="6">
        <v>-164.14</v>
      </c>
      <c r="K148" t="str">
        <f t="shared" si="8"/>
        <v>janvier</v>
      </c>
      <c r="L148" t="str">
        <f t="shared" si="9"/>
        <v>Dépenses</v>
      </c>
    </row>
    <row r="149" spans="1:12" ht="15" x14ac:dyDescent="0.25">
      <c r="A149" t="s">
        <v>94</v>
      </c>
      <c r="B149" s="4" t="s">
        <v>70</v>
      </c>
      <c r="C149" s="7" t="s">
        <v>242</v>
      </c>
      <c r="D149" s="2">
        <v>43481</v>
      </c>
      <c r="E149" s="2">
        <f t="shared" si="10"/>
        <v>43481</v>
      </c>
      <c r="F149" t="s">
        <v>243</v>
      </c>
      <c r="G149" t="s">
        <v>244</v>
      </c>
      <c r="H149" t="s">
        <v>245</v>
      </c>
      <c r="I149" t="s">
        <v>7</v>
      </c>
      <c r="J149" s="6">
        <v>-34.950000000000003</v>
      </c>
      <c r="K149" t="str">
        <f t="shared" si="8"/>
        <v>janvier</v>
      </c>
      <c r="L149" t="str">
        <f t="shared" si="9"/>
        <v>Dépenses</v>
      </c>
    </row>
    <row r="150" spans="1:12" ht="15" x14ac:dyDescent="0.25">
      <c r="A150" t="s">
        <v>94</v>
      </c>
      <c r="B150" s="4" t="s">
        <v>70</v>
      </c>
      <c r="C150" s="7" t="s">
        <v>246</v>
      </c>
      <c r="D150" s="2">
        <v>43481</v>
      </c>
      <c r="E150" s="2">
        <f t="shared" si="10"/>
        <v>43481</v>
      </c>
      <c r="F150" t="s">
        <v>247</v>
      </c>
      <c r="G150" t="s">
        <v>134</v>
      </c>
      <c r="H150" t="s">
        <v>155</v>
      </c>
      <c r="I150" t="s">
        <v>7</v>
      </c>
      <c r="J150" s="6">
        <v>-38</v>
      </c>
      <c r="K150" t="str">
        <f t="shared" si="8"/>
        <v>janvier</v>
      </c>
      <c r="L150" t="str">
        <f t="shared" si="9"/>
        <v>Dépenses</v>
      </c>
    </row>
    <row r="151" spans="1:12" ht="15" x14ac:dyDescent="0.25">
      <c r="A151" t="s">
        <v>94</v>
      </c>
      <c r="B151" s="4" t="s">
        <v>70</v>
      </c>
      <c r="C151" s="7" t="s">
        <v>248</v>
      </c>
      <c r="D151" s="2">
        <v>43481</v>
      </c>
      <c r="E151" s="2">
        <f t="shared" si="10"/>
        <v>43481</v>
      </c>
      <c r="F151" t="s">
        <v>249</v>
      </c>
      <c r="G151" t="s">
        <v>134</v>
      </c>
      <c r="H151" t="s">
        <v>155</v>
      </c>
      <c r="I151" t="s">
        <v>7</v>
      </c>
      <c r="J151" s="6">
        <v>-32</v>
      </c>
      <c r="K151" t="str">
        <f t="shared" si="8"/>
        <v>janvier</v>
      </c>
      <c r="L151" t="str">
        <f t="shared" si="9"/>
        <v>Dépenses</v>
      </c>
    </row>
    <row r="152" spans="1:12" x14ac:dyDescent="0.2">
      <c r="A152" t="s">
        <v>108</v>
      </c>
      <c r="B152" t="s">
        <v>109</v>
      </c>
      <c r="D152" s="2">
        <v>43481</v>
      </c>
      <c r="E152" s="2">
        <f t="shared" si="10"/>
        <v>43481</v>
      </c>
      <c r="F152" t="s">
        <v>250</v>
      </c>
      <c r="G152" t="s">
        <v>5</v>
      </c>
      <c r="I152" t="s">
        <v>7</v>
      </c>
      <c r="J152" s="3">
        <v>-4.3499999999999996</v>
      </c>
      <c r="K152" t="str">
        <f t="shared" si="8"/>
        <v>janvier</v>
      </c>
      <c r="L152" t="str">
        <f t="shared" si="9"/>
        <v>Dépenses</v>
      </c>
    </row>
    <row r="153" spans="1:12" x14ac:dyDescent="0.2">
      <c r="A153" t="s">
        <v>108</v>
      </c>
      <c r="B153" t="s">
        <v>109</v>
      </c>
      <c r="D153" s="2">
        <v>43481</v>
      </c>
      <c r="E153" s="2">
        <f t="shared" si="10"/>
        <v>43481</v>
      </c>
      <c r="F153" t="s">
        <v>251</v>
      </c>
      <c r="G153" t="s">
        <v>19</v>
      </c>
      <c r="H153" t="s">
        <v>252</v>
      </c>
      <c r="I153" t="s">
        <v>7</v>
      </c>
      <c r="J153" s="3">
        <v>-25</v>
      </c>
      <c r="K153" t="str">
        <f t="shared" si="8"/>
        <v>janvier</v>
      </c>
      <c r="L153" t="str">
        <f t="shared" si="9"/>
        <v>Dépenses</v>
      </c>
    </row>
    <row r="154" spans="1:12" x14ac:dyDescent="0.2">
      <c r="A154" t="s">
        <v>94</v>
      </c>
      <c r="B154" t="s">
        <v>122</v>
      </c>
      <c r="C154" s="1">
        <v>8748505</v>
      </c>
      <c r="D154" s="2">
        <v>43481</v>
      </c>
      <c r="E154" s="2">
        <v>43496</v>
      </c>
      <c r="F154" t="s">
        <v>253</v>
      </c>
      <c r="G154" t="s">
        <v>254</v>
      </c>
      <c r="H154" t="s">
        <v>255</v>
      </c>
      <c r="I154" t="s">
        <v>7</v>
      </c>
      <c r="J154" s="3">
        <v>-329.77</v>
      </c>
      <c r="K154" t="str">
        <f t="shared" si="8"/>
        <v>janvier</v>
      </c>
      <c r="L154" t="str">
        <f t="shared" si="9"/>
        <v>Dépenses</v>
      </c>
    </row>
    <row r="155" spans="1:12" x14ac:dyDescent="0.2">
      <c r="A155" t="s">
        <v>108</v>
      </c>
      <c r="B155" t="s">
        <v>109</v>
      </c>
      <c r="D155" s="2">
        <v>43482</v>
      </c>
      <c r="E155" s="2">
        <f t="shared" ref="E155:E164" si="11">IF(A155="","",IF(A155&lt;&gt;"Carte Lux",D155,VLOOKUP(D155,Periode_datedebit_2019,3)))</f>
        <v>43482</v>
      </c>
      <c r="F155" t="s">
        <v>256</v>
      </c>
      <c r="G155" t="s">
        <v>19</v>
      </c>
      <c r="H155" t="s">
        <v>257</v>
      </c>
      <c r="I155" t="s">
        <v>7</v>
      </c>
      <c r="J155" s="3">
        <v>-20</v>
      </c>
      <c r="K155" t="str">
        <f t="shared" si="8"/>
        <v>janvier</v>
      </c>
      <c r="L155" t="str">
        <f t="shared" si="9"/>
        <v>Dépenses</v>
      </c>
    </row>
    <row r="156" spans="1:12" x14ac:dyDescent="0.2">
      <c r="A156" t="s">
        <v>108</v>
      </c>
      <c r="B156" t="s">
        <v>109</v>
      </c>
      <c r="D156" s="2">
        <v>43482</v>
      </c>
      <c r="E156" s="2">
        <f t="shared" si="11"/>
        <v>43482</v>
      </c>
      <c r="F156" t="s">
        <v>258</v>
      </c>
      <c r="G156" t="s">
        <v>52</v>
      </c>
      <c r="H156" t="s">
        <v>258</v>
      </c>
      <c r="I156" t="s">
        <v>7</v>
      </c>
      <c r="J156" s="3">
        <v>-12</v>
      </c>
      <c r="K156" t="str">
        <f t="shared" si="8"/>
        <v>janvier</v>
      </c>
      <c r="L156" t="str">
        <f t="shared" si="9"/>
        <v>Dépenses</v>
      </c>
    </row>
    <row r="157" spans="1:12" x14ac:dyDescent="0.2">
      <c r="A157" t="s">
        <v>108</v>
      </c>
      <c r="B157" t="s">
        <v>109</v>
      </c>
      <c r="D157" s="2">
        <v>43482</v>
      </c>
      <c r="E157" s="2">
        <f t="shared" si="11"/>
        <v>43482</v>
      </c>
      <c r="F157" t="s">
        <v>251</v>
      </c>
      <c r="G157" t="s">
        <v>19</v>
      </c>
      <c r="H157" t="s">
        <v>259</v>
      </c>
      <c r="I157" t="s">
        <v>7</v>
      </c>
      <c r="J157" s="3">
        <v>-16.059999999999999</v>
      </c>
      <c r="K157" t="str">
        <f t="shared" si="8"/>
        <v>janvier</v>
      </c>
      <c r="L157" t="str">
        <f t="shared" si="9"/>
        <v>Dépenses</v>
      </c>
    </row>
    <row r="158" spans="1:12" x14ac:dyDescent="0.2">
      <c r="A158" t="s">
        <v>2</v>
      </c>
      <c r="B158" t="s">
        <v>3</v>
      </c>
      <c r="D158" s="2">
        <v>43482</v>
      </c>
      <c r="E158" s="2">
        <f t="shared" si="11"/>
        <v>43507</v>
      </c>
      <c r="F158" t="s">
        <v>5</v>
      </c>
      <c r="G158" t="s">
        <v>5</v>
      </c>
      <c r="H158" t="s">
        <v>260</v>
      </c>
      <c r="I158" t="s">
        <v>7</v>
      </c>
      <c r="J158" s="3">
        <v>-84.97</v>
      </c>
      <c r="K158" t="str">
        <f t="shared" si="8"/>
        <v>janvier</v>
      </c>
      <c r="L158" t="str">
        <f t="shared" si="9"/>
        <v>Dépenses</v>
      </c>
    </row>
    <row r="159" spans="1:12" x14ac:dyDescent="0.2">
      <c r="A159" t="s">
        <v>2</v>
      </c>
      <c r="B159" t="s">
        <v>8</v>
      </c>
      <c r="C159" t="s">
        <v>261</v>
      </c>
      <c r="D159" s="2">
        <v>43482</v>
      </c>
      <c r="E159" s="2">
        <f t="shared" si="11"/>
        <v>43507</v>
      </c>
      <c r="F159" t="s">
        <v>32</v>
      </c>
      <c r="G159" t="s">
        <v>5</v>
      </c>
      <c r="H159" t="s">
        <v>64</v>
      </c>
      <c r="I159" t="s">
        <v>7</v>
      </c>
      <c r="J159" s="3">
        <v>-1.75</v>
      </c>
      <c r="K159" t="str">
        <f t="shared" si="8"/>
        <v>janvier</v>
      </c>
      <c r="L159" t="str">
        <f t="shared" si="9"/>
        <v>Dépenses</v>
      </c>
    </row>
    <row r="160" spans="1:12" x14ac:dyDescent="0.2">
      <c r="A160" t="s">
        <v>2</v>
      </c>
      <c r="B160" t="s">
        <v>8</v>
      </c>
      <c r="C160" t="s">
        <v>261</v>
      </c>
      <c r="D160" s="2">
        <v>43482</v>
      </c>
      <c r="E160" s="2">
        <f t="shared" si="11"/>
        <v>43507</v>
      </c>
      <c r="F160" t="s">
        <v>262</v>
      </c>
      <c r="G160" t="s">
        <v>263</v>
      </c>
      <c r="H160" t="s">
        <v>64</v>
      </c>
      <c r="I160" t="s">
        <v>7</v>
      </c>
      <c r="J160" s="3">
        <v>-53.79</v>
      </c>
      <c r="K160" t="str">
        <f t="shared" si="8"/>
        <v>janvier</v>
      </c>
      <c r="L160" t="str">
        <f t="shared" si="9"/>
        <v>Dépenses</v>
      </c>
    </row>
    <row r="161" spans="1:12" x14ac:dyDescent="0.2">
      <c r="A161" t="s">
        <v>2</v>
      </c>
      <c r="B161" t="s">
        <v>8</v>
      </c>
      <c r="D161" s="2">
        <v>43482</v>
      </c>
      <c r="E161" s="2">
        <f t="shared" si="11"/>
        <v>43507</v>
      </c>
      <c r="F161" t="s">
        <v>179</v>
      </c>
      <c r="G161" t="s">
        <v>5</v>
      </c>
      <c r="H161" t="s">
        <v>22</v>
      </c>
      <c r="I161" t="s">
        <v>7</v>
      </c>
      <c r="J161" s="3">
        <v>-11.7</v>
      </c>
      <c r="K161" t="str">
        <f t="shared" si="8"/>
        <v>janvier</v>
      </c>
      <c r="L161" t="str">
        <f t="shared" si="9"/>
        <v>Dépenses</v>
      </c>
    </row>
    <row r="162" spans="1:12" x14ac:dyDescent="0.2">
      <c r="A162" t="s">
        <v>108</v>
      </c>
      <c r="B162" t="s">
        <v>109</v>
      </c>
      <c r="C162" t="s">
        <v>264</v>
      </c>
      <c r="D162" s="2">
        <v>43483</v>
      </c>
      <c r="E162" s="2">
        <f t="shared" si="11"/>
        <v>43483</v>
      </c>
      <c r="F162" t="s">
        <v>21</v>
      </c>
      <c r="G162" t="s">
        <v>21</v>
      </c>
      <c r="H162" t="s">
        <v>64</v>
      </c>
      <c r="I162" t="s">
        <v>7</v>
      </c>
      <c r="J162" s="3">
        <v>-14.7</v>
      </c>
      <c r="K162" t="str">
        <f t="shared" si="8"/>
        <v>janvier</v>
      </c>
      <c r="L162" t="str">
        <f t="shared" si="9"/>
        <v>Dépenses</v>
      </c>
    </row>
    <row r="163" spans="1:12" x14ac:dyDescent="0.2">
      <c r="A163" t="s">
        <v>108</v>
      </c>
      <c r="B163" t="s">
        <v>109</v>
      </c>
      <c r="C163" t="s">
        <v>264</v>
      </c>
      <c r="D163" s="2">
        <v>43483</v>
      </c>
      <c r="E163" s="2">
        <f t="shared" si="11"/>
        <v>43483</v>
      </c>
      <c r="F163" t="s">
        <v>265</v>
      </c>
      <c r="G163" t="s">
        <v>63</v>
      </c>
      <c r="H163" t="s">
        <v>64</v>
      </c>
      <c r="I163" t="s">
        <v>7</v>
      </c>
      <c r="J163" s="3">
        <v>-30.01</v>
      </c>
      <c r="K163" t="str">
        <f t="shared" si="8"/>
        <v>janvier</v>
      </c>
      <c r="L163" t="str">
        <f t="shared" si="9"/>
        <v>Dépenses</v>
      </c>
    </row>
    <row r="164" spans="1:12" x14ac:dyDescent="0.2">
      <c r="A164" t="s">
        <v>108</v>
      </c>
      <c r="B164" t="s">
        <v>109</v>
      </c>
      <c r="D164" s="2">
        <v>43483</v>
      </c>
      <c r="E164" s="2">
        <f t="shared" si="11"/>
        <v>43483</v>
      </c>
      <c r="F164" t="s">
        <v>266</v>
      </c>
      <c r="G164" t="s">
        <v>118</v>
      </c>
      <c r="H164" t="s">
        <v>267</v>
      </c>
      <c r="I164" t="s">
        <v>7</v>
      </c>
      <c r="J164" s="3">
        <v>-81</v>
      </c>
      <c r="K164" t="str">
        <f t="shared" si="8"/>
        <v>janvier</v>
      </c>
      <c r="L164" t="str">
        <f t="shared" si="9"/>
        <v>Dépenses</v>
      </c>
    </row>
    <row r="165" spans="1:12" x14ac:dyDescent="0.2">
      <c r="A165" t="s">
        <v>108</v>
      </c>
      <c r="B165" t="s">
        <v>109</v>
      </c>
      <c r="C165" t="s">
        <v>268</v>
      </c>
      <c r="D165" s="2">
        <v>43483</v>
      </c>
      <c r="E165" s="2">
        <f>IF(B165="","",IF(B165&lt;&gt;"Carte Lux",D165,VLOOKUP(D165,Periode_datedebit_2019,3)))</f>
        <v>43483</v>
      </c>
      <c r="F165" t="s">
        <v>265</v>
      </c>
      <c r="G165" t="s">
        <v>63</v>
      </c>
      <c r="H165" t="s">
        <v>64</v>
      </c>
      <c r="I165" t="s">
        <v>7</v>
      </c>
      <c r="J165" s="3">
        <f>-41.7--14.7</f>
        <v>-27.000000000000004</v>
      </c>
      <c r="K165" t="str">
        <f t="shared" si="8"/>
        <v>janvier</v>
      </c>
      <c r="L165" t="str">
        <f t="shared" si="9"/>
        <v>Dépenses</v>
      </c>
    </row>
    <row r="166" spans="1:12" x14ac:dyDescent="0.2">
      <c r="A166" t="s">
        <v>77</v>
      </c>
      <c r="B166" t="s">
        <v>77</v>
      </c>
      <c r="D166" s="2">
        <v>43484</v>
      </c>
      <c r="E166" s="2">
        <f t="shared" ref="E166:E187" si="12">IF(A166="","",IF(A166&lt;&gt;"Carte Lux",D166,VLOOKUP(D166,Periode_datedebit_2019,3)))</f>
        <v>43484</v>
      </c>
      <c r="F166" t="s">
        <v>269</v>
      </c>
      <c r="G166" t="s">
        <v>270</v>
      </c>
      <c r="H166" t="s">
        <v>271</v>
      </c>
      <c r="I166" t="s">
        <v>77</v>
      </c>
      <c r="J166" s="3">
        <v>-70</v>
      </c>
      <c r="K166" t="str">
        <f t="shared" si="8"/>
        <v>janvier</v>
      </c>
      <c r="L166" t="str">
        <f t="shared" si="9"/>
        <v>Dépenses</v>
      </c>
    </row>
    <row r="167" spans="1:12" x14ac:dyDescent="0.2">
      <c r="A167" t="s">
        <v>2</v>
      </c>
      <c r="B167" t="s">
        <v>8</v>
      </c>
      <c r="D167" s="2">
        <v>43485</v>
      </c>
      <c r="E167" s="2">
        <f t="shared" si="12"/>
        <v>43535</v>
      </c>
      <c r="F167" t="s">
        <v>272</v>
      </c>
      <c r="G167" t="s">
        <v>115</v>
      </c>
      <c r="H167" t="s">
        <v>114</v>
      </c>
      <c r="I167" t="s">
        <v>7</v>
      </c>
      <c r="J167" s="3">
        <v>-47</v>
      </c>
      <c r="K167" t="str">
        <f t="shared" si="8"/>
        <v>janvier</v>
      </c>
      <c r="L167" t="str">
        <f t="shared" si="9"/>
        <v>Dépenses</v>
      </c>
    </row>
    <row r="168" spans="1:12" x14ac:dyDescent="0.2">
      <c r="A168" t="s">
        <v>2</v>
      </c>
      <c r="B168" t="s">
        <v>8</v>
      </c>
      <c r="D168" s="2">
        <v>43485</v>
      </c>
      <c r="E168" s="2">
        <f t="shared" si="12"/>
        <v>43535</v>
      </c>
      <c r="F168" t="s">
        <v>32</v>
      </c>
      <c r="G168" t="s">
        <v>5</v>
      </c>
      <c r="H168" t="s">
        <v>33</v>
      </c>
      <c r="I168" t="s">
        <v>7</v>
      </c>
      <c r="J168" s="3">
        <v>-6.3</v>
      </c>
      <c r="K168" t="str">
        <f t="shared" si="8"/>
        <v>janvier</v>
      </c>
      <c r="L168" t="str">
        <f t="shared" si="9"/>
        <v>Dépenses</v>
      </c>
    </row>
    <row r="169" spans="1:12" x14ac:dyDescent="0.2">
      <c r="A169" t="s">
        <v>2</v>
      </c>
      <c r="B169" t="s">
        <v>8</v>
      </c>
      <c r="D169" s="2">
        <v>43485</v>
      </c>
      <c r="E169" s="2">
        <f t="shared" si="12"/>
        <v>43535</v>
      </c>
      <c r="F169" t="s">
        <v>5</v>
      </c>
      <c r="G169" t="s">
        <v>5</v>
      </c>
      <c r="I169" t="s">
        <v>7</v>
      </c>
      <c r="J169" s="3">
        <v>-35.76</v>
      </c>
      <c r="K169" t="str">
        <f t="shared" si="8"/>
        <v>janvier</v>
      </c>
      <c r="L169" t="str">
        <f t="shared" si="9"/>
        <v>Dépenses</v>
      </c>
    </row>
    <row r="170" spans="1:12" x14ac:dyDescent="0.2">
      <c r="A170" t="s">
        <v>2</v>
      </c>
      <c r="B170" t="s">
        <v>3</v>
      </c>
      <c r="D170" s="2">
        <v>43485</v>
      </c>
      <c r="E170" s="2">
        <f t="shared" si="12"/>
        <v>43535</v>
      </c>
      <c r="F170" t="s">
        <v>5</v>
      </c>
      <c r="G170" t="s">
        <v>5</v>
      </c>
      <c r="H170" t="s">
        <v>223</v>
      </c>
      <c r="I170" t="s">
        <v>7</v>
      </c>
      <c r="J170" s="3">
        <v>-25.36</v>
      </c>
      <c r="K170" t="str">
        <f t="shared" si="8"/>
        <v>janvier</v>
      </c>
      <c r="L170" t="str">
        <f t="shared" si="9"/>
        <v>Dépenses</v>
      </c>
    </row>
    <row r="171" spans="1:12" x14ac:dyDescent="0.2">
      <c r="A171" t="s">
        <v>2</v>
      </c>
      <c r="B171" t="s">
        <v>8</v>
      </c>
      <c r="D171" s="2">
        <v>43486</v>
      </c>
      <c r="E171" s="2">
        <f t="shared" si="12"/>
        <v>43535</v>
      </c>
      <c r="F171" t="s">
        <v>273</v>
      </c>
      <c r="G171" t="s">
        <v>16</v>
      </c>
      <c r="H171" t="s">
        <v>274</v>
      </c>
      <c r="I171" t="s">
        <v>7</v>
      </c>
      <c r="J171" s="3">
        <v>-100</v>
      </c>
      <c r="K171" t="str">
        <f t="shared" si="8"/>
        <v>janvier</v>
      </c>
      <c r="L171" t="str">
        <f t="shared" si="9"/>
        <v>Dépenses</v>
      </c>
    </row>
    <row r="172" spans="1:12" x14ac:dyDescent="0.2">
      <c r="A172" t="s">
        <v>2</v>
      </c>
      <c r="B172" t="s">
        <v>8</v>
      </c>
      <c r="D172" s="2">
        <v>43486</v>
      </c>
      <c r="E172" s="2">
        <f t="shared" si="12"/>
        <v>43535</v>
      </c>
      <c r="F172" t="s">
        <v>275</v>
      </c>
      <c r="G172" t="s">
        <v>25</v>
      </c>
      <c r="H172" t="s">
        <v>276</v>
      </c>
      <c r="I172" t="s">
        <v>7</v>
      </c>
      <c r="J172" s="3">
        <v>-17.45</v>
      </c>
      <c r="K172" t="str">
        <f t="shared" si="8"/>
        <v>janvier</v>
      </c>
      <c r="L172" t="str">
        <f t="shared" si="9"/>
        <v>Dépenses</v>
      </c>
    </row>
    <row r="173" spans="1:12" x14ac:dyDescent="0.2">
      <c r="A173" t="s">
        <v>108</v>
      </c>
      <c r="B173" t="s">
        <v>109</v>
      </c>
      <c r="D173" s="2">
        <v>43486</v>
      </c>
      <c r="E173" s="2">
        <f t="shared" si="12"/>
        <v>43486</v>
      </c>
      <c r="F173" t="s">
        <v>277</v>
      </c>
      <c r="G173" t="s">
        <v>5</v>
      </c>
      <c r="H173" t="s">
        <v>23</v>
      </c>
      <c r="I173" t="s">
        <v>7</v>
      </c>
      <c r="J173" s="3">
        <v>-2.9</v>
      </c>
      <c r="K173" t="str">
        <f t="shared" si="8"/>
        <v>janvier</v>
      </c>
      <c r="L173" t="str">
        <f t="shared" si="9"/>
        <v>Dépenses</v>
      </c>
    </row>
    <row r="174" spans="1:12" x14ac:dyDescent="0.2">
      <c r="A174" t="s">
        <v>108</v>
      </c>
      <c r="B174" t="s">
        <v>109</v>
      </c>
      <c r="D174" s="2">
        <v>43486</v>
      </c>
      <c r="E174" s="2">
        <f t="shared" si="12"/>
        <v>43486</v>
      </c>
      <c r="F174" t="s">
        <v>278</v>
      </c>
      <c r="G174" t="s">
        <v>111</v>
      </c>
      <c r="H174" t="s">
        <v>178</v>
      </c>
      <c r="I174" t="s">
        <v>7</v>
      </c>
      <c r="J174" s="3">
        <v>-17.850000000000001</v>
      </c>
      <c r="K174" t="str">
        <f t="shared" si="8"/>
        <v>janvier</v>
      </c>
      <c r="L174" t="str">
        <f t="shared" si="9"/>
        <v>Dépenses</v>
      </c>
    </row>
    <row r="175" spans="1:12" x14ac:dyDescent="0.2">
      <c r="A175" t="s">
        <v>2</v>
      </c>
      <c r="B175" t="s">
        <v>8</v>
      </c>
      <c r="D175" s="2">
        <v>43487</v>
      </c>
      <c r="E175" s="2">
        <f t="shared" si="12"/>
        <v>43535</v>
      </c>
      <c r="F175" t="s">
        <v>279</v>
      </c>
      <c r="G175" t="s">
        <v>16</v>
      </c>
      <c r="H175" t="s">
        <v>260</v>
      </c>
      <c r="I175" t="s">
        <v>7</v>
      </c>
      <c r="J175" s="3">
        <v>-14.99</v>
      </c>
      <c r="K175" t="str">
        <f t="shared" si="8"/>
        <v>janvier</v>
      </c>
      <c r="L175" t="str">
        <f t="shared" si="9"/>
        <v>Dépenses</v>
      </c>
    </row>
    <row r="176" spans="1:12" x14ac:dyDescent="0.2">
      <c r="A176" t="s">
        <v>2</v>
      </c>
      <c r="B176" t="s">
        <v>8</v>
      </c>
      <c r="D176" s="2">
        <v>43487</v>
      </c>
      <c r="E176" s="2">
        <f t="shared" si="12"/>
        <v>43535</v>
      </c>
      <c r="F176" t="s">
        <v>5</v>
      </c>
      <c r="G176" t="s">
        <v>5</v>
      </c>
      <c r="H176" t="s">
        <v>50</v>
      </c>
      <c r="I176" t="s">
        <v>7</v>
      </c>
      <c r="J176" s="3">
        <v>-44.65</v>
      </c>
      <c r="K176" t="str">
        <f t="shared" si="8"/>
        <v>janvier</v>
      </c>
      <c r="L176" t="str">
        <f t="shared" si="9"/>
        <v>Dépenses</v>
      </c>
    </row>
    <row r="177" spans="1:12" x14ac:dyDescent="0.2">
      <c r="A177" t="s">
        <v>2</v>
      </c>
      <c r="B177" t="s">
        <v>3</v>
      </c>
      <c r="C177" t="s">
        <v>280</v>
      </c>
      <c r="D177" s="2">
        <v>43488</v>
      </c>
      <c r="E177" s="2">
        <f t="shared" si="12"/>
        <v>43535</v>
      </c>
      <c r="F177" t="s">
        <v>281</v>
      </c>
      <c r="G177" t="s">
        <v>49</v>
      </c>
      <c r="H177" t="s">
        <v>23</v>
      </c>
      <c r="I177" t="s">
        <v>7</v>
      </c>
      <c r="J177" s="3">
        <v>-4.32</v>
      </c>
      <c r="K177" t="str">
        <f t="shared" si="8"/>
        <v>janvier</v>
      </c>
      <c r="L177" t="str">
        <f t="shared" si="9"/>
        <v>Dépenses</v>
      </c>
    </row>
    <row r="178" spans="1:12" x14ac:dyDescent="0.2">
      <c r="A178" t="s">
        <v>2</v>
      </c>
      <c r="B178" t="s">
        <v>3</v>
      </c>
      <c r="C178" t="s">
        <v>280</v>
      </c>
      <c r="D178" s="2">
        <v>43488</v>
      </c>
      <c r="E178" s="2">
        <f t="shared" si="12"/>
        <v>43535</v>
      </c>
      <c r="F178" t="s">
        <v>5</v>
      </c>
      <c r="G178" t="s">
        <v>5</v>
      </c>
      <c r="H178" t="s">
        <v>23</v>
      </c>
      <c r="I178" t="s">
        <v>7</v>
      </c>
      <c r="J178" s="3">
        <f>-53.16--4.32</f>
        <v>-48.839999999999996</v>
      </c>
      <c r="K178" t="str">
        <f t="shared" si="8"/>
        <v>janvier</v>
      </c>
      <c r="L178" t="str">
        <f t="shared" si="9"/>
        <v>Dépenses</v>
      </c>
    </row>
    <row r="179" spans="1:12" x14ac:dyDescent="0.2">
      <c r="A179" t="s">
        <v>2</v>
      </c>
      <c r="B179" t="s">
        <v>8</v>
      </c>
      <c r="D179" s="2">
        <v>43488</v>
      </c>
      <c r="E179" s="2">
        <f t="shared" si="12"/>
        <v>43535</v>
      </c>
      <c r="F179" t="s">
        <v>32</v>
      </c>
      <c r="G179" t="s">
        <v>5</v>
      </c>
      <c r="H179" t="s">
        <v>22</v>
      </c>
      <c r="I179" t="s">
        <v>7</v>
      </c>
      <c r="J179" s="3">
        <v>-4.05</v>
      </c>
      <c r="K179" t="str">
        <f t="shared" si="8"/>
        <v>janvier</v>
      </c>
      <c r="L179" t="str">
        <f t="shared" si="9"/>
        <v>Dépenses</v>
      </c>
    </row>
    <row r="180" spans="1:12" x14ac:dyDescent="0.2">
      <c r="A180" t="s">
        <v>108</v>
      </c>
      <c r="B180" t="s">
        <v>109</v>
      </c>
      <c r="D180" s="2">
        <v>43488</v>
      </c>
      <c r="E180" s="2">
        <f t="shared" si="12"/>
        <v>43488</v>
      </c>
      <c r="F180" t="s">
        <v>282</v>
      </c>
      <c r="G180" t="s">
        <v>5</v>
      </c>
      <c r="H180" t="s">
        <v>33</v>
      </c>
      <c r="I180" t="s">
        <v>7</v>
      </c>
      <c r="J180" s="3">
        <v>-6.05</v>
      </c>
      <c r="K180" t="str">
        <f t="shared" si="8"/>
        <v>janvier</v>
      </c>
      <c r="L180" t="str">
        <f t="shared" si="9"/>
        <v>Dépenses</v>
      </c>
    </row>
    <row r="181" spans="1:12" x14ac:dyDescent="0.2">
      <c r="A181" t="s">
        <v>108</v>
      </c>
      <c r="B181" t="s">
        <v>109</v>
      </c>
      <c r="D181" s="2">
        <v>43488</v>
      </c>
      <c r="E181" s="2">
        <f t="shared" si="12"/>
        <v>43488</v>
      </c>
      <c r="F181" t="s">
        <v>283</v>
      </c>
      <c r="G181" t="s">
        <v>5</v>
      </c>
      <c r="H181" t="s">
        <v>23</v>
      </c>
      <c r="I181" t="s">
        <v>7</v>
      </c>
      <c r="J181" s="3">
        <v>-15.3</v>
      </c>
      <c r="K181" t="str">
        <f t="shared" si="8"/>
        <v>janvier</v>
      </c>
      <c r="L181" t="str">
        <f t="shared" si="9"/>
        <v>Dépenses</v>
      </c>
    </row>
    <row r="182" spans="1:12" ht="15" x14ac:dyDescent="0.25">
      <c r="A182" t="s">
        <v>69</v>
      </c>
      <c r="B182" s="4" t="s">
        <v>70</v>
      </c>
      <c r="C182" s="8" t="s">
        <v>284</v>
      </c>
      <c r="D182" s="2">
        <v>43489</v>
      </c>
      <c r="E182" s="2">
        <f t="shared" si="12"/>
        <v>43489</v>
      </c>
      <c r="F182" t="s">
        <v>285</v>
      </c>
      <c r="G182" t="s">
        <v>199</v>
      </c>
      <c r="H182" t="s">
        <v>74</v>
      </c>
      <c r="I182" t="s">
        <v>7</v>
      </c>
      <c r="J182" s="6">
        <v>3317.89</v>
      </c>
      <c r="K182" t="str">
        <f t="shared" si="8"/>
        <v>janvier</v>
      </c>
      <c r="L182" t="str">
        <f t="shared" si="9"/>
        <v>Recettes</v>
      </c>
    </row>
    <row r="183" spans="1:12" x14ac:dyDescent="0.2">
      <c r="A183" t="s">
        <v>2</v>
      </c>
      <c r="B183" t="s">
        <v>3</v>
      </c>
      <c r="D183" s="2">
        <v>43489</v>
      </c>
      <c r="E183" s="2">
        <f t="shared" si="12"/>
        <v>43535</v>
      </c>
      <c r="F183" t="s">
        <v>5</v>
      </c>
      <c r="G183" t="s">
        <v>5</v>
      </c>
      <c r="H183" t="s">
        <v>23</v>
      </c>
      <c r="I183" t="s">
        <v>7</v>
      </c>
      <c r="J183" s="3">
        <v>-13.92</v>
      </c>
      <c r="K183" t="str">
        <f t="shared" si="8"/>
        <v>janvier</v>
      </c>
      <c r="L183" t="str">
        <f t="shared" si="9"/>
        <v>Dépenses</v>
      </c>
    </row>
    <row r="184" spans="1:12" x14ac:dyDescent="0.2">
      <c r="A184" t="s">
        <v>2</v>
      </c>
      <c r="B184" t="s">
        <v>8</v>
      </c>
      <c r="D184" s="2">
        <v>43489</v>
      </c>
      <c r="E184" s="2">
        <f t="shared" si="12"/>
        <v>43535</v>
      </c>
      <c r="F184" t="s">
        <v>286</v>
      </c>
      <c r="G184" t="s">
        <v>115</v>
      </c>
      <c r="H184" t="s">
        <v>114</v>
      </c>
      <c r="I184" t="s">
        <v>7</v>
      </c>
      <c r="J184" s="3">
        <v>-49</v>
      </c>
      <c r="K184" t="str">
        <f t="shared" si="8"/>
        <v>janvier</v>
      </c>
      <c r="L184" t="str">
        <f t="shared" si="9"/>
        <v>Dépenses</v>
      </c>
    </row>
    <row r="185" spans="1:12" x14ac:dyDescent="0.2">
      <c r="A185" t="s">
        <v>2</v>
      </c>
      <c r="B185" t="s">
        <v>8</v>
      </c>
      <c r="D185" s="2">
        <v>43489</v>
      </c>
      <c r="E185" s="2">
        <f t="shared" si="12"/>
        <v>43535</v>
      </c>
      <c r="F185" t="s">
        <v>5</v>
      </c>
      <c r="G185" t="s">
        <v>5</v>
      </c>
      <c r="H185" t="s">
        <v>223</v>
      </c>
      <c r="I185" t="s">
        <v>7</v>
      </c>
      <c r="J185" s="3">
        <v>-8.89</v>
      </c>
      <c r="K185" t="str">
        <f t="shared" si="8"/>
        <v>janvier</v>
      </c>
      <c r="L185" t="str">
        <f t="shared" si="9"/>
        <v>Dépenses</v>
      </c>
    </row>
    <row r="186" spans="1:12" x14ac:dyDescent="0.2">
      <c r="A186" t="s">
        <v>108</v>
      </c>
      <c r="B186" t="s">
        <v>287</v>
      </c>
      <c r="C186">
        <v>1155072</v>
      </c>
      <c r="D186" s="2">
        <v>43489</v>
      </c>
      <c r="E186" s="2">
        <f t="shared" si="12"/>
        <v>43489</v>
      </c>
      <c r="F186" t="s">
        <v>288</v>
      </c>
      <c r="G186" t="s">
        <v>25</v>
      </c>
      <c r="H186" t="s">
        <v>124</v>
      </c>
      <c r="I186" t="s">
        <v>7</v>
      </c>
      <c r="J186" s="3">
        <v>-36</v>
      </c>
      <c r="K186" t="str">
        <f t="shared" si="8"/>
        <v>janvier</v>
      </c>
      <c r="L186" t="str">
        <f t="shared" si="9"/>
        <v>Dépenses</v>
      </c>
    </row>
    <row r="187" spans="1:12" x14ac:dyDescent="0.2">
      <c r="A187" t="s">
        <v>108</v>
      </c>
      <c r="B187" t="s">
        <v>109</v>
      </c>
      <c r="D187" s="2">
        <v>43489</v>
      </c>
      <c r="E187" s="2">
        <f t="shared" si="12"/>
        <v>43489</v>
      </c>
      <c r="F187" t="s">
        <v>289</v>
      </c>
      <c r="G187" t="s">
        <v>5</v>
      </c>
      <c r="H187" t="s">
        <v>223</v>
      </c>
      <c r="I187" t="s">
        <v>7</v>
      </c>
      <c r="J187" s="3">
        <v>-3</v>
      </c>
      <c r="K187" t="str">
        <f t="shared" si="8"/>
        <v>janvier</v>
      </c>
      <c r="L187" t="str">
        <f t="shared" si="9"/>
        <v>Dépenses</v>
      </c>
    </row>
    <row r="188" spans="1:12" x14ac:dyDescent="0.2">
      <c r="A188" t="s">
        <v>108</v>
      </c>
      <c r="B188" t="s">
        <v>109</v>
      </c>
      <c r="C188" t="s">
        <v>268</v>
      </c>
      <c r="D188" s="2">
        <v>43489</v>
      </c>
      <c r="E188" s="2">
        <f>IF(B188="","",IF(B188&lt;&gt;"Carte Lux",D188,VLOOKUP(D188,Periode_datedebit_2019,3)))</f>
        <v>43489</v>
      </c>
      <c r="F188" t="s">
        <v>21</v>
      </c>
      <c r="G188" t="s">
        <v>21</v>
      </c>
      <c r="H188" t="s">
        <v>64</v>
      </c>
      <c r="I188" t="s">
        <v>7</v>
      </c>
      <c r="J188" s="3">
        <v>-14.7</v>
      </c>
      <c r="K188" t="str">
        <f t="shared" si="8"/>
        <v>janvier</v>
      </c>
      <c r="L188" t="str">
        <f t="shared" si="9"/>
        <v>Dépenses</v>
      </c>
    </row>
    <row r="189" spans="1:12" x14ac:dyDescent="0.2">
      <c r="A189" t="s">
        <v>69</v>
      </c>
      <c r="B189" t="s">
        <v>137</v>
      </c>
      <c r="C189" s="7" t="s">
        <v>290</v>
      </c>
      <c r="D189" s="2">
        <v>43490</v>
      </c>
      <c r="E189" s="2">
        <f>IF(A189="","",IF(A189&lt;&gt;"Carte Lux",D189,VLOOKUP(D189,Periode_datedebit_2019,3)))</f>
        <v>43490</v>
      </c>
      <c r="F189" t="s">
        <v>291</v>
      </c>
      <c r="G189" t="s">
        <v>79</v>
      </c>
      <c r="H189" t="s">
        <v>292</v>
      </c>
      <c r="I189" t="s">
        <v>7</v>
      </c>
      <c r="J189" s="3">
        <v>-2.38</v>
      </c>
      <c r="K189" t="str">
        <f t="shared" si="8"/>
        <v>janvier</v>
      </c>
      <c r="L189" t="str">
        <f t="shared" si="9"/>
        <v>Dépenses</v>
      </c>
    </row>
    <row r="190" spans="1:12" x14ac:dyDescent="0.2">
      <c r="A190" t="s">
        <v>2</v>
      </c>
      <c r="B190" t="s">
        <v>8</v>
      </c>
      <c r="D190" s="2">
        <v>43490</v>
      </c>
      <c r="E190" s="2">
        <f>IF(A190="","",IF(A190&lt;&gt;"Carte Lux",D190,VLOOKUP(D190,Periode_datedebit_2019,3)))</f>
        <v>43535</v>
      </c>
      <c r="F190" t="s">
        <v>293</v>
      </c>
      <c r="G190" t="s">
        <v>111</v>
      </c>
      <c r="H190" t="s">
        <v>294</v>
      </c>
      <c r="I190" t="s">
        <v>7</v>
      </c>
      <c r="J190" s="3">
        <v>-19.72</v>
      </c>
      <c r="K190" t="str">
        <f t="shared" si="8"/>
        <v>janvier</v>
      </c>
      <c r="L190" t="str">
        <f t="shared" si="9"/>
        <v>Dépenses</v>
      </c>
    </row>
    <row r="191" spans="1:12" x14ac:dyDescent="0.2">
      <c r="A191" t="s">
        <v>77</v>
      </c>
      <c r="B191" t="s">
        <v>113</v>
      </c>
      <c r="D191" s="2">
        <v>43490</v>
      </c>
      <c r="E191" s="2">
        <f>IF(A191="","",IF(A191&lt;&gt;"Carte Lux",D191,VLOOKUP(D191,Periode_datedebit_2019,3)))</f>
        <v>43490</v>
      </c>
      <c r="F191" t="s">
        <v>295</v>
      </c>
      <c r="G191" t="s">
        <v>5</v>
      </c>
      <c r="H191" t="s">
        <v>50</v>
      </c>
      <c r="I191" t="s">
        <v>77</v>
      </c>
      <c r="J191" s="3">
        <v>-5.39</v>
      </c>
      <c r="K191" t="str">
        <f t="shared" si="8"/>
        <v>janvier</v>
      </c>
      <c r="L191" t="str">
        <f t="shared" si="9"/>
        <v>Dépenses</v>
      </c>
    </row>
    <row r="192" spans="1:12" x14ac:dyDescent="0.2">
      <c r="A192" t="s">
        <v>2</v>
      </c>
      <c r="B192" t="s">
        <v>8</v>
      </c>
      <c r="D192" s="2">
        <v>43490</v>
      </c>
      <c r="E192" s="2">
        <f>IF(A192="","",IF(A192&lt;&gt;"Carte Lux",D192,VLOOKUP(D192,Periode_datedebit_2019,3)))</f>
        <v>43535</v>
      </c>
      <c r="F192" t="s">
        <v>296</v>
      </c>
      <c r="G192" t="s">
        <v>111</v>
      </c>
      <c r="H192" t="s">
        <v>297</v>
      </c>
      <c r="I192" t="s">
        <v>7</v>
      </c>
      <c r="J192" s="3">
        <v>-50.4</v>
      </c>
      <c r="K192" t="str">
        <f t="shared" si="8"/>
        <v>janvier</v>
      </c>
      <c r="L192" t="str">
        <f t="shared" si="9"/>
        <v>Dépenses</v>
      </c>
    </row>
    <row r="193" spans="1:12" x14ac:dyDescent="0.2">
      <c r="A193" t="s">
        <v>108</v>
      </c>
      <c r="B193" t="s">
        <v>109</v>
      </c>
      <c r="C193" s="5" t="s">
        <v>298</v>
      </c>
      <c r="D193" s="2">
        <v>43490</v>
      </c>
      <c r="E193" s="2">
        <v>43494</v>
      </c>
      <c r="F193" t="s">
        <v>299</v>
      </c>
      <c r="G193" t="s">
        <v>86</v>
      </c>
      <c r="H193" t="s">
        <v>87</v>
      </c>
      <c r="I193" t="s">
        <v>7</v>
      </c>
      <c r="J193" s="3">
        <v>-0.62</v>
      </c>
      <c r="K193" t="str">
        <f t="shared" si="8"/>
        <v>janvier</v>
      </c>
      <c r="L193" t="str">
        <f t="shared" si="9"/>
        <v>Dépenses</v>
      </c>
    </row>
    <row r="194" spans="1:12" x14ac:dyDescent="0.2">
      <c r="A194" t="s">
        <v>108</v>
      </c>
      <c r="B194" t="s">
        <v>109</v>
      </c>
      <c r="C194" s="5" t="s">
        <v>298</v>
      </c>
      <c r="D194" s="2">
        <v>43490</v>
      </c>
      <c r="E194" s="2">
        <v>43494</v>
      </c>
      <c r="F194" t="s">
        <v>300</v>
      </c>
      <c r="G194" t="s">
        <v>16</v>
      </c>
      <c r="H194" t="s">
        <v>301</v>
      </c>
      <c r="I194" t="s">
        <v>7</v>
      </c>
      <c r="J194" s="3">
        <v>-156.66</v>
      </c>
      <c r="K194" t="str">
        <f t="shared" ref="K194:K257" si="13">IF(D194="","",TEXT(D194,"Mmmm"))</f>
        <v>janvier</v>
      </c>
      <c r="L194" t="str">
        <f t="shared" ref="L194:L257" si="14">IF(J194="","",IF(J194&lt;0,"Dépenses","Recettes"))</f>
        <v>Dépenses</v>
      </c>
    </row>
    <row r="195" spans="1:12" x14ac:dyDescent="0.2">
      <c r="A195" t="s">
        <v>108</v>
      </c>
      <c r="B195" t="s">
        <v>109</v>
      </c>
      <c r="D195" s="2">
        <v>43490</v>
      </c>
      <c r="E195" s="2">
        <f t="shared" ref="E195:E258" si="15">IF(A195="","",IF(A195&lt;&gt;"Carte Lux",D195,VLOOKUP(D195,Periode_datedebit_2019,3)))</f>
        <v>43490</v>
      </c>
      <c r="F195" t="s">
        <v>295</v>
      </c>
      <c r="G195" t="s">
        <v>5</v>
      </c>
      <c r="H195" t="s">
        <v>23</v>
      </c>
      <c r="I195" t="s">
        <v>7</v>
      </c>
      <c r="J195" s="3">
        <v>-10.45</v>
      </c>
      <c r="K195" t="str">
        <f t="shared" si="13"/>
        <v>janvier</v>
      </c>
      <c r="L195" t="str">
        <f t="shared" si="14"/>
        <v>Dépenses</v>
      </c>
    </row>
    <row r="196" spans="1:12" x14ac:dyDescent="0.2">
      <c r="A196" t="s">
        <v>2</v>
      </c>
      <c r="B196" t="s">
        <v>3</v>
      </c>
      <c r="C196" s="7" t="s">
        <v>302</v>
      </c>
      <c r="D196" s="2">
        <v>43490</v>
      </c>
      <c r="E196" s="2">
        <f t="shared" si="15"/>
        <v>43535</v>
      </c>
      <c r="F196" t="s">
        <v>32</v>
      </c>
      <c r="G196" t="s">
        <v>5</v>
      </c>
      <c r="H196" t="s">
        <v>23</v>
      </c>
      <c r="I196" t="s">
        <v>7</v>
      </c>
      <c r="J196" s="3">
        <f>-0.79-0.5-1.68-2.24</f>
        <v>-5.21</v>
      </c>
      <c r="K196" t="str">
        <f t="shared" si="13"/>
        <v>janvier</v>
      </c>
      <c r="L196" t="str">
        <f t="shared" si="14"/>
        <v>Dépenses</v>
      </c>
    </row>
    <row r="197" spans="1:12" x14ac:dyDescent="0.2">
      <c r="A197" t="s">
        <v>2</v>
      </c>
      <c r="B197" t="s">
        <v>3</v>
      </c>
      <c r="C197" s="7" t="s">
        <v>302</v>
      </c>
      <c r="D197" s="2">
        <v>43490</v>
      </c>
      <c r="E197" s="2">
        <f t="shared" si="15"/>
        <v>43535</v>
      </c>
      <c r="F197" t="s">
        <v>303</v>
      </c>
      <c r="G197" t="s">
        <v>49</v>
      </c>
      <c r="H197" t="s">
        <v>23</v>
      </c>
      <c r="I197" t="s">
        <v>7</v>
      </c>
      <c r="J197" s="3">
        <f>-4.15*2--1.64-2.96-3.99-3.11-2.86</f>
        <v>-19.580000000000002</v>
      </c>
      <c r="K197" t="str">
        <f t="shared" si="13"/>
        <v>janvier</v>
      </c>
      <c r="L197" t="str">
        <f t="shared" si="14"/>
        <v>Dépenses</v>
      </c>
    </row>
    <row r="198" spans="1:12" x14ac:dyDescent="0.2">
      <c r="A198" t="s">
        <v>2</v>
      </c>
      <c r="B198" t="s">
        <v>3</v>
      </c>
      <c r="C198" s="7" t="s">
        <v>302</v>
      </c>
      <c r="D198" s="2">
        <v>43490</v>
      </c>
      <c r="E198" s="2">
        <f t="shared" si="15"/>
        <v>43535</v>
      </c>
      <c r="F198" t="s">
        <v>5</v>
      </c>
      <c r="G198" t="s">
        <v>5</v>
      </c>
      <c r="H198" t="s">
        <v>23</v>
      </c>
      <c r="I198" t="s">
        <v>7</v>
      </c>
      <c r="J198" s="3">
        <f>-124.1--19.58--5.21</f>
        <v>-99.31</v>
      </c>
      <c r="K198" t="str">
        <f t="shared" si="13"/>
        <v>janvier</v>
      </c>
      <c r="L198" t="str">
        <f t="shared" si="14"/>
        <v>Dépenses</v>
      </c>
    </row>
    <row r="199" spans="1:12" x14ac:dyDescent="0.2">
      <c r="A199" t="s">
        <v>2</v>
      </c>
      <c r="B199" t="s">
        <v>3</v>
      </c>
      <c r="C199" t="s">
        <v>304</v>
      </c>
      <c r="D199" s="2">
        <v>43491</v>
      </c>
      <c r="E199" s="2">
        <f t="shared" si="15"/>
        <v>43535</v>
      </c>
      <c r="F199" t="s">
        <v>305</v>
      </c>
      <c r="G199" t="s">
        <v>49</v>
      </c>
      <c r="H199" t="s">
        <v>6</v>
      </c>
      <c r="I199" t="s">
        <v>7</v>
      </c>
      <c r="J199" s="3">
        <v>-10.1</v>
      </c>
      <c r="K199" t="str">
        <f t="shared" si="13"/>
        <v>janvier</v>
      </c>
      <c r="L199" t="str">
        <f t="shared" si="14"/>
        <v>Dépenses</v>
      </c>
    </row>
    <row r="200" spans="1:12" x14ac:dyDescent="0.2">
      <c r="A200" t="s">
        <v>2</v>
      </c>
      <c r="B200" t="s">
        <v>3</v>
      </c>
      <c r="C200" t="s">
        <v>304</v>
      </c>
      <c r="D200" s="2">
        <v>43491</v>
      </c>
      <c r="E200" s="2">
        <f t="shared" si="15"/>
        <v>43535</v>
      </c>
      <c r="F200" t="s">
        <v>5</v>
      </c>
      <c r="G200" t="s">
        <v>5</v>
      </c>
      <c r="H200" t="s">
        <v>6</v>
      </c>
      <c r="I200" t="s">
        <v>7</v>
      </c>
      <c r="J200" s="3">
        <f>-52.29--10.1</f>
        <v>-42.19</v>
      </c>
      <c r="K200" t="str">
        <f t="shared" si="13"/>
        <v>janvier</v>
      </c>
      <c r="L200" t="str">
        <f t="shared" si="14"/>
        <v>Dépenses</v>
      </c>
    </row>
    <row r="201" spans="1:12" x14ac:dyDescent="0.2">
      <c r="A201" t="s">
        <v>2</v>
      </c>
      <c r="B201" t="s">
        <v>8</v>
      </c>
      <c r="D201" s="2">
        <v>43492</v>
      </c>
      <c r="E201" s="2">
        <f t="shared" si="15"/>
        <v>43535</v>
      </c>
      <c r="F201" t="s">
        <v>32</v>
      </c>
      <c r="G201" t="s">
        <v>5</v>
      </c>
      <c r="H201" t="s">
        <v>33</v>
      </c>
      <c r="I201" t="s">
        <v>7</v>
      </c>
      <c r="J201" s="3">
        <v>-5.3</v>
      </c>
      <c r="K201" t="str">
        <f t="shared" si="13"/>
        <v>janvier</v>
      </c>
      <c r="L201" t="str">
        <f t="shared" si="14"/>
        <v>Dépenses</v>
      </c>
    </row>
    <row r="202" spans="1:12" x14ac:dyDescent="0.2">
      <c r="A202" t="s">
        <v>2</v>
      </c>
      <c r="B202" t="s">
        <v>8</v>
      </c>
      <c r="D202" s="2">
        <v>43492</v>
      </c>
      <c r="E202" s="2">
        <f t="shared" si="15"/>
        <v>43535</v>
      </c>
      <c r="F202" t="s">
        <v>306</v>
      </c>
      <c r="G202" t="s">
        <v>5</v>
      </c>
      <c r="H202" t="s">
        <v>152</v>
      </c>
      <c r="I202" t="s">
        <v>7</v>
      </c>
      <c r="J202" s="3">
        <v>-11.4</v>
      </c>
      <c r="K202" t="str">
        <f t="shared" si="13"/>
        <v>janvier</v>
      </c>
      <c r="L202" t="str">
        <f t="shared" si="14"/>
        <v>Dépenses</v>
      </c>
    </row>
    <row r="203" spans="1:12" x14ac:dyDescent="0.2">
      <c r="A203" t="s">
        <v>94</v>
      </c>
      <c r="B203" s="4" t="s">
        <v>84</v>
      </c>
      <c r="D203" s="2">
        <v>43492</v>
      </c>
      <c r="E203" s="2">
        <f t="shared" si="15"/>
        <v>43492</v>
      </c>
      <c r="F203" t="s">
        <v>180</v>
      </c>
      <c r="G203" t="s">
        <v>307</v>
      </c>
      <c r="H203" t="s">
        <v>108</v>
      </c>
      <c r="I203" t="s">
        <v>7</v>
      </c>
      <c r="J203" s="3">
        <v>-250</v>
      </c>
      <c r="K203" t="str">
        <f t="shared" si="13"/>
        <v>janvier</v>
      </c>
      <c r="L203" t="str">
        <f t="shared" si="14"/>
        <v>Dépenses</v>
      </c>
    </row>
    <row r="204" spans="1:12" x14ac:dyDescent="0.2">
      <c r="A204" t="s">
        <v>108</v>
      </c>
      <c r="B204" s="4" t="s">
        <v>84</v>
      </c>
      <c r="D204" s="2">
        <v>43492</v>
      </c>
      <c r="E204" s="2">
        <f t="shared" si="15"/>
        <v>43492</v>
      </c>
      <c r="F204" t="s">
        <v>180</v>
      </c>
      <c r="G204" t="s">
        <v>307</v>
      </c>
      <c r="H204" t="s">
        <v>94</v>
      </c>
      <c r="I204" t="s">
        <v>7</v>
      </c>
      <c r="J204" s="3">
        <v>250</v>
      </c>
      <c r="K204" t="str">
        <f t="shared" si="13"/>
        <v>janvier</v>
      </c>
      <c r="L204" t="str">
        <f t="shared" si="14"/>
        <v>Recettes</v>
      </c>
    </row>
    <row r="205" spans="1:12" x14ac:dyDescent="0.2">
      <c r="A205" t="s">
        <v>108</v>
      </c>
      <c r="B205" t="s">
        <v>109</v>
      </c>
      <c r="C205" t="s">
        <v>308</v>
      </c>
      <c r="D205" s="2">
        <v>43493</v>
      </c>
      <c r="E205" s="2">
        <f t="shared" si="15"/>
        <v>43493</v>
      </c>
      <c r="F205" t="s">
        <v>309</v>
      </c>
      <c r="G205" t="s">
        <v>49</v>
      </c>
      <c r="H205" t="s">
        <v>23</v>
      </c>
      <c r="I205" t="s">
        <v>7</v>
      </c>
      <c r="J205" s="3">
        <f>-1.5-1.64-1.64</f>
        <v>-4.7799999999999994</v>
      </c>
      <c r="K205" t="str">
        <f t="shared" si="13"/>
        <v>janvier</v>
      </c>
      <c r="L205" t="str">
        <f t="shared" si="14"/>
        <v>Dépenses</v>
      </c>
    </row>
    <row r="206" spans="1:12" x14ac:dyDescent="0.2">
      <c r="A206" t="s">
        <v>108</v>
      </c>
      <c r="B206" t="s">
        <v>109</v>
      </c>
      <c r="C206" t="s">
        <v>308</v>
      </c>
      <c r="D206" s="2">
        <v>43493</v>
      </c>
      <c r="E206" s="2">
        <f t="shared" si="15"/>
        <v>43493</v>
      </c>
      <c r="F206" t="s">
        <v>5</v>
      </c>
      <c r="G206" t="s">
        <v>5</v>
      </c>
      <c r="H206" t="s">
        <v>23</v>
      </c>
      <c r="I206" t="s">
        <v>7</v>
      </c>
      <c r="J206" s="3">
        <f>-42.8--4.78</f>
        <v>-38.019999999999996</v>
      </c>
      <c r="K206" t="str">
        <f t="shared" si="13"/>
        <v>janvier</v>
      </c>
      <c r="L206" t="str">
        <f t="shared" si="14"/>
        <v>Dépenses</v>
      </c>
    </row>
    <row r="207" spans="1:12" x14ac:dyDescent="0.2">
      <c r="A207" t="s">
        <v>108</v>
      </c>
      <c r="B207" t="s">
        <v>109</v>
      </c>
      <c r="D207" s="2">
        <v>43493</v>
      </c>
      <c r="E207" s="2">
        <f t="shared" si="15"/>
        <v>43493</v>
      </c>
      <c r="F207" t="s">
        <v>5</v>
      </c>
      <c r="G207" t="s">
        <v>5</v>
      </c>
      <c r="H207" t="s">
        <v>223</v>
      </c>
      <c r="I207" t="s">
        <v>7</v>
      </c>
      <c r="J207" s="3">
        <v>-2.1</v>
      </c>
      <c r="K207" t="str">
        <f t="shared" si="13"/>
        <v>janvier</v>
      </c>
      <c r="L207" t="str">
        <f t="shared" si="14"/>
        <v>Dépenses</v>
      </c>
    </row>
    <row r="208" spans="1:12" x14ac:dyDescent="0.2">
      <c r="A208" t="s">
        <v>2</v>
      </c>
      <c r="B208" t="s">
        <v>8</v>
      </c>
      <c r="D208" s="2">
        <v>43493</v>
      </c>
      <c r="E208" s="2">
        <f t="shared" si="15"/>
        <v>43535</v>
      </c>
      <c r="F208" t="s">
        <v>131</v>
      </c>
      <c r="G208" t="s">
        <v>263</v>
      </c>
      <c r="H208" t="s">
        <v>64</v>
      </c>
      <c r="I208" t="s">
        <v>7</v>
      </c>
      <c r="J208" s="3">
        <v>-54.87</v>
      </c>
      <c r="K208" t="str">
        <f t="shared" si="13"/>
        <v>janvier</v>
      </c>
      <c r="L208" t="str">
        <f t="shared" si="14"/>
        <v>Dépenses</v>
      </c>
    </row>
    <row r="209" spans="1:12" x14ac:dyDescent="0.2">
      <c r="A209" t="s">
        <v>2</v>
      </c>
      <c r="B209" t="s">
        <v>8</v>
      </c>
      <c r="D209" s="2">
        <v>43493</v>
      </c>
      <c r="E209" s="2">
        <f t="shared" si="15"/>
        <v>43535</v>
      </c>
      <c r="F209" t="s">
        <v>310</v>
      </c>
      <c r="G209" t="s">
        <v>115</v>
      </c>
      <c r="H209" t="s">
        <v>114</v>
      </c>
      <c r="I209" t="s">
        <v>7</v>
      </c>
      <c r="J209" s="3">
        <v>-24</v>
      </c>
      <c r="K209" t="str">
        <f t="shared" si="13"/>
        <v>janvier</v>
      </c>
      <c r="L209" t="str">
        <f t="shared" si="14"/>
        <v>Dépenses</v>
      </c>
    </row>
    <row r="210" spans="1:12" x14ac:dyDescent="0.2">
      <c r="A210" t="s">
        <v>69</v>
      </c>
      <c r="B210" s="4" t="s">
        <v>84</v>
      </c>
      <c r="D210" s="2">
        <v>43493</v>
      </c>
      <c r="E210" s="2">
        <f t="shared" si="15"/>
        <v>43493</v>
      </c>
      <c r="F210" t="s">
        <v>311</v>
      </c>
      <c r="G210" t="s">
        <v>144</v>
      </c>
      <c r="H210" t="s">
        <v>11</v>
      </c>
      <c r="I210" t="s">
        <v>7</v>
      </c>
      <c r="J210" s="3">
        <v>3545.96</v>
      </c>
      <c r="K210" t="str">
        <f t="shared" si="13"/>
        <v>janvier</v>
      </c>
      <c r="L210" t="str">
        <f t="shared" si="14"/>
        <v>Recettes</v>
      </c>
    </row>
    <row r="211" spans="1:12" ht="15" x14ac:dyDescent="0.25">
      <c r="A211" t="s">
        <v>69</v>
      </c>
      <c r="B211" s="4" t="s">
        <v>70</v>
      </c>
      <c r="C211" s="7" t="s">
        <v>146</v>
      </c>
      <c r="D211" s="2">
        <v>43494</v>
      </c>
      <c r="E211" s="2">
        <f t="shared" si="15"/>
        <v>43494</v>
      </c>
      <c r="F211" t="s">
        <v>147</v>
      </c>
      <c r="G211" t="s">
        <v>115</v>
      </c>
      <c r="H211" t="s">
        <v>148</v>
      </c>
      <c r="I211" t="s">
        <v>7</v>
      </c>
      <c r="J211" s="6">
        <v>-22.72</v>
      </c>
      <c r="K211" t="str">
        <f t="shared" si="13"/>
        <v>janvier</v>
      </c>
      <c r="L211" t="str">
        <f t="shared" si="14"/>
        <v>Dépenses</v>
      </c>
    </row>
    <row r="212" spans="1:12" x14ac:dyDescent="0.2">
      <c r="A212" t="s">
        <v>2</v>
      </c>
      <c r="B212" t="s">
        <v>8</v>
      </c>
      <c r="D212" s="2">
        <v>43494</v>
      </c>
      <c r="E212" s="2">
        <f t="shared" si="15"/>
        <v>43535</v>
      </c>
      <c r="F212" t="s">
        <v>312</v>
      </c>
      <c r="G212" t="s">
        <v>111</v>
      </c>
      <c r="I212" t="s">
        <v>7</v>
      </c>
      <c r="J212" s="3">
        <v>-70</v>
      </c>
      <c r="K212" t="str">
        <f t="shared" si="13"/>
        <v>janvier</v>
      </c>
      <c r="L212" t="str">
        <f t="shared" si="14"/>
        <v>Dépenses</v>
      </c>
    </row>
    <row r="213" spans="1:12" x14ac:dyDescent="0.2">
      <c r="A213" t="s">
        <v>2</v>
      </c>
      <c r="B213" t="s">
        <v>8</v>
      </c>
      <c r="D213" s="2">
        <v>43494</v>
      </c>
      <c r="E213" s="2">
        <f t="shared" si="15"/>
        <v>43535</v>
      </c>
      <c r="F213" t="s">
        <v>313</v>
      </c>
      <c r="G213" t="s">
        <v>16</v>
      </c>
      <c r="I213" t="s">
        <v>7</v>
      </c>
      <c r="J213" s="3">
        <v>-9.6</v>
      </c>
      <c r="K213" t="str">
        <f t="shared" si="13"/>
        <v>janvier</v>
      </c>
      <c r="L213" t="str">
        <f t="shared" si="14"/>
        <v>Dépenses</v>
      </c>
    </row>
    <row r="214" spans="1:12" ht="15" x14ac:dyDescent="0.25">
      <c r="A214" t="s">
        <v>108</v>
      </c>
      <c r="B214" s="4" t="s">
        <v>70</v>
      </c>
      <c r="C214" s="7" t="s">
        <v>314</v>
      </c>
      <c r="D214" s="2">
        <v>43494</v>
      </c>
      <c r="E214" s="2">
        <f t="shared" si="15"/>
        <v>43494</v>
      </c>
      <c r="F214" t="s">
        <v>184</v>
      </c>
      <c r="G214" t="s">
        <v>106</v>
      </c>
      <c r="H214" t="s">
        <v>185</v>
      </c>
      <c r="I214" t="s">
        <v>7</v>
      </c>
      <c r="J214" s="6">
        <v>-0.99</v>
      </c>
      <c r="K214" t="str">
        <f t="shared" si="13"/>
        <v>janvier</v>
      </c>
      <c r="L214" t="str">
        <f t="shared" si="14"/>
        <v>Dépenses</v>
      </c>
    </row>
    <row r="215" spans="1:12" x14ac:dyDescent="0.2">
      <c r="A215" t="s">
        <v>2</v>
      </c>
      <c r="B215" t="s">
        <v>8</v>
      </c>
      <c r="D215" s="2">
        <v>43494</v>
      </c>
      <c r="E215" s="2">
        <f t="shared" si="15"/>
        <v>43535</v>
      </c>
      <c r="F215" t="s">
        <v>9</v>
      </c>
      <c r="G215" t="s">
        <v>10</v>
      </c>
      <c r="H215" t="s">
        <v>315</v>
      </c>
      <c r="I215" t="s">
        <v>7</v>
      </c>
      <c r="J215" s="3">
        <v>-1.6</v>
      </c>
      <c r="K215" t="str">
        <f t="shared" si="13"/>
        <v>janvier</v>
      </c>
      <c r="L215" t="str">
        <f t="shared" si="14"/>
        <v>Dépenses</v>
      </c>
    </row>
    <row r="216" spans="1:12" x14ac:dyDescent="0.2">
      <c r="A216" t="s">
        <v>94</v>
      </c>
      <c r="B216" s="4" t="s">
        <v>70</v>
      </c>
      <c r="C216" s="7" t="s">
        <v>316</v>
      </c>
      <c r="D216" s="2">
        <v>43495</v>
      </c>
      <c r="E216" s="2">
        <f t="shared" si="15"/>
        <v>43495</v>
      </c>
      <c r="F216" t="s">
        <v>317</v>
      </c>
      <c r="G216" t="s">
        <v>318</v>
      </c>
      <c r="H216" t="s">
        <v>319</v>
      </c>
      <c r="I216" t="s">
        <v>7</v>
      </c>
      <c r="J216" s="3">
        <v>-80.33</v>
      </c>
      <c r="K216" t="str">
        <f t="shared" si="13"/>
        <v>janvier</v>
      </c>
      <c r="L216" t="str">
        <f t="shared" si="14"/>
        <v>Dépenses</v>
      </c>
    </row>
    <row r="217" spans="1:12" x14ac:dyDescent="0.2">
      <c r="A217" t="s">
        <v>69</v>
      </c>
      <c r="B217" s="4" t="s">
        <v>137</v>
      </c>
      <c r="D217" s="2">
        <v>43495</v>
      </c>
      <c r="E217" s="2">
        <f t="shared" si="15"/>
        <v>43495</v>
      </c>
      <c r="F217" t="s">
        <v>320</v>
      </c>
      <c r="G217" t="s">
        <v>111</v>
      </c>
      <c r="H217" t="s">
        <v>321</v>
      </c>
      <c r="I217" t="s">
        <v>7</v>
      </c>
      <c r="J217" s="3">
        <v>-56.6</v>
      </c>
      <c r="K217" t="str">
        <f t="shared" si="13"/>
        <v>janvier</v>
      </c>
      <c r="L217" t="str">
        <f t="shared" si="14"/>
        <v>Dépenses</v>
      </c>
    </row>
    <row r="218" spans="1:12" x14ac:dyDescent="0.2">
      <c r="A218" t="s">
        <v>2</v>
      </c>
      <c r="B218" t="s">
        <v>8</v>
      </c>
      <c r="D218" s="2">
        <v>43495</v>
      </c>
      <c r="E218" s="2">
        <f t="shared" si="15"/>
        <v>43535</v>
      </c>
      <c r="F218" t="s">
        <v>21</v>
      </c>
      <c r="G218" t="s">
        <v>21</v>
      </c>
      <c r="H218" t="s">
        <v>322</v>
      </c>
      <c r="I218" t="s">
        <v>7</v>
      </c>
      <c r="J218" s="3">
        <v>-7.09</v>
      </c>
      <c r="K218" t="str">
        <f t="shared" si="13"/>
        <v>janvier</v>
      </c>
      <c r="L218" t="str">
        <f t="shared" si="14"/>
        <v>Dépenses</v>
      </c>
    </row>
    <row r="219" spans="1:12" x14ac:dyDescent="0.2">
      <c r="A219" t="s">
        <v>2</v>
      </c>
      <c r="B219" t="s">
        <v>8</v>
      </c>
      <c r="D219" s="2">
        <v>43495</v>
      </c>
      <c r="E219" s="2">
        <f t="shared" si="15"/>
        <v>43535</v>
      </c>
      <c r="F219" t="s">
        <v>295</v>
      </c>
      <c r="G219" t="s">
        <v>5</v>
      </c>
      <c r="H219" t="s">
        <v>22</v>
      </c>
      <c r="I219" t="s">
        <v>7</v>
      </c>
      <c r="J219" s="3">
        <v>-11.35</v>
      </c>
      <c r="K219" t="str">
        <f t="shared" si="13"/>
        <v>janvier</v>
      </c>
      <c r="L219" t="str">
        <f t="shared" si="14"/>
        <v>Dépenses</v>
      </c>
    </row>
    <row r="220" spans="1:12" x14ac:dyDescent="0.2">
      <c r="A220" t="s">
        <v>2</v>
      </c>
      <c r="B220" t="s">
        <v>8</v>
      </c>
      <c r="D220" s="2">
        <v>43495</v>
      </c>
      <c r="E220" s="2">
        <f t="shared" si="15"/>
        <v>43535</v>
      </c>
      <c r="F220" t="s">
        <v>323</v>
      </c>
      <c r="G220" t="s">
        <v>111</v>
      </c>
      <c r="H220" t="s">
        <v>324</v>
      </c>
      <c r="I220" t="s">
        <v>7</v>
      </c>
      <c r="J220" s="3">
        <v>-750</v>
      </c>
      <c r="K220" t="str">
        <f t="shared" si="13"/>
        <v>janvier</v>
      </c>
      <c r="L220" t="str">
        <f t="shared" si="14"/>
        <v>Dépenses</v>
      </c>
    </row>
    <row r="221" spans="1:12" x14ac:dyDescent="0.2">
      <c r="A221" t="s">
        <v>2</v>
      </c>
      <c r="B221" t="s">
        <v>3</v>
      </c>
      <c r="D221" s="2">
        <v>43495</v>
      </c>
      <c r="E221" s="2">
        <f t="shared" si="15"/>
        <v>43535</v>
      </c>
      <c r="F221" t="s">
        <v>325</v>
      </c>
      <c r="G221" t="s">
        <v>52</v>
      </c>
      <c r="H221" t="s">
        <v>326</v>
      </c>
      <c r="I221" t="s">
        <v>7</v>
      </c>
      <c r="J221" s="3">
        <v>-88</v>
      </c>
      <c r="K221" t="str">
        <f t="shared" si="13"/>
        <v>janvier</v>
      </c>
      <c r="L221" t="str">
        <f t="shared" si="14"/>
        <v>Dépenses</v>
      </c>
    </row>
    <row r="222" spans="1:12" x14ac:dyDescent="0.2">
      <c r="A222" t="s">
        <v>2</v>
      </c>
      <c r="B222" t="s">
        <v>3</v>
      </c>
      <c r="D222" s="2">
        <v>43495</v>
      </c>
      <c r="E222" s="2">
        <f t="shared" si="15"/>
        <v>43535</v>
      </c>
      <c r="F222" t="s">
        <v>5</v>
      </c>
      <c r="G222" t="s">
        <v>5</v>
      </c>
      <c r="H222" t="s">
        <v>23</v>
      </c>
      <c r="I222" t="s">
        <v>7</v>
      </c>
      <c r="J222" s="3">
        <v>-53.2</v>
      </c>
      <c r="K222" t="str">
        <f t="shared" si="13"/>
        <v>janvier</v>
      </c>
      <c r="L222" t="str">
        <f t="shared" si="14"/>
        <v>Dépenses</v>
      </c>
    </row>
    <row r="223" spans="1:12" x14ac:dyDescent="0.2">
      <c r="A223" t="s">
        <v>69</v>
      </c>
      <c r="B223" s="4" t="s">
        <v>70</v>
      </c>
      <c r="C223" s="7"/>
      <c r="D223" s="2">
        <v>43496</v>
      </c>
      <c r="E223" s="2">
        <f t="shared" si="15"/>
        <v>43496</v>
      </c>
      <c r="F223" t="s">
        <v>327</v>
      </c>
      <c r="G223" t="s">
        <v>328</v>
      </c>
      <c r="H223" t="s">
        <v>329</v>
      </c>
      <c r="I223" t="s">
        <v>7</v>
      </c>
      <c r="J223" s="3">
        <v>-12</v>
      </c>
      <c r="K223" t="str">
        <f t="shared" si="13"/>
        <v>janvier</v>
      </c>
      <c r="L223" t="str">
        <f t="shared" si="14"/>
        <v>Dépenses</v>
      </c>
    </row>
    <row r="224" spans="1:12" x14ac:dyDescent="0.2">
      <c r="A224" t="s">
        <v>69</v>
      </c>
      <c r="B224" s="4" t="s">
        <v>84</v>
      </c>
      <c r="D224" s="2">
        <v>43496</v>
      </c>
      <c r="E224" s="2">
        <f t="shared" si="15"/>
        <v>43496</v>
      </c>
      <c r="F224" t="s">
        <v>330</v>
      </c>
      <c r="G224" t="s">
        <v>307</v>
      </c>
      <c r="H224" t="s">
        <v>94</v>
      </c>
      <c r="I224" t="s">
        <v>7</v>
      </c>
      <c r="J224" s="3">
        <v>-3000</v>
      </c>
      <c r="K224" t="str">
        <f t="shared" si="13"/>
        <v>janvier</v>
      </c>
      <c r="L224" t="str">
        <f t="shared" si="14"/>
        <v>Dépenses</v>
      </c>
    </row>
    <row r="225" spans="1:12" x14ac:dyDescent="0.2">
      <c r="A225" t="s">
        <v>94</v>
      </c>
      <c r="B225" s="4" t="s">
        <v>84</v>
      </c>
      <c r="D225" s="2">
        <v>43496</v>
      </c>
      <c r="E225" s="2">
        <f t="shared" si="15"/>
        <v>43496</v>
      </c>
      <c r="F225" t="s">
        <v>330</v>
      </c>
      <c r="G225" t="s">
        <v>307</v>
      </c>
      <c r="H225" t="s">
        <v>69</v>
      </c>
      <c r="I225" t="s">
        <v>7</v>
      </c>
      <c r="J225" s="3">
        <v>3000</v>
      </c>
      <c r="K225" t="str">
        <f t="shared" si="13"/>
        <v>janvier</v>
      </c>
      <c r="L225" t="str">
        <f t="shared" si="14"/>
        <v>Recettes</v>
      </c>
    </row>
    <row r="226" spans="1:12" x14ac:dyDescent="0.2">
      <c r="A226" t="s">
        <v>108</v>
      </c>
      <c r="D226" s="2">
        <v>43496</v>
      </c>
      <c r="E226" s="2">
        <f t="shared" si="15"/>
        <v>43496</v>
      </c>
      <c r="F226" t="s">
        <v>32</v>
      </c>
      <c r="G226" t="s">
        <v>5</v>
      </c>
      <c r="H226" t="s">
        <v>33</v>
      </c>
      <c r="I226" t="s">
        <v>7</v>
      </c>
      <c r="J226" s="3">
        <v>-5.45</v>
      </c>
      <c r="K226" t="str">
        <f t="shared" si="13"/>
        <v>janvier</v>
      </c>
      <c r="L226" t="str">
        <f t="shared" si="14"/>
        <v>Dépenses</v>
      </c>
    </row>
    <row r="227" spans="1:12" ht="15" x14ac:dyDescent="0.25">
      <c r="A227" t="s">
        <v>69</v>
      </c>
      <c r="B227" s="4" t="s">
        <v>70</v>
      </c>
      <c r="C227" s="5" t="s">
        <v>331</v>
      </c>
      <c r="D227" s="2">
        <v>43497</v>
      </c>
      <c r="E227" s="2">
        <f t="shared" si="15"/>
        <v>43497</v>
      </c>
      <c r="F227" t="s">
        <v>72</v>
      </c>
      <c r="G227" t="s">
        <v>73</v>
      </c>
      <c r="H227" t="s">
        <v>74</v>
      </c>
      <c r="I227" t="s">
        <v>7</v>
      </c>
      <c r="J227" s="6">
        <v>-500</v>
      </c>
      <c r="K227" t="str">
        <f t="shared" si="13"/>
        <v>février</v>
      </c>
      <c r="L227" t="str">
        <f t="shared" si="14"/>
        <v>Dépenses</v>
      </c>
    </row>
    <row r="228" spans="1:12" ht="15" x14ac:dyDescent="0.25">
      <c r="A228" t="s">
        <v>75</v>
      </c>
      <c r="B228" s="4" t="s">
        <v>70</v>
      </c>
      <c r="C228" s="5" t="s">
        <v>331</v>
      </c>
      <c r="D228" s="2">
        <v>43497</v>
      </c>
      <c r="E228" s="2">
        <f t="shared" si="15"/>
        <v>43497</v>
      </c>
      <c r="F228" t="s">
        <v>72</v>
      </c>
      <c r="G228" t="s">
        <v>76</v>
      </c>
      <c r="H228" t="s">
        <v>74</v>
      </c>
      <c r="I228" t="s">
        <v>7</v>
      </c>
      <c r="J228" s="6">
        <v>500</v>
      </c>
      <c r="K228" t="str">
        <f t="shared" si="13"/>
        <v>février</v>
      </c>
      <c r="L228" t="str">
        <f t="shared" si="14"/>
        <v>Recettes</v>
      </c>
    </row>
    <row r="229" spans="1:12" ht="15" x14ac:dyDescent="0.25">
      <c r="A229" t="s">
        <v>69</v>
      </c>
      <c r="B229" s="4" t="s">
        <v>70</v>
      </c>
      <c r="C229" s="7" t="s">
        <v>332</v>
      </c>
      <c r="D229" s="2">
        <v>43497</v>
      </c>
      <c r="E229" s="2">
        <f t="shared" si="15"/>
        <v>43497</v>
      </c>
      <c r="F229" t="s">
        <v>98</v>
      </c>
      <c r="G229" t="s">
        <v>73</v>
      </c>
      <c r="H229" t="s">
        <v>74</v>
      </c>
      <c r="I229" t="s">
        <v>7</v>
      </c>
      <c r="J229" s="6">
        <v>-597</v>
      </c>
      <c r="K229" t="str">
        <f t="shared" si="13"/>
        <v>février</v>
      </c>
      <c r="L229" t="str">
        <f t="shared" si="14"/>
        <v>Dépenses</v>
      </c>
    </row>
    <row r="230" spans="1:12" ht="15" x14ac:dyDescent="0.25">
      <c r="A230" t="s">
        <v>69</v>
      </c>
      <c r="B230" s="4" t="s">
        <v>70</v>
      </c>
      <c r="C230" s="7" t="s">
        <v>333</v>
      </c>
      <c r="D230" s="2">
        <v>43497</v>
      </c>
      <c r="E230" s="2">
        <f t="shared" si="15"/>
        <v>43497</v>
      </c>
      <c r="F230" t="s">
        <v>100</v>
      </c>
      <c r="G230" t="s">
        <v>73</v>
      </c>
      <c r="H230" t="s">
        <v>74</v>
      </c>
      <c r="I230" t="s">
        <v>7</v>
      </c>
      <c r="J230" s="6">
        <v>-120</v>
      </c>
      <c r="K230" t="str">
        <f t="shared" si="13"/>
        <v>février</v>
      </c>
      <c r="L230" t="str">
        <f t="shared" si="14"/>
        <v>Dépenses</v>
      </c>
    </row>
    <row r="231" spans="1:12" x14ac:dyDescent="0.2">
      <c r="A231" t="s">
        <v>2</v>
      </c>
      <c r="B231" t="s">
        <v>8</v>
      </c>
      <c r="D231" s="2">
        <v>43497</v>
      </c>
      <c r="E231" s="2">
        <f t="shared" si="15"/>
        <v>43535</v>
      </c>
      <c r="F231" t="s">
        <v>21</v>
      </c>
      <c r="G231" t="s">
        <v>21</v>
      </c>
      <c r="H231" t="s">
        <v>322</v>
      </c>
      <c r="I231" t="s">
        <v>7</v>
      </c>
      <c r="J231" s="3">
        <v>-54.3</v>
      </c>
      <c r="K231" t="str">
        <f t="shared" si="13"/>
        <v>février</v>
      </c>
      <c r="L231" t="str">
        <f t="shared" si="14"/>
        <v>Dépenses</v>
      </c>
    </row>
    <row r="232" spans="1:12" x14ac:dyDescent="0.2">
      <c r="A232" t="s">
        <v>2</v>
      </c>
      <c r="B232" t="s">
        <v>8</v>
      </c>
      <c r="D232" s="2">
        <v>43497</v>
      </c>
      <c r="E232" s="2">
        <f t="shared" si="15"/>
        <v>43535</v>
      </c>
      <c r="F232" t="s">
        <v>334</v>
      </c>
      <c r="G232" t="s">
        <v>5</v>
      </c>
      <c r="H232" t="s">
        <v>22</v>
      </c>
      <c r="I232" t="s">
        <v>7</v>
      </c>
      <c r="J232" s="3">
        <v>-4.45</v>
      </c>
      <c r="K232" t="str">
        <f t="shared" si="13"/>
        <v>février</v>
      </c>
      <c r="L232" t="str">
        <f t="shared" si="14"/>
        <v>Dépenses</v>
      </c>
    </row>
    <row r="233" spans="1:12" x14ac:dyDescent="0.2">
      <c r="A233" t="s">
        <v>69</v>
      </c>
      <c r="B233" s="4" t="s">
        <v>84</v>
      </c>
      <c r="D233" s="2">
        <v>43497</v>
      </c>
      <c r="E233" s="2">
        <f t="shared" si="15"/>
        <v>43497</v>
      </c>
      <c r="F233" t="s">
        <v>335</v>
      </c>
      <c r="G233" t="s">
        <v>336</v>
      </c>
      <c r="I233" t="s">
        <v>7</v>
      </c>
      <c r="J233" s="3">
        <v>-300</v>
      </c>
      <c r="K233" t="str">
        <f t="shared" si="13"/>
        <v>février</v>
      </c>
      <c r="L233" t="str">
        <f t="shared" si="14"/>
        <v>Dépenses</v>
      </c>
    </row>
    <row r="234" spans="1:12" x14ac:dyDescent="0.2">
      <c r="A234" t="s">
        <v>108</v>
      </c>
      <c r="B234" t="s">
        <v>109</v>
      </c>
      <c r="D234" s="2">
        <v>43497</v>
      </c>
      <c r="E234" s="2">
        <f t="shared" si="15"/>
        <v>43497</v>
      </c>
      <c r="F234" t="s">
        <v>32</v>
      </c>
      <c r="G234" t="s">
        <v>5</v>
      </c>
      <c r="I234" t="s">
        <v>7</v>
      </c>
      <c r="J234" s="3">
        <v>-10.35</v>
      </c>
      <c r="K234" t="str">
        <f t="shared" si="13"/>
        <v>février</v>
      </c>
      <c r="L234" t="str">
        <f t="shared" si="14"/>
        <v>Dépenses</v>
      </c>
    </row>
    <row r="235" spans="1:12" x14ac:dyDescent="0.2">
      <c r="A235" t="s">
        <v>108</v>
      </c>
      <c r="B235" t="s">
        <v>109</v>
      </c>
      <c r="C235" t="s">
        <v>337</v>
      </c>
      <c r="D235" s="2">
        <v>43497</v>
      </c>
      <c r="E235" s="2">
        <f t="shared" si="15"/>
        <v>43497</v>
      </c>
      <c r="F235" t="s">
        <v>21</v>
      </c>
      <c r="G235" t="s">
        <v>21</v>
      </c>
      <c r="H235" t="s">
        <v>64</v>
      </c>
      <c r="I235" t="s">
        <v>7</v>
      </c>
      <c r="J235" s="3">
        <v>-14.7</v>
      </c>
      <c r="K235" t="str">
        <f t="shared" si="13"/>
        <v>février</v>
      </c>
      <c r="L235" t="str">
        <f t="shared" si="14"/>
        <v>Dépenses</v>
      </c>
    </row>
    <row r="236" spans="1:12" x14ac:dyDescent="0.2">
      <c r="A236" t="s">
        <v>108</v>
      </c>
      <c r="B236" t="s">
        <v>109</v>
      </c>
      <c r="C236" t="s">
        <v>337</v>
      </c>
      <c r="D236" s="2">
        <v>43497</v>
      </c>
      <c r="E236" s="2">
        <f t="shared" si="15"/>
        <v>43497</v>
      </c>
      <c r="F236" t="s">
        <v>338</v>
      </c>
      <c r="G236" t="s">
        <v>63</v>
      </c>
      <c r="H236" t="s">
        <v>64</v>
      </c>
      <c r="I236" t="s">
        <v>7</v>
      </c>
      <c r="J236" s="3">
        <v>-35.08</v>
      </c>
      <c r="K236" t="str">
        <f t="shared" si="13"/>
        <v>février</v>
      </c>
      <c r="L236" t="str">
        <f t="shared" si="14"/>
        <v>Dépenses</v>
      </c>
    </row>
    <row r="237" spans="1:12" x14ac:dyDescent="0.2">
      <c r="A237" t="s">
        <v>94</v>
      </c>
      <c r="B237" s="4" t="s">
        <v>70</v>
      </c>
      <c r="C237" s="5" t="s">
        <v>339</v>
      </c>
      <c r="D237" s="2">
        <v>43498</v>
      </c>
      <c r="E237" s="2">
        <f t="shared" si="15"/>
        <v>43498</v>
      </c>
      <c r="F237" t="s">
        <v>96</v>
      </c>
      <c r="G237" t="s">
        <v>86</v>
      </c>
      <c r="H237" t="s">
        <v>87</v>
      </c>
      <c r="I237" t="s">
        <v>7</v>
      </c>
      <c r="J237" s="3">
        <v>-6.72</v>
      </c>
      <c r="K237" t="str">
        <f t="shared" si="13"/>
        <v>février</v>
      </c>
      <c r="L237" t="str">
        <f t="shared" si="14"/>
        <v>Dépenses</v>
      </c>
    </row>
    <row r="238" spans="1:12" ht="15" x14ac:dyDescent="0.25">
      <c r="A238" t="s">
        <v>69</v>
      </c>
      <c r="B238" s="4" t="s">
        <v>70</v>
      </c>
      <c r="C238" s="7" t="s">
        <v>340</v>
      </c>
      <c r="D238" s="2">
        <v>43498</v>
      </c>
      <c r="E238" s="2">
        <f t="shared" si="15"/>
        <v>43498</v>
      </c>
      <c r="F238" t="s">
        <v>102</v>
      </c>
      <c r="G238" t="s">
        <v>103</v>
      </c>
      <c r="H238" t="s">
        <v>94</v>
      </c>
      <c r="I238" t="s">
        <v>7</v>
      </c>
      <c r="J238" s="6">
        <v>-400</v>
      </c>
      <c r="K238" t="str">
        <f t="shared" si="13"/>
        <v>février</v>
      </c>
      <c r="L238" t="str">
        <f t="shared" si="14"/>
        <v>Dépenses</v>
      </c>
    </row>
    <row r="239" spans="1:12" x14ac:dyDescent="0.2">
      <c r="A239" t="s">
        <v>2</v>
      </c>
      <c r="B239" t="s">
        <v>8</v>
      </c>
      <c r="D239" s="2">
        <v>43498</v>
      </c>
      <c r="E239" s="2">
        <f t="shared" si="15"/>
        <v>43535</v>
      </c>
      <c r="F239" t="s">
        <v>341</v>
      </c>
      <c r="G239" t="s">
        <v>5</v>
      </c>
      <c r="H239" t="s">
        <v>6</v>
      </c>
      <c r="I239" t="s">
        <v>7</v>
      </c>
      <c r="J239" s="3">
        <v>-14.25</v>
      </c>
      <c r="K239" t="str">
        <f t="shared" si="13"/>
        <v>février</v>
      </c>
      <c r="L239" t="str">
        <f t="shared" si="14"/>
        <v>Dépenses</v>
      </c>
    </row>
    <row r="240" spans="1:12" x14ac:dyDescent="0.2">
      <c r="A240" t="s">
        <v>2</v>
      </c>
      <c r="B240" t="s">
        <v>3</v>
      </c>
      <c r="C240" t="s">
        <v>342</v>
      </c>
      <c r="D240" s="2">
        <v>43498</v>
      </c>
      <c r="E240" s="2">
        <f t="shared" si="15"/>
        <v>43535</v>
      </c>
      <c r="F240" t="s">
        <v>5</v>
      </c>
      <c r="G240" t="s">
        <v>5</v>
      </c>
      <c r="H240" t="s">
        <v>23</v>
      </c>
      <c r="I240" t="s">
        <v>7</v>
      </c>
      <c r="J240" s="3">
        <f>-85.29--22.99</f>
        <v>-62.300000000000011</v>
      </c>
      <c r="K240" t="str">
        <f t="shared" si="13"/>
        <v>février</v>
      </c>
      <c r="L240" t="str">
        <f t="shared" si="14"/>
        <v>Dépenses</v>
      </c>
    </row>
    <row r="241" spans="1:12" x14ac:dyDescent="0.2">
      <c r="A241" t="s">
        <v>108</v>
      </c>
      <c r="B241" t="s">
        <v>109</v>
      </c>
      <c r="D241" s="2">
        <v>43499</v>
      </c>
      <c r="E241" s="2">
        <f t="shared" si="15"/>
        <v>43499</v>
      </c>
      <c r="F241" t="s">
        <v>5</v>
      </c>
      <c r="G241" t="s">
        <v>5</v>
      </c>
      <c r="H241" t="s">
        <v>223</v>
      </c>
      <c r="I241" t="s">
        <v>7</v>
      </c>
      <c r="J241" s="3">
        <v>-10.29</v>
      </c>
      <c r="K241" t="str">
        <f t="shared" si="13"/>
        <v>février</v>
      </c>
      <c r="L241" t="str">
        <f t="shared" si="14"/>
        <v>Dépenses</v>
      </c>
    </row>
    <row r="242" spans="1:12" x14ac:dyDescent="0.2">
      <c r="A242" t="s">
        <v>94</v>
      </c>
      <c r="B242" t="s">
        <v>84</v>
      </c>
      <c r="D242" s="2">
        <v>43499</v>
      </c>
      <c r="E242" s="2">
        <f t="shared" si="15"/>
        <v>43499</v>
      </c>
      <c r="F242" t="s">
        <v>343</v>
      </c>
      <c r="G242" t="s">
        <v>76</v>
      </c>
      <c r="H242" t="s">
        <v>88</v>
      </c>
      <c r="I242" t="s">
        <v>7</v>
      </c>
      <c r="J242" s="3">
        <v>-3000</v>
      </c>
      <c r="K242" t="str">
        <f t="shared" si="13"/>
        <v>février</v>
      </c>
      <c r="L242" t="str">
        <f t="shared" si="14"/>
        <v>Dépenses</v>
      </c>
    </row>
    <row r="243" spans="1:12" x14ac:dyDescent="0.2">
      <c r="A243" t="s">
        <v>88</v>
      </c>
      <c r="B243" t="s">
        <v>84</v>
      </c>
      <c r="D243" s="2">
        <v>43499</v>
      </c>
      <c r="E243" s="2">
        <f t="shared" si="15"/>
        <v>43499</v>
      </c>
      <c r="F243" t="s">
        <v>343</v>
      </c>
      <c r="G243" t="s">
        <v>76</v>
      </c>
      <c r="H243" t="s">
        <v>88</v>
      </c>
      <c r="I243" t="s">
        <v>7</v>
      </c>
      <c r="J243" s="3">
        <v>3000</v>
      </c>
      <c r="K243" t="str">
        <f t="shared" si="13"/>
        <v>février</v>
      </c>
      <c r="L243" t="str">
        <f t="shared" si="14"/>
        <v>Recettes</v>
      </c>
    </row>
    <row r="244" spans="1:12" x14ac:dyDescent="0.2">
      <c r="A244" t="s">
        <v>2</v>
      </c>
      <c r="B244" t="s">
        <v>3</v>
      </c>
      <c r="C244" t="s">
        <v>342</v>
      </c>
      <c r="D244" s="2">
        <v>43499</v>
      </c>
      <c r="E244" s="2">
        <f t="shared" si="15"/>
        <v>43535</v>
      </c>
      <c r="F244" t="s">
        <v>344</v>
      </c>
      <c r="G244" t="s">
        <v>49</v>
      </c>
      <c r="H244" t="s">
        <v>23</v>
      </c>
      <c r="I244" t="s">
        <v>7</v>
      </c>
      <c r="J244" s="3">
        <f>-12.14-4.3-6.55</f>
        <v>-22.990000000000002</v>
      </c>
      <c r="K244" t="str">
        <f t="shared" si="13"/>
        <v>février</v>
      </c>
      <c r="L244" t="str">
        <f t="shared" si="14"/>
        <v>Dépenses</v>
      </c>
    </row>
    <row r="245" spans="1:12" ht="15" x14ac:dyDescent="0.25">
      <c r="A245" t="s">
        <v>108</v>
      </c>
      <c r="B245" s="4" t="s">
        <v>70</v>
      </c>
      <c r="C245" s="7" t="s">
        <v>345</v>
      </c>
      <c r="D245" s="2">
        <v>43500</v>
      </c>
      <c r="E245" s="2">
        <f t="shared" si="15"/>
        <v>43500</v>
      </c>
      <c r="F245" t="s">
        <v>171</v>
      </c>
      <c r="G245" t="s">
        <v>172</v>
      </c>
      <c r="H245" t="s">
        <v>173</v>
      </c>
      <c r="I245" t="s">
        <v>7</v>
      </c>
      <c r="J245" s="6">
        <v>-19.989999999999998</v>
      </c>
      <c r="K245" t="str">
        <f t="shared" si="13"/>
        <v>février</v>
      </c>
      <c r="L245" t="str">
        <f t="shared" si="14"/>
        <v>Dépenses</v>
      </c>
    </row>
    <row r="246" spans="1:12" x14ac:dyDescent="0.2">
      <c r="A246" t="s">
        <v>108</v>
      </c>
      <c r="B246" t="s">
        <v>109</v>
      </c>
      <c r="D246" s="2">
        <v>43500</v>
      </c>
      <c r="E246" s="2">
        <f t="shared" si="15"/>
        <v>43500</v>
      </c>
      <c r="F246" t="s">
        <v>5</v>
      </c>
      <c r="G246" t="s">
        <v>5</v>
      </c>
      <c r="H246" t="s">
        <v>23</v>
      </c>
      <c r="I246" t="s">
        <v>7</v>
      </c>
      <c r="J246" s="3">
        <v>-1.6</v>
      </c>
      <c r="K246" t="str">
        <f t="shared" si="13"/>
        <v>février</v>
      </c>
      <c r="L246" t="str">
        <f t="shared" si="14"/>
        <v>Dépenses</v>
      </c>
    </row>
    <row r="247" spans="1:12" ht="15" x14ac:dyDescent="0.25">
      <c r="A247" t="s">
        <v>94</v>
      </c>
      <c r="B247" s="4" t="s">
        <v>70</v>
      </c>
      <c r="C247" s="7" t="s">
        <v>340</v>
      </c>
      <c r="D247" s="2">
        <v>43500</v>
      </c>
      <c r="E247" s="2">
        <f t="shared" si="15"/>
        <v>43500</v>
      </c>
      <c r="F247" t="s">
        <v>135</v>
      </c>
      <c r="G247" t="s">
        <v>103</v>
      </c>
      <c r="H247" t="s">
        <v>69</v>
      </c>
      <c r="I247" t="s">
        <v>7</v>
      </c>
      <c r="J247" s="6">
        <v>400</v>
      </c>
      <c r="K247" t="str">
        <f t="shared" si="13"/>
        <v>février</v>
      </c>
      <c r="L247" t="str">
        <f t="shared" si="14"/>
        <v>Recettes</v>
      </c>
    </row>
    <row r="248" spans="1:12" ht="15" x14ac:dyDescent="0.25">
      <c r="A248" t="s">
        <v>69</v>
      </c>
      <c r="B248" s="4" t="s">
        <v>70</v>
      </c>
      <c r="C248" s="7" t="s">
        <v>346</v>
      </c>
      <c r="D248" s="2">
        <v>43500</v>
      </c>
      <c r="E248" s="2">
        <f t="shared" si="15"/>
        <v>43500</v>
      </c>
      <c r="F248" t="s">
        <v>105</v>
      </c>
      <c r="G248" t="s">
        <v>106</v>
      </c>
      <c r="H248" t="s">
        <v>107</v>
      </c>
      <c r="I248" t="s">
        <v>7</v>
      </c>
      <c r="J248" s="6">
        <v>-10.99</v>
      </c>
      <c r="K248" t="str">
        <f t="shared" si="13"/>
        <v>février</v>
      </c>
      <c r="L248" t="str">
        <f t="shared" si="14"/>
        <v>Dépenses</v>
      </c>
    </row>
    <row r="249" spans="1:12" x14ac:dyDescent="0.2">
      <c r="A249" t="s">
        <v>108</v>
      </c>
      <c r="B249" t="s">
        <v>109</v>
      </c>
      <c r="D249" s="2">
        <v>43500</v>
      </c>
      <c r="E249" s="2">
        <f t="shared" si="15"/>
        <v>43500</v>
      </c>
      <c r="F249" t="s">
        <v>177</v>
      </c>
      <c r="G249" t="s">
        <v>111</v>
      </c>
      <c r="H249" t="s">
        <v>178</v>
      </c>
      <c r="I249" t="s">
        <v>7</v>
      </c>
      <c r="J249" s="3">
        <v>-3.53</v>
      </c>
      <c r="K249" t="str">
        <f t="shared" si="13"/>
        <v>février</v>
      </c>
      <c r="L249" t="str">
        <f t="shared" si="14"/>
        <v>Dépenses</v>
      </c>
    </row>
    <row r="250" spans="1:12" x14ac:dyDescent="0.2">
      <c r="A250" t="s">
        <v>108</v>
      </c>
      <c r="B250" t="s">
        <v>109</v>
      </c>
      <c r="D250" s="2">
        <v>43500</v>
      </c>
      <c r="E250" s="2">
        <f t="shared" si="15"/>
        <v>43500</v>
      </c>
      <c r="F250" t="s">
        <v>177</v>
      </c>
      <c r="G250" t="s">
        <v>111</v>
      </c>
      <c r="H250" t="s">
        <v>178</v>
      </c>
      <c r="I250" t="s">
        <v>7</v>
      </c>
      <c r="J250" s="3">
        <v>-13.72</v>
      </c>
      <c r="K250" t="str">
        <f t="shared" si="13"/>
        <v>février</v>
      </c>
      <c r="L250" t="str">
        <f t="shared" si="14"/>
        <v>Dépenses</v>
      </c>
    </row>
    <row r="251" spans="1:12" x14ac:dyDescent="0.2">
      <c r="A251" t="s">
        <v>108</v>
      </c>
      <c r="D251" s="2">
        <v>43500</v>
      </c>
      <c r="E251" s="2">
        <f t="shared" si="15"/>
        <v>43500</v>
      </c>
      <c r="F251" t="s">
        <v>347</v>
      </c>
      <c r="G251" t="s">
        <v>111</v>
      </c>
      <c r="H251" t="s">
        <v>145</v>
      </c>
      <c r="I251" t="s">
        <v>7</v>
      </c>
      <c r="J251" s="3">
        <v>188.5</v>
      </c>
      <c r="K251" t="str">
        <f t="shared" si="13"/>
        <v>février</v>
      </c>
      <c r="L251" t="str">
        <f t="shared" si="14"/>
        <v>Recettes</v>
      </c>
    </row>
    <row r="252" spans="1:12" x14ac:dyDescent="0.2">
      <c r="A252" t="s">
        <v>2</v>
      </c>
      <c r="B252" t="s">
        <v>8</v>
      </c>
      <c r="D252" s="2">
        <v>43500</v>
      </c>
      <c r="E252" s="2">
        <f t="shared" si="15"/>
        <v>43535</v>
      </c>
      <c r="F252" t="s">
        <v>5</v>
      </c>
      <c r="G252" t="s">
        <v>5</v>
      </c>
      <c r="H252" t="s">
        <v>348</v>
      </c>
      <c r="I252" t="s">
        <v>7</v>
      </c>
      <c r="J252" s="3">
        <v>-11.91</v>
      </c>
      <c r="K252" t="str">
        <f t="shared" si="13"/>
        <v>février</v>
      </c>
      <c r="L252" t="str">
        <f t="shared" si="14"/>
        <v>Dépenses</v>
      </c>
    </row>
    <row r="253" spans="1:12" ht="15" x14ac:dyDescent="0.25">
      <c r="A253" t="s">
        <v>94</v>
      </c>
      <c r="B253" s="4" t="s">
        <v>70</v>
      </c>
      <c r="C253" s="7" t="s">
        <v>349</v>
      </c>
      <c r="D253" s="2">
        <v>43501</v>
      </c>
      <c r="E253" s="2">
        <f t="shared" si="15"/>
        <v>43501</v>
      </c>
      <c r="F253" t="s">
        <v>161</v>
      </c>
      <c r="G253" t="s">
        <v>162</v>
      </c>
      <c r="H253" t="s">
        <v>163</v>
      </c>
      <c r="I253" t="s">
        <v>7</v>
      </c>
      <c r="J253" s="6">
        <v>-63.37</v>
      </c>
      <c r="K253" t="str">
        <f t="shared" si="13"/>
        <v>février</v>
      </c>
      <c r="L253" t="str">
        <f t="shared" si="14"/>
        <v>Dépenses</v>
      </c>
    </row>
    <row r="254" spans="1:12" ht="15" x14ac:dyDescent="0.25">
      <c r="A254" t="s">
        <v>94</v>
      </c>
      <c r="B254" s="4" t="s">
        <v>70</v>
      </c>
      <c r="C254" s="7" t="s">
        <v>350</v>
      </c>
      <c r="D254" s="2">
        <v>43501</v>
      </c>
      <c r="E254" s="2">
        <f t="shared" si="15"/>
        <v>43501</v>
      </c>
      <c r="F254" t="s">
        <v>143</v>
      </c>
      <c r="G254" t="s">
        <v>144</v>
      </c>
      <c r="H254" t="s">
        <v>145</v>
      </c>
      <c r="I254" t="s">
        <v>7</v>
      </c>
      <c r="J254" s="6">
        <v>131.16</v>
      </c>
      <c r="K254" t="str">
        <f t="shared" si="13"/>
        <v>février</v>
      </c>
      <c r="L254" t="str">
        <f t="shared" si="14"/>
        <v>Recettes</v>
      </c>
    </row>
    <row r="255" spans="1:12" x14ac:dyDescent="0.2">
      <c r="A255" t="s">
        <v>2</v>
      </c>
      <c r="B255" t="s">
        <v>3</v>
      </c>
      <c r="C255" t="s">
        <v>351</v>
      </c>
      <c r="D255" s="2">
        <v>43501</v>
      </c>
      <c r="E255" s="2">
        <f t="shared" si="15"/>
        <v>43535</v>
      </c>
      <c r="F255" t="s">
        <v>352</v>
      </c>
      <c r="G255" t="s">
        <v>118</v>
      </c>
      <c r="H255" t="s">
        <v>23</v>
      </c>
      <c r="I255" t="s">
        <v>7</v>
      </c>
      <c r="J255" s="3">
        <f>-1.76-2.42</f>
        <v>-4.18</v>
      </c>
      <c r="K255" t="str">
        <f t="shared" si="13"/>
        <v>février</v>
      </c>
      <c r="L255" t="str">
        <f t="shared" si="14"/>
        <v>Dépenses</v>
      </c>
    </row>
    <row r="256" spans="1:12" x14ac:dyDescent="0.2">
      <c r="A256" t="s">
        <v>2</v>
      </c>
      <c r="B256" t="s">
        <v>3</v>
      </c>
      <c r="C256" t="s">
        <v>351</v>
      </c>
      <c r="D256" s="2">
        <v>43501</v>
      </c>
      <c r="E256" s="2">
        <f t="shared" si="15"/>
        <v>43535</v>
      </c>
      <c r="F256" t="s">
        <v>353</v>
      </c>
      <c r="G256" t="s">
        <v>49</v>
      </c>
      <c r="H256" t="s">
        <v>23</v>
      </c>
      <c r="I256" t="s">
        <v>7</v>
      </c>
      <c r="J256" s="3">
        <f>-2.95*2</f>
        <v>-5.9</v>
      </c>
      <c r="K256" t="str">
        <f t="shared" si="13"/>
        <v>février</v>
      </c>
      <c r="L256" t="str">
        <f t="shared" si="14"/>
        <v>Dépenses</v>
      </c>
    </row>
    <row r="257" spans="1:12" x14ac:dyDescent="0.2">
      <c r="A257" t="s">
        <v>2</v>
      </c>
      <c r="B257" t="s">
        <v>3</v>
      </c>
      <c r="C257" t="s">
        <v>351</v>
      </c>
      <c r="D257" s="2">
        <v>43501</v>
      </c>
      <c r="E257" s="2">
        <f t="shared" si="15"/>
        <v>43535</v>
      </c>
      <c r="F257" t="s">
        <v>5</v>
      </c>
      <c r="G257" t="s">
        <v>5</v>
      </c>
      <c r="H257" t="s">
        <v>23</v>
      </c>
      <c r="I257" t="s">
        <v>7</v>
      </c>
      <c r="J257" s="3">
        <f>-93.6--4.18--5.9</f>
        <v>-83.519999999999982</v>
      </c>
      <c r="K257" t="str">
        <f t="shared" si="13"/>
        <v>février</v>
      </c>
      <c r="L257" t="str">
        <f t="shared" si="14"/>
        <v>Dépenses</v>
      </c>
    </row>
    <row r="258" spans="1:12" x14ac:dyDescent="0.2">
      <c r="A258" t="s">
        <v>2</v>
      </c>
      <c r="B258" t="s">
        <v>8</v>
      </c>
      <c r="D258" s="2">
        <v>43501</v>
      </c>
      <c r="E258" s="2">
        <f t="shared" si="15"/>
        <v>43535</v>
      </c>
      <c r="F258" t="s">
        <v>131</v>
      </c>
      <c r="G258" t="s">
        <v>263</v>
      </c>
      <c r="H258" t="s">
        <v>64</v>
      </c>
      <c r="I258" t="s">
        <v>7</v>
      </c>
      <c r="J258" s="3">
        <v>-51.51</v>
      </c>
      <c r="K258" t="str">
        <f t="shared" ref="K258:K321" si="16">IF(D258="","",TEXT(D258,"Mmmm"))</f>
        <v>février</v>
      </c>
      <c r="L258" t="str">
        <f t="shared" ref="L258:L321" si="17">IF(J258="","",IF(J258&lt;0,"Dépenses","Recettes"))</f>
        <v>Dépenses</v>
      </c>
    </row>
    <row r="259" spans="1:12" x14ac:dyDescent="0.2">
      <c r="A259" t="s">
        <v>94</v>
      </c>
      <c r="B259" t="s">
        <v>122</v>
      </c>
      <c r="C259">
        <v>8748500</v>
      </c>
      <c r="D259" s="2">
        <v>43501</v>
      </c>
      <c r="E259" s="2">
        <f t="shared" ref="E259:E305" si="18">IF(A259="","",IF(A259&lt;&gt;"Carte Lux",D259,VLOOKUP(D259,Periode_datedebit_2019,3)))</f>
        <v>43501</v>
      </c>
      <c r="F259" t="s">
        <v>190</v>
      </c>
      <c r="G259" t="s">
        <v>16</v>
      </c>
      <c r="H259" t="s">
        <v>191</v>
      </c>
      <c r="I259" t="s">
        <v>7</v>
      </c>
      <c r="J259" s="3">
        <v>-100</v>
      </c>
      <c r="K259" t="str">
        <f t="shared" si="16"/>
        <v>février</v>
      </c>
      <c r="L259" t="str">
        <f t="shared" si="17"/>
        <v>Dépenses</v>
      </c>
    </row>
    <row r="260" spans="1:12" x14ac:dyDescent="0.2">
      <c r="A260" t="s">
        <v>94</v>
      </c>
      <c r="B260" t="s">
        <v>122</v>
      </c>
      <c r="C260">
        <v>8748452</v>
      </c>
      <c r="D260" s="2">
        <v>43501</v>
      </c>
      <c r="E260" s="2">
        <f t="shared" si="18"/>
        <v>43501</v>
      </c>
      <c r="F260" t="s">
        <v>354</v>
      </c>
      <c r="G260" t="s">
        <v>118</v>
      </c>
      <c r="H260" t="s">
        <v>355</v>
      </c>
      <c r="I260" t="s">
        <v>7</v>
      </c>
      <c r="J260" s="3">
        <v>-15</v>
      </c>
      <c r="K260" t="str">
        <f t="shared" si="16"/>
        <v>février</v>
      </c>
      <c r="L260" t="str">
        <f t="shared" si="17"/>
        <v>Dépenses</v>
      </c>
    </row>
    <row r="261" spans="1:12" ht="15" x14ac:dyDescent="0.25">
      <c r="A261" t="s">
        <v>108</v>
      </c>
      <c r="B261" s="4" t="s">
        <v>70</v>
      </c>
      <c r="C261" s="7" t="s">
        <v>314</v>
      </c>
      <c r="D261" s="2">
        <v>43502</v>
      </c>
      <c r="E261" s="2">
        <f t="shared" si="18"/>
        <v>43502</v>
      </c>
      <c r="F261" t="s">
        <v>184</v>
      </c>
      <c r="G261" t="s">
        <v>106</v>
      </c>
      <c r="H261" t="s">
        <v>185</v>
      </c>
      <c r="I261" t="s">
        <v>7</v>
      </c>
      <c r="J261" s="6">
        <v>-0.99</v>
      </c>
      <c r="K261" t="str">
        <f t="shared" si="16"/>
        <v>février</v>
      </c>
      <c r="L261" t="str">
        <f t="shared" si="17"/>
        <v>Dépenses</v>
      </c>
    </row>
    <row r="262" spans="1:12" x14ac:dyDescent="0.2">
      <c r="A262" t="s">
        <v>108</v>
      </c>
      <c r="B262" t="s">
        <v>109</v>
      </c>
      <c r="C262" t="s">
        <v>356</v>
      </c>
      <c r="D262" s="2">
        <v>43502</v>
      </c>
      <c r="E262" s="2">
        <f t="shared" si="18"/>
        <v>43502</v>
      </c>
      <c r="F262" t="s">
        <v>48</v>
      </c>
      <c r="G262" t="s">
        <v>49</v>
      </c>
      <c r="H262" t="s">
        <v>23</v>
      </c>
      <c r="I262" t="s">
        <v>7</v>
      </c>
      <c r="J262" s="3">
        <v>-6.04</v>
      </c>
      <c r="K262" t="str">
        <f t="shared" si="16"/>
        <v>février</v>
      </c>
      <c r="L262" t="str">
        <f t="shared" si="17"/>
        <v>Dépenses</v>
      </c>
    </row>
    <row r="263" spans="1:12" x14ac:dyDescent="0.2">
      <c r="A263" t="s">
        <v>108</v>
      </c>
      <c r="B263" t="s">
        <v>109</v>
      </c>
      <c r="C263" t="s">
        <v>356</v>
      </c>
      <c r="D263" s="2">
        <v>43502</v>
      </c>
      <c r="E263" s="2">
        <f t="shared" si="18"/>
        <v>43502</v>
      </c>
      <c r="F263" t="s">
        <v>357</v>
      </c>
      <c r="G263" t="s">
        <v>19</v>
      </c>
      <c r="H263" t="s">
        <v>23</v>
      </c>
      <c r="I263" t="s">
        <v>7</v>
      </c>
      <c r="J263" s="3">
        <v>-3.08</v>
      </c>
      <c r="K263" t="str">
        <f t="shared" si="16"/>
        <v>février</v>
      </c>
      <c r="L263" t="str">
        <f t="shared" si="17"/>
        <v>Dépenses</v>
      </c>
    </row>
    <row r="264" spans="1:12" x14ac:dyDescent="0.2">
      <c r="A264" t="s">
        <v>108</v>
      </c>
      <c r="B264" t="s">
        <v>109</v>
      </c>
      <c r="C264" t="s">
        <v>356</v>
      </c>
      <c r="D264" s="2">
        <v>43502</v>
      </c>
      <c r="E264" s="2">
        <f t="shared" si="18"/>
        <v>43502</v>
      </c>
      <c r="F264" t="s">
        <v>5</v>
      </c>
      <c r="G264" t="s">
        <v>5</v>
      </c>
      <c r="H264" t="s">
        <v>23</v>
      </c>
      <c r="I264" t="s">
        <v>7</v>
      </c>
      <c r="J264" s="3">
        <f>-28.11--6.04--3.08</f>
        <v>-18.990000000000002</v>
      </c>
      <c r="K264" t="str">
        <f t="shared" si="16"/>
        <v>février</v>
      </c>
      <c r="L264" t="str">
        <f t="shared" si="17"/>
        <v>Dépenses</v>
      </c>
    </row>
    <row r="265" spans="1:12" x14ac:dyDescent="0.2">
      <c r="A265" t="s">
        <v>2</v>
      </c>
      <c r="B265" t="s">
        <v>8</v>
      </c>
      <c r="D265" s="2">
        <v>43502</v>
      </c>
      <c r="E265" s="2">
        <f t="shared" si="18"/>
        <v>43535</v>
      </c>
      <c r="F265" t="s">
        <v>358</v>
      </c>
      <c r="G265" t="s">
        <v>10</v>
      </c>
      <c r="H265" t="s">
        <v>11</v>
      </c>
      <c r="I265" t="s">
        <v>7</v>
      </c>
      <c r="J265" s="3">
        <v>-25</v>
      </c>
      <c r="K265" t="str">
        <f t="shared" si="16"/>
        <v>février</v>
      </c>
      <c r="L265" t="str">
        <f t="shared" si="17"/>
        <v>Dépenses</v>
      </c>
    </row>
    <row r="266" spans="1:12" x14ac:dyDescent="0.2">
      <c r="A266" t="s">
        <v>2</v>
      </c>
      <c r="B266" t="s">
        <v>8</v>
      </c>
      <c r="D266" s="2">
        <v>43502</v>
      </c>
      <c r="E266" s="2">
        <f t="shared" si="18"/>
        <v>43535</v>
      </c>
      <c r="F266" t="s">
        <v>32</v>
      </c>
      <c r="G266" t="s">
        <v>5</v>
      </c>
      <c r="H266" t="s">
        <v>22</v>
      </c>
      <c r="I266" t="s">
        <v>7</v>
      </c>
      <c r="J266" s="3">
        <v>-5.85</v>
      </c>
      <c r="K266" t="str">
        <f t="shared" si="16"/>
        <v>février</v>
      </c>
      <c r="L266" t="str">
        <f t="shared" si="17"/>
        <v>Dépenses</v>
      </c>
    </row>
    <row r="267" spans="1:12" x14ac:dyDescent="0.2">
      <c r="A267" t="s">
        <v>108</v>
      </c>
      <c r="D267" s="2">
        <v>43503</v>
      </c>
      <c r="E267" s="2">
        <f t="shared" si="18"/>
        <v>43503</v>
      </c>
      <c r="F267" t="s">
        <v>359</v>
      </c>
      <c r="I267" t="s">
        <v>7</v>
      </c>
      <c r="J267" s="3">
        <v>-5.9</v>
      </c>
      <c r="K267" t="str">
        <f t="shared" si="16"/>
        <v>février</v>
      </c>
      <c r="L267" t="str">
        <f t="shared" si="17"/>
        <v>Dépenses</v>
      </c>
    </row>
    <row r="268" spans="1:12" ht="15" x14ac:dyDescent="0.25">
      <c r="A268" t="s">
        <v>94</v>
      </c>
      <c r="B268" s="4" t="s">
        <v>70</v>
      </c>
      <c r="C268" s="7" t="s">
        <v>360</v>
      </c>
      <c r="D268" s="2">
        <v>43503</v>
      </c>
      <c r="E268" s="2">
        <f t="shared" si="18"/>
        <v>43503</v>
      </c>
      <c r="F268" t="s">
        <v>157</v>
      </c>
      <c r="G268" t="s">
        <v>158</v>
      </c>
      <c r="H268" t="s">
        <v>87</v>
      </c>
      <c r="I268" t="s">
        <v>7</v>
      </c>
      <c r="J268" s="6">
        <v>-7.43</v>
      </c>
      <c r="K268" t="str">
        <f t="shared" si="16"/>
        <v>février</v>
      </c>
      <c r="L268" t="str">
        <f t="shared" si="17"/>
        <v>Dépenses</v>
      </c>
    </row>
    <row r="269" spans="1:12" x14ac:dyDescent="0.2">
      <c r="A269" t="s">
        <v>69</v>
      </c>
      <c r="B269" s="4" t="s">
        <v>84</v>
      </c>
      <c r="D269" s="2">
        <v>43503</v>
      </c>
      <c r="E269" s="2">
        <f t="shared" si="18"/>
        <v>43503</v>
      </c>
      <c r="F269" t="s">
        <v>361</v>
      </c>
      <c r="G269" t="s">
        <v>111</v>
      </c>
      <c r="H269" t="s">
        <v>362</v>
      </c>
      <c r="I269" t="s">
        <v>7</v>
      </c>
      <c r="J269" s="3">
        <v>7.65</v>
      </c>
      <c r="K269" t="str">
        <f t="shared" si="16"/>
        <v>février</v>
      </c>
      <c r="L269" t="str">
        <f t="shared" si="17"/>
        <v>Recettes</v>
      </c>
    </row>
    <row r="270" spans="1:12" ht="15" x14ac:dyDescent="0.25">
      <c r="A270" t="s">
        <v>94</v>
      </c>
      <c r="B270" s="4" t="s">
        <v>70</v>
      </c>
      <c r="C270" s="7" t="s">
        <v>363</v>
      </c>
      <c r="D270" s="2">
        <v>43503</v>
      </c>
      <c r="E270" s="2">
        <f t="shared" si="18"/>
        <v>43503</v>
      </c>
      <c r="F270" t="s">
        <v>165</v>
      </c>
      <c r="G270" t="s">
        <v>158</v>
      </c>
      <c r="H270" t="s">
        <v>166</v>
      </c>
      <c r="I270" t="s">
        <v>7</v>
      </c>
      <c r="J270" s="6">
        <v>-27.35</v>
      </c>
      <c r="K270" t="str">
        <f t="shared" si="16"/>
        <v>février</v>
      </c>
      <c r="L270" t="str">
        <f t="shared" si="17"/>
        <v>Dépenses</v>
      </c>
    </row>
    <row r="271" spans="1:12" ht="15" x14ac:dyDescent="0.25">
      <c r="A271" t="s">
        <v>94</v>
      </c>
      <c r="B271" s="4" t="s">
        <v>70</v>
      </c>
      <c r="C271" s="7" t="s">
        <v>364</v>
      </c>
      <c r="D271" s="2">
        <v>43503</v>
      </c>
      <c r="E271" s="2">
        <f t="shared" si="18"/>
        <v>43503</v>
      </c>
      <c r="F271" t="s">
        <v>165</v>
      </c>
      <c r="G271" t="s">
        <v>158</v>
      </c>
      <c r="H271" t="s">
        <v>166</v>
      </c>
      <c r="I271" t="s">
        <v>7</v>
      </c>
      <c r="J271" s="6">
        <v>-25.2</v>
      </c>
      <c r="K271" t="str">
        <f t="shared" si="16"/>
        <v>février</v>
      </c>
      <c r="L271" t="str">
        <f t="shared" si="17"/>
        <v>Dépenses</v>
      </c>
    </row>
    <row r="272" spans="1:12" ht="15" x14ac:dyDescent="0.25">
      <c r="A272" t="s">
        <v>94</v>
      </c>
      <c r="B272" s="4" t="s">
        <v>70</v>
      </c>
      <c r="C272" s="7" t="s">
        <v>365</v>
      </c>
      <c r="D272" s="2">
        <v>43503</v>
      </c>
      <c r="E272" s="2">
        <f t="shared" si="18"/>
        <v>43503</v>
      </c>
      <c r="F272" t="s">
        <v>169</v>
      </c>
      <c r="G272" t="s">
        <v>158</v>
      </c>
      <c r="H272" t="s">
        <v>166</v>
      </c>
      <c r="I272" t="s">
        <v>7</v>
      </c>
      <c r="J272" s="6">
        <v>-34.33</v>
      </c>
      <c r="K272" t="str">
        <f t="shared" si="16"/>
        <v>février</v>
      </c>
      <c r="L272" t="str">
        <f t="shared" si="17"/>
        <v>Dépenses</v>
      </c>
    </row>
    <row r="273" spans="1:12" x14ac:dyDescent="0.2">
      <c r="A273" t="s">
        <v>2</v>
      </c>
      <c r="B273" t="s">
        <v>3</v>
      </c>
      <c r="D273" s="2">
        <v>43503</v>
      </c>
      <c r="E273" s="2">
        <f t="shared" si="18"/>
        <v>43535</v>
      </c>
      <c r="F273" t="s">
        <v>366</v>
      </c>
      <c r="G273" t="s">
        <v>19</v>
      </c>
      <c r="H273" t="s">
        <v>17</v>
      </c>
      <c r="I273" t="s">
        <v>7</v>
      </c>
      <c r="J273" s="3">
        <v>-30</v>
      </c>
      <c r="K273" t="str">
        <f t="shared" si="16"/>
        <v>février</v>
      </c>
      <c r="L273" t="str">
        <f t="shared" si="17"/>
        <v>Dépenses</v>
      </c>
    </row>
    <row r="274" spans="1:12" x14ac:dyDescent="0.2">
      <c r="A274" t="s">
        <v>2</v>
      </c>
      <c r="B274" t="s">
        <v>3</v>
      </c>
      <c r="D274" s="2">
        <v>43503</v>
      </c>
      <c r="E274" s="2">
        <f t="shared" si="18"/>
        <v>43535</v>
      </c>
      <c r="F274" t="s">
        <v>5</v>
      </c>
      <c r="G274" t="s">
        <v>5</v>
      </c>
      <c r="H274" t="s">
        <v>23</v>
      </c>
      <c r="I274" t="s">
        <v>7</v>
      </c>
      <c r="J274" s="3">
        <v>-70.739999999999995</v>
      </c>
      <c r="K274" t="str">
        <f t="shared" si="16"/>
        <v>février</v>
      </c>
      <c r="L274" t="str">
        <f t="shared" si="17"/>
        <v>Dépenses</v>
      </c>
    </row>
    <row r="275" spans="1:12" x14ac:dyDescent="0.2">
      <c r="A275" t="s">
        <v>2</v>
      </c>
      <c r="B275" t="s">
        <v>8</v>
      </c>
      <c r="D275" s="2">
        <v>43504</v>
      </c>
      <c r="E275" s="2">
        <f t="shared" si="18"/>
        <v>43535</v>
      </c>
      <c r="F275" t="s">
        <v>32</v>
      </c>
      <c r="G275" t="s">
        <v>5</v>
      </c>
      <c r="H275" t="s">
        <v>22</v>
      </c>
      <c r="I275" t="s">
        <v>7</v>
      </c>
      <c r="J275" s="3">
        <v>-8.1199999999999992</v>
      </c>
      <c r="K275" t="str">
        <f t="shared" si="16"/>
        <v>février</v>
      </c>
      <c r="L275" t="str">
        <f t="shared" si="17"/>
        <v>Dépenses</v>
      </c>
    </row>
    <row r="276" spans="1:12" x14ac:dyDescent="0.2">
      <c r="A276" t="s">
        <v>108</v>
      </c>
      <c r="D276" s="2">
        <v>43504</v>
      </c>
      <c r="E276" s="2">
        <f t="shared" si="18"/>
        <v>43504</v>
      </c>
      <c r="F276" t="s">
        <v>367</v>
      </c>
      <c r="G276" t="s">
        <v>19</v>
      </c>
      <c r="H276" t="s">
        <v>20</v>
      </c>
      <c r="I276" t="s">
        <v>7</v>
      </c>
      <c r="J276" s="3">
        <v>-45</v>
      </c>
      <c r="K276" t="str">
        <f t="shared" si="16"/>
        <v>février</v>
      </c>
      <c r="L276" t="str">
        <f t="shared" si="17"/>
        <v>Dépenses</v>
      </c>
    </row>
    <row r="277" spans="1:12" x14ac:dyDescent="0.2">
      <c r="A277" t="s">
        <v>108</v>
      </c>
      <c r="D277" s="2">
        <v>43504</v>
      </c>
      <c r="E277" s="2">
        <f t="shared" si="18"/>
        <v>43504</v>
      </c>
      <c r="F277" t="s">
        <v>368</v>
      </c>
      <c r="I277" t="s">
        <v>7</v>
      </c>
      <c r="J277" s="3">
        <v>-17</v>
      </c>
      <c r="K277" t="str">
        <f t="shared" si="16"/>
        <v>février</v>
      </c>
      <c r="L277" t="str">
        <f t="shared" si="17"/>
        <v>Dépenses</v>
      </c>
    </row>
    <row r="278" spans="1:12" ht="15" x14ac:dyDescent="0.25">
      <c r="A278" t="s">
        <v>94</v>
      </c>
      <c r="B278" s="4" t="s">
        <v>70</v>
      </c>
      <c r="C278" s="7" t="s">
        <v>369</v>
      </c>
      <c r="D278" s="2">
        <v>43504</v>
      </c>
      <c r="E278" s="2">
        <f t="shared" si="18"/>
        <v>43504</v>
      </c>
      <c r="F278" t="s">
        <v>187</v>
      </c>
      <c r="G278" t="s">
        <v>158</v>
      </c>
      <c r="H278" t="s">
        <v>188</v>
      </c>
      <c r="I278" t="s">
        <v>7</v>
      </c>
      <c r="J278" s="6">
        <v>-8.99</v>
      </c>
      <c r="K278" t="str">
        <f t="shared" si="16"/>
        <v>février</v>
      </c>
      <c r="L278" t="str">
        <f t="shared" si="17"/>
        <v>Dépenses</v>
      </c>
    </row>
    <row r="279" spans="1:12" ht="15" x14ac:dyDescent="0.25">
      <c r="A279" t="s">
        <v>94</v>
      </c>
      <c r="B279" s="4" t="s">
        <v>70</v>
      </c>
      <c r="C279" s="7" t="s">
        <v>369</v>
      </c>
      <c r="D279" s="2">
        <v>43504</v>
      </c>
      <c r="E279" s="2">
        <f t="shared" si="18"/>
        <v>43504</v>
      </c>
      <c r="F279" t="s">
        <v>189</v>
      </c>
      <c r="G279" t="s">
        <v>158</v>
      </c>
      <c r="H279" t="s">
        <v>188</v>
      </c>
      <c r="I279" t="s">
        <v>7</v>
      </c>
      <c r="J279" s="6">
        <v>-6.99</v>
      </c>
      <c r="K279" t="str">
        <f t="shared" si="16"/>
        <v>février</v>
      </c>
      <c r="L279" t="str">
        <f t="shared" si="17"/>
        <v>Dépenses</v>
      </c>
    </row>
    <row r="280" spans="1:12" x14ac:dyDescent="0.2">
      <c r="A280" t="s">
        <v>94</v>
      </c>
      <c r="B280" s="4" t="s">
        <v>84</v>
      </c>
      <c r="D280" s="2">
        <v>43504</v>
      </c>
      <c r="E280" s="2">
        <f t="shared" si="18"/>
        <v>43504</v>
      </c>
      <c r="F280" t="s">
        <v>370</v>
      </c>
      <c r="G280" t="s">
        <v>336</v>
      </c>
      <c r="I280" t="s">
        <v>7</v>
      </c>
      <c r="J280" s="3">
        <v>300</v>
      </c>
      <c r="K280" t="str">
        <f t="shared" si="16"/>
        <v>février</v>
      </c>
      <c r="L280" t="str">
        <f t="shared" si="17"/>
        <v>Recettes</v>
      </c>
    </row>
    <row r="281" spans="1:12" x14ac:dyDescent="0.2">
      <c r="A281" t="s">
        <v>94</v>
      </c>
      <c r="D281" s="2">
        <v>43504</v>
      </c>
      <c r="E281" s="2">
        <f t="shared" si="18"/>
        <v>43504</v>
      </c>
      <c r="F281" t="s">
        <v>371</v>
      </c>
      <c r="G281" t="s">
        <v>86</v>
      </c>
      <c r="I281" t="s">
        <v>7</v>
      </c>
      <c r="J281" s="3">
        <v>-9</v>
      </c>
      <c r="K281" t="str">
        <f t="shared" si="16"/>
        <v>février</v>
      </c>
      <c r="L281" t="str">
        <f t="shared" si="17"/>
        <v>Dépenses</v>
      </c>
    </row>
    <row r="282" spans="1:12" x14ac:dyDescent="0.2">
      <c r="A282" t="s">
        <v>2</v>
      </c>
      <c r="B282" t="s">
        <v>3</v>
      </c>
      <c r="C282" t="s">
        <v>372</v>
      </c>
      <c r="D282" s="2">
        <v>43504</v>
      </c>
      <c r="E282" s="2">
        <f t="shared" si="18"/>
        <v>43535</v>
      </c>
      <c r="F282" t="s">
        <v>303</v>
      </c>
      <c r="G282" t="s">
        <v>49</v>
      </c>
      <c r="H282" t="s">
        <v>23</v>
      </c>
      <c r="I282" t="s">
        <v>7</v>
      </c>
      <c r="J282" s="3">
        <f>-3.07-1.5-1.64-3.33-2.95-4.97-3.8</f>
        <v>-21.259999999999998</v>
      </c>
      <c r="K282" t="str">
        <f t="shared" si="16"/>
        <v>février</v>
      </c>
      <c r="L282" t="str">
        <f t="shared" si="17"/>
        <v>Dépenses</v>
      </c>
    </row>
    <row r="283" spans="1:12" x14ac:dyDescent="0.2">
      <c r="A283" t="s">
        <v>2</v>
      </c>
      <c r="B283" t="s">
        <v>3</v>
      </c>
      <c r="C283" t="s">
        <v>372</v>
      </c>
      <c r="D283" s="2">
        <v>43504</v>
      </c>
      <c r="E283" s="2">
        <f t="shared" si="18"/>
        <v>43535</v>
      </c>
      <c r="F283" t="s">
        <v>5</v>
      </c>
      <c r="G283" t="s">
        <v>5</v>
      </c>
      <c r="H283" t="s">
        <v>23</v>
      </c>
      <c r="I283" t="s">
        <v>7</v>
      </c>
      <c r="J283" s="3">
        <f>-101.68--21.26</f>
        <v>-80.42</v>
      </c>
      <c r="K283" t="str">
        <f t="shared" si="16"/>
        <v>février</v>
      </c>
      <c r="L283" t="str">
        <f t="shared" si="17"/>
        <v>Dépenses</v>
      </c>
    </row>
    <row r="284" spans="1:12" x14ac:dyDescent="0.2">
      <c r="A284" t="s">
        <v>108</v>
      </c>
      <c r="B284" t="s">
        <v>109</v>
      </c>
      <c r="D284" s="2">
        <v>43505</v>
      </c>
      <c r="E284" s="2">
        <f t="shared" si="18"/>
        <v>43505</v>
      </c>
      <c r="F284" t="s">
        <v>373</v>
      </c>
      <c r="G284" t="s">
        <v>127</v>
      </c>
      <c r="I284" t="s">
        <v>7</v>
      </c>
      <c r="J284" s="3">
        <v>-47.99</v>
      </c>
      <c r="K284" t="str">
        <f t="shared" si="16"/>
        <v>février</v>
      </c>
      <c r="L284" t="str">
        <f t="shared" si="17"/>
        <v>Dépenses</v>
      </c>
    </row>
    <row r="285" spans="1:12" x14ac:dyDescent="0.2">
      <c r="A285" t="s">
        <v>69</v>
      </c>
      <c r="B285" s="4" t="s">
        <v>84</v>
      </c>
      <c r="D285" s="2">
        <v>43505</v>
      </c>
      <c r="E285" s="2">
        <f t="shared" si="18"/>
        <v>43505</v>
      </c>
      <c r="F285" t="s">
        <v>374</v>
      </c>
      <c r="G285" t="s">
        <v>111</v>
      </c>
      <c r="H285" t="s">
        <v>362</v>
      </c>
      <c r="I285" t="s">
        <v>7</v>
      </c>
      <c r="J285" s="3">
        <v>345.53</v>
      </c>
      <c r="K285" t="str">
        <f t="shared" si="16"/>
        <v>février</v>
      </c>
      <c r="L285" t="str">
        <f t="shared" si="17"/>
        <v>Recettes</v>
      </c>
    </row>
    <row r="286" spans="1:12" x14ac:dyDescent="0.2">
      <c r="A286" t="s">
        <v>2</v>
      </c>
      <c r="B286" t="s">
        <v>3</v>
      </c>
      <c r="D286" s="2">
        <v>43505</v>
      </c>
      <c r="E286" s="2">
        <f t="shared" si="18"/>
        <v>43535</v>
      </c>
      <c r="F286" t="s">
        <v>5</v>
      </c>
      <c r="G286" t="s">
        <v>5</v>
      </c>
      <c r="H286" t="s">
        <v>23</v>
      </c>
      <c r="I286" t="s">
        <v>7</v>
      </c>
      <c r="J286" s="3">
        <v>-36.51</v>
      </c>
      <c r="K286" t="str">
        <f t="shared" si="16"/>
        <v>février</v>
      </c>
      <c r="L286" t="str">
        <f t="shared" si="17"/>
        <v>Dépenses</v>
      </c>
    </row>
    <row r="287" spans="1:12" x14ac:dyDescent="0.2">
      <c r="A287" t="s">
        <v>2</v>
      </c>
      <c r="B287" t="s">
        <v>8</v>
      </c>
      <c r="D287" s="2">
        <v>43506</v>
      </c>
      <c r="E287" s="2">
        <f t="shared" si="18"/>
        <v>43535</v>
      </c>
      <c r="F287" t="s">
        <v>341</v>
      </c>
      <c r="G287" t="s">
        <v>5</v>
      </c>
      <c r="H287" t="s">
        <v>33</v>
      </c>
      <c r="I287" t="s">
        <v>7</v>
      </c>
      <c r="J287" s="3">
        <v>-10.3</v>
      </c>
      <c r="K287" t="str">
        <f t="shared" si="16"/>
        <v>février</v>
      </c>
      <c r="L287" t="str">
        <f t="shared" si="17"/>
        <v>Dépenses</v>
      </c>
    </row>
    <row r="288" spans="1:12" ht="15" x14ac:dyDescent="0.25">
      <c r="A288" t="s">
        <v>108</v>
      </c>
      <c r="B288" s="4" t="s">
        <v>70</v>
      </c>
      <c r="C288" s="7" t="s">
        <v>375</v>
      </c>
      <c r="D288" s="2">
        <v>43506</v>
      </c>
      <c r="E288" s="2">
        <f t="shared" si="18"/>
        <v>43506</v>
      </c>
      <c r="F288" t="s">
        <v>198</v>
      </c>
      <c r="G288" t="s">
        <v>199</v>
      </c>
      <c r="H288" t="s">
        <v>200</v>
      </c>
      <c r="I288" t="s">
        <v>7</v>
      </c>
      <c r="J288" s="6">
        <v>1091.68</v>
      </c>
      <c r="K288" t="str">
        <f t="shared" si="16"/>
        <v>février</v>
      </c>
      <c r="L288" t="str">
        <f t="shared" si="17"/>
        <v>Recettes</v>
      </c>
    </row>
    <row r="289" spans="1:12" x14ac:dyDescent="0.2">
      <c r="A289" t="s">
        <v>108</v>
      </c>
      <c r="B289" s="4" t="s">
        <v>70</v>
      </c>
      <c r="C289" s="7" t="s">
        <v>376</v>
      </c>
      <c r="D289" s="2">
        <v>43507</v>
      </c>
      <c r="E289" s="2">
        <f t="shared" si="18"/>
        <v>43507</v>
      </c>
      <c r="F289" t="s">
        <v>206</v>
      </c>
      <c r="G289" t="s">
        <v>111</v>
      </c>
      <c r="H289" t="s">
        <v>207</v>
      </c>
      <c r="I289" t="s">
        <v>7</v>
      </c>
      <c r="J289" s="3">
        <v>-33.44</v>
      </c>
      <c r="K289" t="str">
        <f t="shared" si="16"/>
        <v>février</v>
      </c>
      <c r="L289" t="str">
        <f t="shared" si="17"/>
        <v>Dépenses</v>
      </c>
    </row>
    <row r="290" spans="1:12" x14ac:dyDescent="0.2">
      <c r="A290" t="s">
        <v>108</v>
      </c>
      <c r="B290" t="s">
        <v>109</v>
      </c>
      <c r="D290" s="2">
        <v>43507</v>
      </c>
      <c r="E290" s="2">
        <f t="shared" si="18"/>
        <v>43507</v>
      </c>
      <c r="F290" t="s">
        <v>377</v>
      </c>
      <c r="G290" t="s">
        <v>5</v>
      </c>
      <c r="I290" t="s">
        <v>7</v>
      </c>
      <c r="J290" s="3">
        <v>-9.0500000000000007</v>
      </c>
      <c r="K290" t="str">
        <f t="shared" si="16"/>
        <v>février</v>
      </c>
      <c r="L290" t="str">
        <f t="shared" si="17"/>
        <v>Dépenses</v>
      </c>
    </row>
    <row r="291" spans="1:12" x14ac:dyDescent="0.2">
      <c r="A291" t="s">
        <v>108</v>
      </c>
      <c r="B291" t="s">
        <v>109</v>
      </c>
      <c r="D291" s="2">
        <v>43507</v>
      </c>
      <c r="E291" s="2">
        <f t="shared" si="18"/>
        <v>43507</v>
      </c>
      <c r="F291" t="s">
        <v>32</v>
      </c>
      <c r="G291" t="s">
        <v>5</v>
      </c>
      <c r="I291" t="s">
        <v>7</v>
      </c>
      <c r="J291" s="3">
        <v>-1.25</v>
      </c>
      <c r="K291" t="str">
        <f t="shared" si="16"/>
        <v>février</v>
      </c>
      <c r="L291" t="str">
        <f t="shared" si="17"/>
        <v>Dépenses</v>
      </c>
    </row>
    <row r="292" spans="1:12" ht="15" x14ac:dyDescent="0.25">
      <c r="A292" t="s">
        <v>94</v>
      </c>
      <c r="B292" s="4" t="s">
        <v>70</v>
      </c>
      <c r="C292" s="7" t="s">
        <v>378</v>
      </c>
      <c r="D292" s="2">
        <v>43507</v>
      </c>
      <c r="E292" s="2">
        <f t="shared" si="18"/>
        <v>43507</v>
      </c>
      <c r="F292" t="s">
        <v>202</v>
      </c>
      <c r="G292" t="s">
        <v>158</v>
      </c>
      <c r="H292" t="s">
        <v>87</v>
      </c>
      <c r="I292" t="s">
        <v>7</v>
      </c>
      <c r="J292" s="6">
        <v>-15</v>
      </c>
      <c r="K292" t="str">
        <f t="shared" si="16"/>
        <v>février</v>
      </c>
      <c r="L292" t="str">
        <f t="shared" si="17"/>
        <v>Dépenses</v>
      </c>
    </row>
    <row r="293" spans="1:12" ht="15" x14ac:dyDescent="0.25">
      <c r="A293" t="s">
        <v>94</v>
      </c>
      <c r="B293" s="4" t="s">
        <v>70</v>
      </c>
      <c r="C293" s="7" t="s">
        <v>379</v>
      </c>
      <c r="D293" s="2">
        <v>43507</v>
      </c>
      <c r="E293" s="2">
        <f t="shared" si="18"/>
        <v>43507</v>
      </c>
      <c r="F293" t="s">
        <v>204</v>
      </c>
      <c r="G293" t="s">
        <v>158</v>
      </c>
      <c r="H293" t="s">
        <v>87</v>
      </c>
      <c r="I293" t="s">
        <v>7</v>
      </c>
      <c r="J293" s="6">
        <v>-15</v>
      </c>
      <c r="K293" t="str">
        <f t="shared" si="16"/>
        <v>février</v>
      </c>
      <c r="L293" t="str">
        <f t="shared" si="17"/>
        <v>Dépenses</v>
      </c>
    </row>
    <row r="294" spans="1:12" x14ac:dyDescent="0.2">
      <c r="A294" t="s">
        <v>108</v>
      </c>
      <c r="B294" t="s">
        <v>109</v>
      </c>
      <c r="D294" s="2">
        <v>43507</v>
      </c>
      <c r="E294" s="2">
        <f t="shared" si="18"/>
        <v>43507</v>
      </c>
      <c r="F294" t="s">
        <v>380</v>
      </c>
      <c r="G294" t="s">
        <v>16</v>
      </c>
      <c r="I294" t="s">
        <v>7</v>
      </c>
      <c r="J294" s="3">
        <v>-20</v>
      </c>
      <c r="K294" t="str">
        <f t="shared" si="16"/>
        <v>février</v>
      </c>
      <c r="L294" t="str">
        <f t="shared" si="17"/>
        <v>Dépenses</v>
      </c>
    </row>
    <row r="295" spans="1:12" ht="15" x14ac:dyDescent="0.25">
      <c r="A295" t="s">
        <v>94</v>
      </c>
      <c r="B295" s="4" t="s">
        <v>70</v>
      </c>
      <c r="C295" s="7" t="s">
        <v>381</v>
      </c>
      <c r="D295" s="2">
        <v>43507</v>
      </c>
      <c r="E295" s="2">
        <f t="shared" si="18"/>
        <v>43507</v>
      </c>
      <c r="F295" t="s">
        <v>175</v>
      </c>
      <c r="G295" t="s">
        <v>172</v>
      </c>
      <c r="H295" t="s">
        <v>176</v>
      </c>
      <c r="I295" t="s">
        <v>7</v>
      </c>
      <c r="J295" s="6">
        <v>-27.39</v>
      </c>
      <c r="K295" t="str">
        <f t="shared" si="16"/>
        <v>février</v>
      </c>
      <c r="L295" t="str">
        <f t="shared" si="17"/>
        <v>Dépenses</v>
      </c>
    </row>
    <row r="296" spans="1:12" x14ac:dyDescent="0.2">
      <c r="A296" t="s">
        <v>69</v>
      </c>
      <c r="B296" t="s">
        <v>84</v>
      </c>
      <c r="C296" s="1" t="s">
        <v>382</v>
      </c>
      <c r="D296" s="2">
        <v>43507</v>
      </c>
      <c r="E296" s="2">
        <f t="shared" si="18"/>
        <v>43507</v>
      </c>
      <c r="F296" t="s">
        <v>383</v>
      </c>
      <c r="G296" t="s">
        <v>111</v>
      </c>
      <c r="H296" t="s">
        <v>11</v>
      </c>
      <c r="I296" t="s">
        <v>7</v>
      </c>
      <c r="J296" s="3">
        <v>-16.7</v>
      </c>
      <c r="K296" t="str">
        <f t="shared" si="16"/>
        <v>février</v>
      </c>
      <c r="L296" t="str">
        <f t="shared" si="17"/>
        <v>Dépenses</v>
      </c>
    </row>
    <row r="297" spans="1:12" x14ac:dyDescent="0.2">
      <c r="A297" t="s">
        <v>108</v>
      </c>
      <c r="B297" t="s">
        <v>109</v>
      </c>
      <c r="D297" s="2">
        <v>43507</v>
      </c>
      <c r="E297" s="2">
        <f t="shared" si="18"/>
        <v>43507</v>
      </c>
      <c r="F297" t="s">
        <v>384</v>
      </c>
      <c r="G297" t="s">
        <v>21</v>
      </c>
      <c r="H297" t="s">
        <v>64</v>
      </c>
      <c r="I297" t="s">
        <v>7</v>
      </c>
      <c r="J297" s="3">
        <v>-14.7</v>
      </c>
      <c r="K297" t="str">
        <f t="shared" si="16"/>
        <v>février</v>
      </c>
      <c r="L297" t="str">
        <f t="shared" si="17"/>
        <v>Dépenses</v>
      </c>
    </row>
    <row r="298" spans="1:12" x14ac:dyDescent="0.2">
      <c r="A298" t="s">
        <v>108</v>
      </c>
      <c r="B298" t="s">
        <v>109</v>
      </c>
      <c r="D298" s="2">
        <v>43507</v>
      </c>
      <c r="E298" s="2">
        <f t="shared" si="18"/>
        <v>43507</v>
      </c>
      <c r="F298" t="s">
        <v>384</v>
      </c>
      <c r="G298" t="s">
        <v>63</v>
      </c>
      <c r="H298" t="s">
        <v>64</v>
      </c>
      <c r="I298" t="s">
        <v>7</v>
      </c>
      <c r="J298" s="3">
        <f>-39.9--14.7</f>
        <v>-25.2</v>
      </c>
      <c r="K298" t="str">
        <f t="shared" si="16"/>
        <v>février</v>
      </c>
      <c r="L298" t="str">
        <f t="shared" si="17"/>
        <v>Dépenses</v>
      </c>
    </row>
    <row r="299" spans="1:12" x14ac:dyDescent="0.2">
      <c r="A299" t="s">
        <v>2</v>
      </c>
      <c r="B299" t="s">
        <v>3</v>
      </c>
      <c r="C299" t="s">
        <v>385</v>
      </c>
      <c r="D299" s="2">
        <v>43507</v>
      </c>
      <c r="E299" s="2">
        <f t="shared" si="18"/>
        <v>43535</v>
      </c>
      <c r="F299" t="s">
        <v>386</v>
      </c>
      <c r="G299" t="s">
        <v>270</v>
      </c>
      <c r="H299" t="s">
        <v>23</v>
      </c>
      <c r="I299" t="s">
        <v>7</v>
      </c>
      <c r="J299" s="3">
        <f>-7.05*2</f>
        <v>-14.1</v>
      </c>
      <c r="K299" t="str">
        <f t="shared" si="16"/>
        <v>février</v>
      </c>
      <c r="L299" t="str">
        <f t="shared" si="17"/>
        <v>Dépenses</v>
      </c>
    </row>
    <row r="300" spans="1:12" x14ac:dyDescent="0.2">
      <c r="A300" t="s">
        <v>2</v>
      </c>
      <c r="B300" t="s">
        <v>3</v>
      </c>
      <c r="C300" t="s">
        <v>385</v>
      </c>
      <c r="D300" s="2">
        <v>43507</v>
      </c>
      <c r="E300" s="2">
        <f t="shared" si="18"/>
        <v>43535</v>
      </c>
      <c r="F300" t="s">
        <v>5</v>
      </c>
      <c r="G300" t="s">
        <v>5</v>
      </c>
      <c r="H300" t="s">
        <v>23</v>
      </c>
      <c r="I300" t="s">
        <v>7</v>
      </c>
      <c r="J300" s="3">
        <f>-31.62--14.1</f>
        <v>-17.520000000000003</v>
      </c>
      <c r="K300" t="str">
        <f t="shared" si="16"/>
        <v>février</v>
      </c>
      <c r="L300" t="str">
        <f t="shared" si="17"/>
        <v>Dépenses</v>
      </c>
    </row>
    <row r="301" spans="1:12" x14ac:dyDescent="0.2">
      <c r="A301" t="s">
        <v>2</v>
      </c>
      <c r="B301" t="s">
        <v>8</v>
      </c>
      <c r="D301" s="2">
        <v>43508</v>
      </c>
      <c r="E301" s="2">
        <f t="shared" si="18"/>
        <v>43535</v>
      </c>
      <c r="F301" t="s">
        <v>387</v>
      </c>
      <c r="G301" t="s">
        <v>10</v>
      </c>
      <c r="I301" t="s">
        <v>7</v>
      </c>
      <c r="J301" s="3">
        <v>-1.6</v>
      </c>
      <c r="K301" t="str">
        <f t="shared" si="16"/>
        <v>février</v>
      </c>
      <c r="L301" t="str">
        <f t="shared" si="17"/>
        <v>Dépenses</v>
      </c>
    </row>
    <row r="302" spans="1:12" x14ac:dyDescent="0.2">
      <c r="A302" t="s">
        <v>108</v>
      </c>
      <c r="B302" t="s">
        <v>109</v>
      </c>
      <c r="D302" s="2">
        <v>43508</v>
      </c>
      <c r="E302" s="2">
        <f t="shared" si="18"/>
        <v>43508</v>
      </c>
      <c r="F302" t="s">
        <v>388</v>
      </c>
      <c r="G302" t="s">
        <v>16</v>
      </c>
      <c r="I302" t="s">
        <v>7</v>
      </c>
      <c r="J302" s="3">
        <v>-84.6</v>
      </c>
      <c r="K302" t="str">
        <f t="shared" si="16"/>
        <v>février</v>
      </c>
      <c r="L302" t="str">
        <f t="shared" si="17"/>
        <v>Dépenses</v>
      </c>
    </row>
    <row r="303" spans="1:12" ht="15" x14ac:dyDescent="0.25">
      <c r="A303" t="s">
        <v>69</v>
      </c>
      <c r="B303" s="4" t="s">
        <v>70</v>
      </c>
      <c r="C303" s="7" t="s">
        <v>389</v>
      </c>
      <c r="D303" s="2">
        <v>43508</v>
      </c>
      <c r="E303" s="2">
        <f t="shared" si="18"/>
        <v>43508</v>
      </c>
      <c r="F303" t="s">
        <v>147</v>
      </c>
      <c r="G303" t="s">
        <v>115</v>
      </c>
      <c r="H303" t="s">
        <v>148</v>
      </c>
      <c r="I303" t="s">
        <v>7</v>
      </c>
      <c r="J303" s="6">
        <v>-14.52</v>
      </c>
      <c r="K303" t="str">
        <f t="shared" si="16"/>
        <v>février</v>
      </c>
      <c r="L303" t="str">
        <f t="shared" si="17"/>
        <v>Dépenses</v>
      </c>
    </row>
    <row r="304" spans="1:12" x14ac:dyDescent="0.2">
      <c r="A304" t="s">
        <v>2</v>
      </c>
      <c r="B304" t="s">
        <v>8</v>
      </c>
      <c r="D304" s="2">
        <v>43508</v>
      </c>
      <c r="E304" s="2">
        <f t="shared" si="18"/>
        <v>43535</v>
      </c>
      <c r="F304" t="s">
        <v>390</v>
      </c>
      <c r="G304" t="s">
        <v>111</v>
      </c>
      <c r="I304" t="s">
        <v>7</v>
      </c>
      <c r="J304" s="3">
        <v>-0.5</v>
      </c>
      <c r="K304" t="str">
        <f t="shared" si="16"/>
        <v>février</v>
      </c>
      <c r="L304" t="str">
        <f t="shared" si="17"/>
        <v>Dépenses</v>
      </c>
    </row>
    <row r="305" spans="1:12" x14ac:dyDescent="0.2">
      <c r="A305" t="s">
        <v>2</v>
      </c>
      <c r="B305" t="s">
        <v>8</v>
      </c>
      <c r="D305" s="2">
        <v>43508</v>
      </c>
      <c r="E305" s="2">
        <f t="shared" si="18"/>
        <v>43535</v>
      </c>
      <c r="F305" t="s">
        <v>391</v>
      </c>
      <c r="G305" t="s">
        <v>25</v>
      </c>
      <c r="H305" t="s">
        <v>392</v>
      </c>
      <c r="I305" t="s">
        <v>7</v>
      </c>
      <c r="J305" s="3">
        <v>-93.6</v>
      </c>
      <c r="K305" t="str">
        <f t="shared" si="16"/>
        <v>février</v>
      </c>
      <c r="L305" t="str">
        <f t="shared" si="17"/>
        <v>Dépenses</v>
      </c>
    </row>
    <row r="306" spans="1:12" x14ac:dyDescent="0.2">
      <c r="A306" t="s">
        <v>94</v>
      </c>
      <c r="B306" t="s">
        <v>122</v>
      </c>
      <c r="C306" s="1">
        <v>8748506</v>
      </c>
      <c r="D306" s="2">
        <v>43508</v>
      </c>
      <c r="E306" s="2">
        <v>43524</v>
      </c>
      <c r="F306" t="s">
        <v>393</v>
      </c>
      <c r="G306" t="s">
        <v>254</v>
      </c>
      <c r="H306" t="s">
        <v>255</v>
      </c>
      <c r="I306" t="s">
        <v>7</v>
      </c>
      <c r="J306" s="3">
        <v>-329.77</v>
      </c>
      <c r="K306" t="str">
        <f t="shared" si="16"/>
        <v>février</v>
      </c>
      <c r="L306" t="str">
        <f t="shared" si="17"/>
        <v>Dépenses</v>
      </c>
    </row>
    <row r="307" spans="1:12" x14ac:dyDescent="0.2">
      <c r="A307" t="s">
        <v>2</v>
      </c>
      <c r="B307" t="s">
        <v>8</v>
      </c>
      <c r="D307" s="2">
        <v>43509</v>
      </c>
      <c r="E307" s="2">
        <f t="shared" ref="E307:E370" si="19">IF(A307="","",IF(A307&lt;&gt;"Carte Lux",D307,VLOOKUP(D307,Periode_datedebit_2019,3)))</f>
        <v>43535</v>
      </c>
      <c r="F307" t="s">
        <v>9</v>
      </c>
      <c r="G307" t="s">
        <v>10</v>
      </c>
      <c r="H307" t="s">
        <v>11</v>
      </c>
      <c r="I307" t="s">
        <v>7</v>
      </c>
      <c r="J307" s="3">
        <v>-3</v>
      </c>
      <c r="K307" t="str">
        <f t="shared" si="16"/>
        <v>février</v>
      </c>
      <c r="L307" t="str">
        <f t="shared" si="17"/>
        <v>Dépenses</v>
      </c>
    </row>
    <row r="308" spans="1:12" x14ac:dyDescent="0.2">
      <c r="A308" t="s">
        <v>108</v>
      </c>
      <c r="B308" t="s">
        <v>109</v>
      </c>
      <c r="C308" t="s">
        <v>394</v>
      </c>
      <c r="D308" s="2">
        <v>43509</v>
      </c>
      <c r="E308" s="2">
        <f t="shared" si="19"/>
        <v>43509</v>
      </c>
      <c r="F308" t="s">
        <v>395</v>
      </c>
      <c r="G308" t="s">
        <v>49</v>
      </c>
      <c r="H308" t="s">
        <v>23</v>
      </c>
      <c r="I308" t="s">
        <v>7</v>
      </c>
      <c r="J308" s="3">
        <f>-4.43-1.64</f>
        <v>-6.0699999999999994</v>
      </c>
      <c r="K308" t="str">
        <f t="shared" si="16"/>
        <v>février</v>
      </c>
      <c r="L308" t="str">
        <f t="shared" si="17"/>
        <v>Dépenses</v>
      </c>
    </row>
    <row r="309" spans="1:12" x14ac:dyDescent="0.2">
      <c r="A309" t="s">
        <v>108</v>
      </c>
      <c r="B309" t="s">
        <v>109</v>
      </c>
      <c r="C309" t="s">
        <v>394</v>
      </c>
      <c r="D309" s="2">
        <v>43509</v>
      </c>
      <c r="E309" s="2">
        <f t="shared" si="19"/>
        <v>43509</v>
      </c>
      <c r="F309" t="s">
        <v>396</v>
      </c>
      <c r="G309" t="s">
        <v>270</v>
      </c>
      <c r="H309" t="s">
        <v>23</v>
      </c>
      <c r="I309" t="s">
        <v>7</v>
      </c>
      <c r="J309" s="3">
        <v>-1.82</v>
      </c>
      <c r="K309" t="str">
        <f t="shared" si="16"/>
        <v>février</v>
      </c>
      <c r="L309" t="str">
        <f t="shared" si="17"/>
        <v>Dépenses</v>
      </c>
    </row>
    <row r="310" spans="1:12" x14ac:dyDescent="0.2">
      <c r="A310" t="s">
        <v>108</v>
      </c>
      <c r="B310" t="s">
        <v>109</v>
      </c>
      <c r="C310" t="s">
        <v>394</v>
      </c>
      <c r="D310" s="2">
        <v>43509</v>
      </c>
      <c r="E310" s="2">
        <f t="shared" si="19"/>
        <v>43509</v>
      </c>
      <c r="F310" t="s">
        <v>397</v>
      </c>
      <c r="G310" t="s">
        <v>127</v>
      </c>
      <c r="H310" t="s">
        <v>23</v>
      </c>
      <c r="I310" t="s">
        <v>7</v>
      </c>
      <c r="J310" s="3">
        <v>-7.24</v>
      </c>
      <c r="K310" t="str">
        <f t="shared" si="16"/>
        <v>février</v>
      </c>
      <c r="L310" t="str">
        <f t="shared" si="17"/>
        <v>Dépenses</v>
      </c>
    </row>
    <row r="311" spans="1:12" x14ac:dyDescent="0.2">
      <c r="A311" t="s">
        <v>108</v>
      </c>
      <c r="B311" t="s">
        <v>109</v>
      </c>
      <c r="C311" t="s">
        <v>394</v>
      </c>
      <c r="D311" s="2">
        <v>43509</v>
      </c>
      <c r="E311" s="2">
        <f t="shared" si="19"/>
        <v>43509</v>
      </c>
      <c r="F311" t="s">
        <v>398</v>
      </c>
      <c r="G311" t="s">
        <v>5</v>
      </c>
      <c r="H311" t="s">
        <v>23</v>
      </c>
      <c r="I311" t="s">
        <v>7</v>
      </c>
      <c r="J311" s="3">
        <f>-25.24--6.07--1.82--7.24</f>
        <v>-10.109999999999998</v>
      </c>
      <c r="K311" t="str">
        <f t="shared" si="16"/>
        <v>février</v>
      </c>
      <c r="L311" t="str">
        <f t="shared" si="17"/>
        <v>Dépenses</v>
      </c>
    </row>
    <row r="312" spans="1:12" x14ac:dyDescent="0.2">
      <c r="A312" t="s">
        <v>108</v>
      </c>
      <c r="B312" t="s">
        <v>109</v>
      </c>
      <c r="D312" s="2">
        <v>43509</v>
      </c>
      <c r="E312" s="2">
        <f t="shared" si="19"/>
        <v>43509</v>
      </c>
      <c r="F312" t="s">
        <v>399</v>
      </c>
      <c r="G312" t="s">
        <v>127</v>
      </c>
      <c r="H312" t="s">
        <v>399</v>
      </c>
      <c r="I312" t="s">
        <v>7</v>
      </c>
      <c r="J312" s="3">
        <v>-14.25</v>
      </c>
      <c r="K312" t="str">
        <f t="shared" si="16"/>
        <v>février</v>
      </c>
      <c r="L312" t="str">
        <f t="shared" si="17"/>
        <v>Dépenses</v>
      </c>
    </row>
    <row r="313" spans="1:12" x14ac:dyDescent="0.2">
      <c r="A313" t="s">
        <v>108</v>
      </c>
      <c r="B313" t="s">
        <v>109</v>
      </c>
      <c r="D313" s="2">
        <v>43509</v>
      </c>
      <c r="E313" s="2">
        <f t="shared" si="19"/>
        <v>43509</v>
      </c>
      <c r="F313" t="s">
        <v>400</v>
      </c>
      <c r="G313" t="s">
        <v>16</v>
      </c>
      <c r="H313" t="s">
        <v>141</v>
      </c>
      <c r="I313" t="s">
        <v>7</v>
      </c>
      <c r="J313" s="3">
        <v>-30.58</v>
      </c>
      <c r="K313" t="str">
        <f t="shared" si="16"/>
        <v>février</v>
      </c>
      <c r="L313" t="str">
        <f t="shared" si="17"/>
        <v>Dépenses</v>
      </c>
    </row>
    <row r="314" spans="1:12" x14ac:dyDescent="0.2">
      <c r="A314" t="s">
        <v>2</v>
      </c>
      <c r="B314" t="s">
        <v>8</v>
      </c>
      <c r="D314" s="2">
        <v>43509</v>
      </c>
      <c r="E314" s="2">
        <f t="shared" si="19"/>
        <v>43535</v>
      </c>
      <c r="F314" t="s">
        <v>9</v>
      </c>
      <c r="G314" t="s">
        <v>10</v>
      </c>
      <c r="H314" t="s">
        <v>11</v>
      </c>
      <c r="I314" t="s">
        <v>7</v>
      </c>
      <c r="J314" s="3">
        <v>-4</v>
      </c>
      <c r="K314" t="str">
        <f t="shared" si="16"/>
        <v>février</v>
      </c>
      <c r="L314" t="str">
        <f t="shared" si="17"/>
        <v>Dépenses</v>
      </c>
    </row>
    <row r="315" spans="1:12" x14ac:dyDescent="0.2">
      <c r="A315" t="s">
        <v>2</v>
      </c>
      <c r="B315" t="s">
        <v>8</v>
      </c>
      <c r="D315" s="2">
        <v>43509</v>
      </c>
      <c r="E315" s="2">
        <f t="shared" si="19"/>
        <v>43535</v>
      </c>
      <c r="F315" t="s">
        <v>401</v>
      </c>
      <c r="G315" t="s">
        <v>115</v>
      </c>
      <c r="H315" t="s">
        <v>114</v>
      </c>
      <c r="I315" t="s">
        <v>7</v>
      </c>
      <c r="J315" s="3">
        <v>-12</v>
      </c>
      <c r="K315" t="str">
        <f t="shared" si="16"/>
        <v>février</v>
      </c>
      <c r="L315" t="str">
        <f t="shared" si="17"/>
        <v>Dépenses</v>
      </c>
    </row>
    <row r="316" spans="1:12" x14ac:dyDescent="0.2">
      <c r="A316" t="s">
        <v>2</v>
      </c>
      <c r="B316" t="s">
        <v>8</v>
      </c>
      <c r="D316" s="2">
        <v>43509</v>
      </c>
      <c r="E316" s="2">
        <f t="shared" si="19"/>
        <v>43535</v>
      </c>
      <c r="F316" t="s">
        <v>402</v>
      </c>
      <c r="G316" t="s">
        <v>25</v>
      </c>
      <c r="H316" t="s">
        <v>139</v>
      </c>
      <c r="I316" t="s">
        <v>7</v>
      </c>
      <c r="J316" s="3">
        <v>-33.75</v>
      </c>
      <c r="K316" t="str">
        <f t="shared" si="16"/>
        <v>février</v>
      </c>
      <c r="L316" t="str">
        <f t="shared" si="17"/>
        <v>Dépenses</v>
      </c>
    </row>
    <row r="317" spans="1:12" x14ac:dyDescent="0.2">
      <c r="A317" t="s">
        <v>2</v>
      </c>
      <c r="B317" t="s">
        <v>8</v>
      </c>
      <c r="D317" s="2">
        <v>43510</v>
      </c>
      <c r="E317" s="2">
        <f t="shared" si="19"/>
        <v>43535</v>
      </c>
      <c r="F317" t="s">
        <v>403</v>
      </c>
      <c r="G317" t="s">
        <v>5</v>
      </c>
      <c r="I317" t="s">
        <v>7</v>
      </c>
      <c r="J317" s="3">
        <v>-3.7</v>
      </c>
      <c r="K317" t="str">
        <f t="shared" si="16"/>
        <v>février</v>
      </c>
      <c r="L317" t="str">
        <f t="shared" si="17"/>
        <v>Dépenses</v>
      </c>
    </row>
    <row r="318" spans="1:12" x14ac:dyDescent="0.2">
      <c r="A318" t="s">
        <v>108</v>
      </c>
      <c r="B318" t="s">
        <v>109</v>
      </c>
      <c r="D318" s="2">
        <v>43510</v>
      </c>
      <c r="E318" s="2">
        <f t="shared" si="19"/>
        <v>43510</v>
      </c>
      <c r="F318" t="s">
        <v>404</v>
      </c>
      <c r="G318" t="s">
        <v>16</v>
      </c>
      <c r="H318" t="s">
        <v>141</v>
      </c>
      <c r="I318" t="s">
        <v>7</v>
      </c>
      <c r="J318" s="3">
        <v>-16.45</v>
      </c>
      <c r="K318" t="str">
        <f t="shared" si="16"/>
        <v>février</v>
      </c>
      <c r="L318" t="str">
        <f t="shared" si="17"/>
        <v>Dépenses</v>
      </c>
    </row>
    <row r="319" spans="1:12" x14ac:dyDescent="0.2">
      <c r="A319" t="s">
        <v>2</v>
      </c>
      <c r="B319" t="s">
        <v>8</v>
      </c>
      <c r="C319" t="s">
        <v>405</v>
      </c>
      <c r="D319" s="2">
        <v>43510</v>
      </c>
      <c r="E319" s="2">
        <f t="shared" si="19"/>
        <v>43535</v>
      </c>
      <c r="F319" t="s">
        <v>406</v>
      </c>
      <c r="G319" t="s">
        <v>5</v>
      </c>
      <c r="H319" t="s">
        <v>64</v>
      </c>
      <c r="I319" t="s">
        <v>7</v>
      </c>
      <c r="J319" s="3">
        <f>-1.45*3-3.5</f>
        <v>-7.85</v>
      </c>
      <c r="K319" t="str">
        <f t="shared" si="16"/>
        <v>février</v>
      </c>
      <c r="L319" t="str">
        <f t="shared" si="17"/>
        <v>Dépenses</v>
      </c>
    </row>
    <row r="320" spans="1:12" x14ac:dyDescent="0.2">
      <c r="A320" t="s">
        <v>2</v>
      </c>
      <c r="B320" t="s">
        <v>8</v>
      </c>
      <c r="D320" s="2">
        <v>43510</v>
      </c>
      <c r="E320" s="2">
        <f t="shared" si="19"/>
        <v>43535</v>
      </c>
      <c r="F320" t="s">
        <v>407</v>
      </c>
      <c r="G320" t="s">
        <v>19</v>
      </c>
      <c r="H320" t="s">
        <v>20</v>
      </c>
      <c r="I320" t="s">
        <v>7</v>
      </c>
      <c r="J320" s="3">
        <v>-55</v>
      </c>
      <c r="K320" t="str">
        <f t="shared" si="16"/>
        <v>février</v>
      </c>
      <c r="L320" t="str">
        <f t="shared" si="17"/>
        <v>Dépenses</v>
      </c>
    </row>
    <row r="321" spans="1:12" x14ac:dyDescent="0.2">
      <c r="A321" t="s">
        <v>2</v>
      </c>
      <c r="B321" t="s">
        <v>8</v>
      </c>
      <c r="D321" s="2">
        <v>43510</v>
      </c>
      <c r="E321" s="2">
        <f t="shared" si="19"/>
        <v>43535</v>
      </c>
      <c r="F321" t="s">
        <v>341</v>
      </c>
      <c r="G321" t="s">
        <v>5</v>
      </c>
      <c r="H321" t="s">
        <v>22</v>
      </c>
      <c r="I321" t="s">
        <v>7</v>
      </c>
      <c r="J321" s="3">
        <v>-13.4</v>
      </c>
      <c r="K321" t="str">
        <f t="shared" si="16"/>
        <v>février</v>
      </c>
      <c r="L321" t="str">
        <f t="shared" si="17"/>
        <v>Dépenses</v>
      </c>
    </row>
    <row r="322" spans="1:12" x14ac:dyDescent="0.2">
      <c r="A322" t="s">
        <v>2</v>
      </c>
      <c r="B322" t="s">
        <v>8</v>
      </c>
      <c r="D322" s="2">
        <v>43510</v>
      </c>
      <c r="E322" s="2">
        <f t="shared" si="19"/>
        <v>43535</v>
      </c>
      <c r="F322" t="s">
        <v>408</v>
      </c>
      <c r="G322" t="s">
        <v>25</v>
      </c>
      <c r="H322" t="s">
        <v>276</v>
      </c>
      <c r="I322" t="s">
        <v>7</v>
      </c>
      <c r="J322" s="3">
        <v>-26.26</v>
      </c>
      <c r="K322" t="str">
        <f t="shared" ref="K322:K385" si="20">IF(D322="","",TEXT(D322,"Mmmm"))</f>
        <v>février</v>
      </c>
      <c r="L322" t="str">
        <f t="shared" ref="L322:L385" si="21">IF(J322="","",IF(J322&lt;0,"Dépenses","Recettes"))</f>
        <v>Dépenses</v>
      </c>
    </row>
    <row r="323" spans="1:12" x14ac:dyDescent="0.2">
      <c r="A323" t="s">
        <v>2</v>
      </c>
      <c r="B323" t="s">
        <v>8</v>
      </c>
      <c r="D323" s="2">
        <v>43510</v>
      </c>
      <c r="E323" s="2">
        <f t="shared" si="19"/>
        <v>43535</v>
      </c>
      <c r="F323" t="s">
        <v>123</v>
      </c>
      <c r="G323" t="s">
        <v>25</v>
      </c>
      <c r="H323" t="s">
        <v>409</v>
      </c>
      <c r="I323" t="s">
        <v>7</v>
      </c>
      <c r="J323" s="3">
        <v>-16</v>
      </c>
      <c r="K323" t="str">
        <f t="shared" si="20"/>
        <v>février</v>
      </c>
      <c r="L323" t="str">
        <f t="shared" si="21"/>
        <v>Dépenses</v>
      </c>
    </row>
    <row r="324" spans="1:12" x14ac:dyDescent="0.2">
      <c r="A324" t="s">
        <v>2</v>
      </c>
      <c r="B324" t="s">
        <v>8</v>
      </c>
      <c r="C324" t="s">
        <v>405</v>
      </c>
      <c r="D324" s="2">
        <v>43510</v>
      </c>
      <c r="E324" s="2">
        <f t="shared" si="19"/>
        <v>43535</v>
      </c>
      <c r="F324" t="s">
        <v>410</v>
      </c>
      <c r="G324" t="s">
        <v>132</v>
      </c>
      <c r="H324" t="s">
        <v>64</v>
      </c>
      <c r="I324" t="s">
        <v>7</v>
      </c>
      <c r="J324" s="3">
        <f>-61.18--7.85--3.49</f>
        <v>-49.839999999999996</v>
      </c>
      <c r="K324" t="str">
        <f t="shared" si="20"/>
        <v>février</v>
      </c>
      <c r="L324" t="str">
        <f t="shared" si="21"/>
        <v>Dépenses</v>
      </c>
    </row>
    <row r="325" spans="1:12" x14ac:dyDescent="0.2">
      <c r="A325" t="s">
        <v>2</v>
      </c>
      <c r="B325" t="s">
        <v>8</v>
      </c>
      <c r="C325" t="s">
        <v>405</v>
      </c>
      <c r="D325" s="2">
        <v>43510</v>
      </c>
      <c r="E325" s="2">
        <f t="shared" si="19"/>
        <v>43535</v>
      </c>
      <c r="F325" t="s">
        <v>411</v>
      </c>
      <c r="G325" t="s">
        <v>5</v>
      </c>
      <c r="H325" t="s">
        <v>64</v>
      </c>
      <c r="I325" t="s">
        <v>7</v>
      </c>
      <c r="J325" s="3">
        <v>-3.49</v>
      </c>
      <c r="K325" t="str">
        <f t="shared" si="20"/>
        <v>février</v>
      </c>
      <c r="L325" t="str">
        <f t="shared" si="21"/>
        <v>Dépenses</v>
      </c>
    </row>
    <row r="326" spans="1:12" x14ac:dyDescent="0.2">
      <c r="A326" t="s">
        <v>69</v>
      </c>
      <c r="B326" t="s">
        <v>84</v>
      </c>
      <c r="D326" s="2">
        <v>43510</v>
      </c>
      <c r="E326" s="2">
        <f t="shared" si="19"/>
        <v>43510</v>
      </c>
      <c r="F326" t="s">
        <v>412</v>
      </c>
      <c r="G326" t="s">
        <v>111</v>
      </c>
      <c r="H326" t="s">
        <v>11</v>
      </c>
      <c r="I326" t="s">
        <v>7</v>
      </c>
      <c r="J326" s="3">
        <v>44.35</v>
      </c>
      <c r="K326" t="str">
        <f t="shared" si="20"/>
        <v>février</v>
      </c>
      <c r="L326" t="str">
        <f t="shared" si="21"/>
        <v>Recettes</v>
      </c>
    </row>
    <row r="327" spans="1:12" x14ac:dyDescent="0.2">
      <c r="A327" t="s">
        <v>94</v>
      </c>
      <c r="B327" t="s">
        <v>122</v>
      </c>
      <c r="C327">
        <v>8748453</v>
      </c>
      <c r="D327" s="2">
        <v>43510</v>
      </c>
      <c r="E327" s="2">
        <f t="shared" si="19"/>
        <v>43510</v>
      </c>
      <c r="F327" t="s">
        <v>413</v>
      </c>
      <c r="G327" t="s">
        <v>118</v>
      </c>
      <c r="H327" t="s">
        <v>414</v>
      </c>
      <c r="I327" t="s">
        <v>7</v>
      </c>
      <c r="J327" s="3">
        <v>-73</v>
      </c>
      <c r="K327" t="str">
        <f t="shared" si="20"/>
        <v>février</v>
      </c>
      <c r="L327" t="str">
        <f t="shared" si="21"/>
        <v>Dépenses</v>
      </c>
    </row>
    <row r="328" spans="1:12" x14ac:dyDescent="0.2">
      <c r="A328" t="s">
        <v>2</v>
      </c>
      <c r="B328" t="s">
        <v>8</v>
      </c>
      <c r="C328" t="s">
        <v>415</v>
      </c>
      <c r="D328" s="2">
        <v>43511</v>
      </c>
      <c r="E328" s="2">
        <f t="shared" si="19"/>
        <v>43535</v>
      </c>
      <c r="F328" t="s">
        <v>281</v>
      </c>
      <c r="G328" t="s">
        <v>49</v>
      </c>
      <c r="H328" t="s">
        <v>6</v>
      </c>
      <c r="I328" t="s">
        <v>7</v>
      </c>
      <c r="J328" s="3">
        <f>-16.4+4.92</f>
        <v>-11.479999999999999</v>
      </c>
      <c r="K328" t="str">
        <f t="shared" si="20"/>
        <v>février</v>
      </c>
      <c r="L328" t="str">
        <f t="shared" si="21"/>
        <v>Dépenses</v>
      </c>
    </row>
    <row r="329" spans="1:12" x14ac:dyDescent="0.2">
      <c r="A329" t="s">
        <v>108</v>
      </c>
      <c r="B329" t="s">
        <v>109</v>
      </c>
      <c r="D329" s="2">
        <v>43511</v>
      </c>
      <c r="E329" s="2">
        <f t="shared" si="19"/>
        <v>43511</v>
      </c>
      <c r="F329" t="s">
        <v>32</v>
      </c>
      <c r="G329" t="s">
        <v>5</v>
      </c>
      <c r="I329" t="s">
        <v>7</v>
      </c>
      <c r="J329" s="3">
        <v>-5.4</v>
      </c>
      <c r="K329" t="str">
        <f t="shared" si="20"/>
        <v>février</v>
      </c>
      <c r="L329" t="str">
        <f t="shared" si="21"/>
        <v>Dépenses</v>
      </c>
    </row>
    <row r="330" spans="1:12" x14ac:dyDescent="0.2">
      <c r="A330" t="s">
        <v>108</v>
      </c>
      <c r="B330" t="s">
        <v>109</v>
      </c>
      <c r="D330" s="2">
        <v>43511</v>
      </c>
      <c r="E330" s="2">
        <f t="shared" si="19"/>
        <v>43511</v>
      </c>
      <c r="F330" t="s">
        <v>235</v>
      </c>
      <c r="G330" t="s">
        <v>39</v>
      </c>
      <c r="H330" t="s">
        <v>120</v>
      </c>
      <c r="I330" t="s">
        <v>7</v>
      </c>
      <c r="J330" s="3">
        <v>-10</v>
      </c>
      <c r="K330" t="str">
        <f t="shared" si="20"/>
        <v>février</v>
      </c>
      <c r="L330" t="str">
        <f t="shared" si="21"/>
        <v>Dépenses</v>
      </c>
    </row>
    <row r="331" spans="1:12" ht="15" x14ac:dyDescent="0.25">
      <c r="A331" t="s">
        <v>94</v>
      </c>
      <c r="B331" s="4" t="s">
        <v>70</v>
      </c>
      <c r="C331" s="7" t="s">
        <v>416</v>
      </c>
      <c r="D331" s="2">
        <v>43511</v>
      </c>
      <c r="E331" s="2">
        <f t="shared" si="19"/>
        <v>43511</v>
      </c>
      <c r="F331" s="4" t="s">
        <v>232</v>
      </c>
      <c r="G331" s="4" t="s">
        <v>79</v>
      </c>
      <c r="H331" s="4" t="s">
        <v>233</v>
      </c>
      <c r="I331" t="s">
        <v>7</v>
      </c>
      <c r="J331" s="6">
        <v>-22.1</v>
      </c>
      <c r="K331" t="str">
        <f t="shared" si="20"/>
        <v>février</v>
      </c>
      <c r="L331" t="str">
        <f t="shared" si="21"/>
        <v>Dépenses</v>
      </c>
    </row>
    <row r="332" spans="1:12" x14ac:dyDescent="0.2">
      <c r="A332" t="s">
        <v>77</v>
      </c>
      <c r="B332" t="s">
        <v>77</v>
      </c>
      <c r="D332" s="2">
        <v>43511</v>
      </c>
      <c r="E332" s="2">
        <f t="shared" si="19"/>
        <v>43511</v>
      </c>
      <c r="F332" t="s">
        <v>417</v>
      </c>
      <c r="G332" t="s">
        <v>79</v>
      </c>
      <c r="I332" t="s">
        <v>7</v>
      </c>
      <c r="J332" s="3">
        <v>30</v>
      </c>
      <c r="K332" t="str">
        <f t="shared" si="20"/>
        <v>février</v>
      </c>
      <c r="L332" t="str">
        <f t="shared" si="21"/>
        <v>Recettes</v>
      </c>
    </row>
    <row r="333" spans="1:12" x14ac:dyDescent="0.2">
      <c r="A333" t="s">
        <v>77</v>
      </c>
      <c r="B333" t="s">
        <v>77</v>
      </c>
      <c r="D333" s="2">
        <v>43511</v>
      </c>
      <c r="E333" s="2">
        <f t="shared" si="19"/>
        <v>43511</v>
      </c>
      <c r="F333" t="s">
        <v>417</v>
      </c>
      <c r="G333" t="s">
        <v>79</v>
      </c>
      <c r="I333" t="s">
        <v>7</v>
      </c>
      <c r="J333" s="3">
        <v>35</v>
      </c>
      <c r="K333" t="str">
        <f t="shared" si="20"/>
        <v>février</v>
      </c>
      <c r="L333" t="str">
        <f t="shared" si="21"/>
        <v>Recettes</v>
      </c>
    </row>
    <row r="334" spans="1:12" x14ac:dyDescent="0.2">
      <c r="A334" t="s">
        <v>2</v>
      </c>
      <c r="B334" t="s">
        <v>8</v>
      </c>
      <c r="C334" t="s">
        <v>415</v>
      </c>
      <c r="D334" s="2">
        <v>43511</v>
      </c>
      <c r="E334" s="2">
        <f t="shared" si="19"/>
        <v>43535</v>
      </c>
      <c r="F334" t="s">
        <v>418</v>
      </c>
      <c r="G334" t="s">
        <v>270</v>
      </c>
      <c r="H334" t="s">
        <v>6</v>
      </c>
      <c r="I334" t="s">
        <v>7</v>
      </c>
      <c r="J334" s="3">
        <f>-29.9+(29.9*0.4)</f>
        <v>-17.939999999999998</v>
      </c>
      <c r="K334" t="str">
        <f t="shared" si="20"/>
        <v>février</v>
      </c>
      <c r="L334" t="str">
        <f t="shared" si="21"/>
        <v>Dépenses</v>
      </c>
    </row>
    <row r="335" spans="1:12" x14ac:dyDescent="0.2">
      <c r="A335" t="s">
        <v>2</v>
      </c>
      <c r="B335" t="s">
        <v>8</v>
      </c>
      <c r="C335" t="s">
        <v>415</v>
      </c>
      <c r="D335" s="2">
        <v>43511</v>
      </c>
      <c r="E335" s="2">
        <f t="shared" si="19"/>
        <v>43535</v>
      </c>
      <c r="F335" t="s">
        <v>5</v>
      </c>
      <c r="G335" t="s">
        <v>5</v>
      </c>
      <c r="H335" t="s">
        <v>6</v>
      </c>
      <c r="I335" t="s">
        <v>7</v>
      </c>
      <c r="J335" s="3">
        <f>-146.92--17.94--11.48</f>
        <v>-117.49999999999999</v>
      </c>
      <c r="K335" t="str">
        <f t="shared" si="20"/>
        <v>février</v>
      </c>
      <c r="L335" t="str">
        <f t="shared" si="21"/>
        <v>Dépenses</v>
      </c>
    </row>
    <row r="336" spans="1:12" x14ac:dyDescent="0.2">
      <c r="A336" t="s">
        <v>77</v>
      </c>
      <c r="B336" t="s">
        <v>113</v>
      </c>
      <c r="D336" s="2">
        <v>43511</v>
      </c>
      <c r="E336" s="2">
        <f t="shared" si="19"/>
        <v>43511</v>
      </c>
      <c r="F336" t="s">
        <v>419</v>
      </c>
      <c r="G336" t="s">
        <v>115</v>
      </c>
      <c r="H336" t="s">
        <v>22</v>
      </c>
      <c r="I336" t="s">
        <v>7</v>
      </c>
      <c r="J336" s="3">
        <v>-7.25</v>
      </c>
      <c r="K336" t="str">
        <f t="shared" si="20"/>
        <v>février</v>
      </c>
      <c r="L336" t="str">
        <f t="shared" si="21"/>
        <v>Dépenses</v>
      </c>
    </row>
    <row r="337" spans="1:12" x14ac:dyDescent="0.2">
      <c r="A337" t="s">
        <v>2</v>
      </c>
      <c r="B337" t="s">
        <v>8</v>
      </c>
      <c r="D337" s="2">
        <v>43512</v>
      </c>
      <c r="E337" s="2">
        <f t="shared" si="19"/>
        <v>43535</v>
      </c>
      <c r="F337" t="s">
        <v>5</v>
      </c>
      <c r="G337" t="s">
        <v>5</v>
      </c>
      <c r="H337" t="s">
        <v>6</v>
      </c>
      <c r="I337" t="s">
        <v>7</v>
      </c>
      <c r="J337" s="3">
        <v>-50.81</v>
      </c>
      <c r="K337" t="str">
        <f t="shared" si="20"/>
        <v>février</v>
      </c>
      <c r="L337" t="str">
        <f t="shared" si="21"/>
        <v>Dépenses</v>
      </c>
    </row>
    <row r="338" spans="1:12" ht="15" x14ac:dyDescent="0.25">
      <c r="A338" t="s">
        <v>94</v>
      </c>
      <c r="B338" s="4" t="s">
        <v>70</v>
      </c>
      <c r="C338" s="7" t="s">
        <v>420</v>
      </c>
      <c r="D338" s="2">
        <v>43512</v>
      </c>
      <c r="E338" s="2">
        <f t="shared" si="19"/>
        <v>43512</v>
      </c>
      <c r="F338" s="4" t="s">
        <v>240</v>
      </c>
      <c r="G338" s="4" t="s">
        <v>73</v>
      </c>
      <c r="H338" s="4" t="s">
        <v>241</v>
      </c>
      <c r="I338" t="s">
        <v>7</v>
      </c>
      <c r="J338" s="6">
        <v>-164.14</v>
      </c>
      <c r="K338" t="str">
        <f t="shared" si="20"/>
        <v>février</v>
      </c>
      <c r="L338" t="str">
        <f t="shared" si="21"/>
        <v>Dépenses</v>
      </c>
    </row>
    <row r="339" spans="1:12" ht="15" x14ac:dyDescent="0.25">
      <c r="A339" t="s">
        <v>94</v>
      </c>
      <c r="B339" s="4" t="s">
        <v>70</v>
      </c>
      <c r="C339" s="7" t="s">
        <v>421</v>
      </c>
      <c r="D339" s="2">
        <v>43512</v>
      </c>
      <c r="E339" s="2">
        <f t="shared" si="19"/>
        <v>43512</v>
      </c>
      <c r="F339" t="s">
        <v>243</v>
      </c>
      <c r="G339" t="s">
        <v>244</v>
      </c>
      <c r="H339" t="s">
        <v>245</v>
      </c>
      <c r="I339" t="s">
        <v>7</v>
      </c>
      <c r="J339" s="6">
        <v>-36.479999999999997</v>
      </c>
      <c r="K339" t="str">
        <f t="shared" si="20"/>
        <v>février</v>
      </c>
      <c r="L339" t="str">
        <f t="shared" si="21"/>
        <v>Dépenses</v>
      </c>
    </row>
    <row r="340" spans="1:12" ht="15" x14ac:dyDescent="0.25">
      <c r="A340" t="s">
        <v>94</v>
      </c>
      <c r="B340" s="4" t="s">
        <v>70</v>
      </c>
      <c r="C340" s="7" t="s">
        <v>422</v>
      </c>
      <c r="D340" s="2">
        <v>43512</v>
      </c>
      <c r="E340" s="2">
        <f t="shared" si="19"/>
        <v>43512</v>
      </c>
      <c r="F340" t="s">
        <v>247</v>
      </c>
      <c r="G340" t="s">
        <v>134</v>
      </c>
      <c r="H340" t="s">
        <v>319</v>
      </c>
      <c r="I340" t="s">
        <v>7</v>
      </c>
      <c r="J340" s="6">
        <v>-38</v>
      </c>
      <c r="K340" t="str">
        <f t="shared" si="20"/>
        <v>février</v>
      </c>
      <c r="L340" t="str">
        <f t="shared" si="21"/>
        <v>Dépenses</v>
      </c>
    </row>
    <row r="341" spans="1:12" ht="15" x14ac:dyDescent="0.25">
      <c r="A341" t="s">
        <v>94</v>
      </c>
      <c r="B341" s="4" t="s">
        <v>70</v>
      </c>
      <c r="C341" s="7" t="s">
        <v>423</v>
      </c>
      <c r="D341" s="2">
        <v>43512</v>
      </c>
      <c r="E341" s="2">
        <f t="shared" si="19"/>
        <v>43512</v>
      </c>
      <c r="F341" t="s">
        <v>249</v>
      </c>
      <c r="G341" t="s">
        <v>134</v>
      </c>
      <c r="H341" t="s">
        <v>319</v>
      </c>
      <c r="I341" t="s">
        <v>7</v>
      </c>
      <c r="J341" s="6">
        <v>-32</v>
      </c>
      <c r="K341" t="str">
        <f t="shared" si="20"/>
        <v>février</v>
      </c>
      <c r="L341" t="str">
        <f t="shared" si="21"/>
        <v>Dépenses</v>
      </c>
    </row>
    <row r="342" spans="1:12" x14ac:dyDescent="0.2">
      <c r="A342" t="s">
        <v>2</v>
      </c>
      <c r="B342" t="s">
        <v>8</v>
      </c>
      <c r="D342" s="2">
        <v>43512</v>
      </c>
      <c r="E342" s="2">
        <f t="shared" si="19"/>
        <v>43535</v>
      </c>
      <c r="F342" t="s">
        <v>32</v>
      </c>
      <c r="G342" t="s">
        <v>5</v>
      </c>
      <c r="H342" t="s">
        <v>33</v>
      </c>
      <c r="I342" t="s">
        <v>7</v>
      </c>
      <c r="J342" s="3">
        <v>-3.3</v>
      </c>
      <c r="K342" t="str">
        <f t="shared" si="20"/>
        <v>février</v>
      </c>
      <c r="L342" t="str">
        <f t="shared" si="21"/>
        <v>Dépenses</v>
      </c>
    </row>
    <row r="343" spans="1:12" x14ac:dyDescent="0.2">
      <c r="A343" t="s">
        <v>77</v>
      </c>
      <c r="B343" t="s">
        <v>113</v>
      </c>
      <c r="D343" s="2">
        <v>43513</v>
      </c>
      <c r="E343" s="2">
        <f t="shared" si="19"/>
        <v>43513</v>
      </c>
      <c r="F343" t="s">
        <v>424</v>
      </c>
      <c r="G343" t="s">
        <v>5</v>
      </c>
      <c r="H343" t="s">
        <v>50</v>
      </c>
      <c r="I343" t="s">
        <v>7</v>
      </c>
      <c r="J343" s="3">
        <v>-15.68</v>
      </c>
      <c r="K343" t="str">
        <f t="shared" si="20"/>
        <v>février</v>
      </c>
      <c r="L343" t="str">
        <f t="shared" si="21"/>
        <v>Dépenses</v>
      </c>
    </row>
    <row r="344" spans="1:12" x14ac:dyDescent="0.2">
      <c r="A344" t="s">
        <v>2</v>
      </c>
      <c r="B344" t="s">
        <v>8</v>
      </c>
      <c r="D344" s="2">
        <v>43514</v>
      </c>
      <c r="E344" s="2">
        <f t="shared" si="19"/>
        <v>43535</v>
      </c>
      <c r="F344" t="s">
        <v>177</v>
      </c>
      <c r="G344" t="s">
        <v>111</v>
      </c>
      <c r="H344" t="s">
        <v>178</v>
      </c>
      <c r="I344" t="s">
        <v>7</v>
      </c>
      <c r="J344" s="3">
        <v>-17.3</v>
      </c>
      <c r="K344" t="str">
        <f t="shared" si="20"/>
        <v>février</v>
      </c>
      <c r="L344" t="str">
        <f t="shared" si="21"/>
        <v>Dépenses</v>
      </c>
    </row>
    <row r="345" spans="1:12" x14ac:dyDescent="0.2">
      <c r="A345" t="s">
        <v>108</v>
      </c>
      <c r="B345" t="s">
        <v>109</v>
      </c>
      <c r="D345" s="2">
        <v>43514</v>
      </c>
      <c r="E345" s="2">
        <f t="shared" si="19"/>
        <v>43514</v>
      </c>
      <c r="F345" t="s">
        <v>425</v>
      </c>
      <c r="G345" t="s">
        <v>5</v>
      </c>
      <c r="H345" t="s">
        <v>23</v>
      </c>
      <c r="I345" t="s">
        <v>7</v>
      </c>
      <c r="J345" s="3">
        <v>-1.25</v>
      </c>
      <c r="K345" t="str">
        <f t="shared" si="20"/>
        <v>février</v>
      </c>
      <c r="L345" t="str">
        <f t="shared" si="21"/>
        <v>Dépenses</v>
      </c>
    </row>
    <row r="346" spans="1:12" x14ac:dyDescent="0.2">
      <c r="A346" t="s">
        <v>108</v>
      </c>
      <c r="B346" t="s">
        <v>109</v>
      </c>
      <c r="D346" s="2">
        <v>43514</v>
      </c>
      <c r="E346" s="2">
        <f t="shared" si="19"/>
        <v>43514</v>
      </c>
      <c r="F346" t="s">
        <v>426</v>
      </c>
      <c r="G346" t="s">
        <v>63</v>
      </c>
      <c r="H346" t="s">
        <v>64</v>
      </c>
      <c r="I346" t="s">
        <v>7</v>
      </c>
      <c r="J346" s="3">
        <v>-37.21</v>
      </c>
      <c r="K346" t="str">
        <f t="shared" si="20"/>
        <v>février</v>
      </c>
      <c r="L346" t="str">
        <f t="shared" si="21"/>
        <v>Dépenses</v>
      </c>
    </row>
    <row r="347" spans="1:12" x14ac:dyDescent="0.2">
      <c r="A347" t="s">
        <v>108</v>
      </c>
      <c r="B347" t="s">
        <v>109</v>
      </c>
      <c r="D347" s="2">
        <v>43514</v>
      </c>
      <c r="E347" s="2">
        <f t="shared" si="19"/>
        <v>43514</v>
      </c>
      <c r="F347" t="s">
        <v>427</v>
      </c>
      <c r="G347" t="s">
        <v>16</v>
      </c>
      <c r="H347" t="s">
        <v>326</v>
      </c>
      <c r="I347" t="s">
        <v>7</v>
      </c>
      <c r="J347" s="3">
        <v>-39</v>
      </c>
      <c r="K347" t="str">
        <f t="shared" si="20"/>
        <v>février</v>
      </c>
      <c r="L347" t="str">
        <f t="shared" si="21"/>
        <v>Dépenses</v>
      </c>
    </row>
    <row r="348" spans="1:12" x14ac:dyDescent="0.2">
      <c r="A348" t="s">
        <v>2</v>
      </c>
      <c r="B348" t="s">
        <v>8</v>
      </c>
      <c r="D348" s="2">
        <v>43514</v>
      </c>
      <c r="E348" s="2">
        <f t="shared" si="19"/>
        <v>43535</v>
      </c>
      <c r="F348" t="s">
        <v>428</v>
      </c>
      <c r="G348" t="s">
        <v>127</v>
      </c>
      <c r="H348" t="s">
        <v>429</v>
      </c>
      <c r="I348" t="s">
        <v>7</v>
      </c>
      <c r="J348" s="3">
        <v>-46.97</v>
      </c>
      <c r="K348" t="str">
        <f t="shared" si="20"/>
        <v>février</v>
      </c>
      <c r="L348" t="str">
        <f t="shared" si="21"/>
        <v>Dépenses</v>
      </c>
    </row>
    <row r="349" spans="1:12" x14ac:dyDescent="0.2">
      <c r="A349" t="s">
        <v>77</v>
      </c>
      <c r="B349" t="s">
        <v>77</v>
      </c>
      <c r="D349" s="2">
        <v>43514</v>
      </c>
      <c r="E349" s="2">
        <f t="shared" si="19"/>
        <v>43514</v>
      </c>
      <c r="F349" t="s">
        <v>428</v>
      </c>
      <c r="G349" t="s">
        <v>127</v>
      </c>
      <c r="H349" t="s">
        <v>430</v>
      </c>
      <c r="I349" t="s">
        <v>7</v>
      </c>
      <c r="J349" s="3">
        <v>50</v>
      </c>
      <c r="K349" t="str">
        <f t="shared" si="20"/>
        <v>février</v>
      </c>
      <c r="L349" t="str">
        <f t="shared" si="21"/>
        <v>Recettes</v>
      </c>
    </row>
    <row r="350" spans="1:12" x14ac:dyDescent="0.2">
      <c r="A350" t="s">
        <v>108</v>
      </c>
      <c r="B350" t="s">
        <v>109</v>
      </c>
      <c r="D350" s="2">
        <v>43516</v>
      </c>
      <c r="E350" s="2">
        <f t="shared" si="19"/>
        <v>43516</v>
      </c>
      <c r="F350" t="s">
        <v>431</v>
      </c>
      <c r="G350" t="s">
        <v>16</v>
      </c>
      <c r="H350" t="s">
        <v>141</v>
      </c>
      <c r="I350" t="s">
        <v>7</v>
      </c>
      <c r="J350" s="3">
        <v>-11.69</v>
      </c>
      <c r="K350" t="str">
        <f t="shared" si="20"/>
        <v>février</v>
      </c>
      <c r="L350" t="str">
        <f t="shared" si="21"/>
        <v>Dépenses</v>
      </c>
    </row>
    <row r="351" spans="1:12" x14ac:dyDescent="0.2">
      <c r="A351" t="s">
        <v>108</v>
      </c>
      <c r="B351" t="s">
        <v>109</v>
      </c>
      <c r="D351" s="2">
        <v>43516</v>
      </c>
      <c r="E351" s="2">
        <f t="shared" si="19"/>
        <v>43516</v>
      </c>
      <c r="F351" t="s">
        <v>432</v>
      </c>
      <c r="G351" t="s">
        <v>5</v>
      </c>
      <c r="H351" t="s">
        <v>348</v>
      </c>
      <c r="I351" t="s">
        <v>7</v>
      </c>
      <c r="J351" s="3">
        <v>-2.34</v>
      </c>
      <c r="K351" t="str">
        <f t="shared" si="20"/>
        <v>février</v>
      </c>
      <c r="L351" t="str">
        <f t="shared" si="21"/>
        <v>Dépenses</v>
      </c>
    </row>
    <row r="352" spans="1:12" x14ac:dyDescent="0.2">
      <c r="A352" t="s">
        <v>108</v>
      </c>
      <c r="B352" t="s">
        <v>109</v>
      </c>
      <c r="D352" s="2">
        <v>43516</v>
      </c>
      <c r="E352" s="2">
        <f t="shared" si="19"/>
        <v>43516</v>
      </c>
      <c r="F352" t="s">
        <v>433</v>
      </c>
      <c r="G352" t="s">
        <v>5</v>
      </c>
      <c r="H352" t="s">
        <v>23</v>
      </c>
      <c r="I352" t="s">
        <v>7</v>
      </c>
      <c r="J352" s="3">
        <v>-2.25</v>
      </c>
      <c r="K352" t="str">
        <f t="shared" si="20"/>
        <v>février</v>
      </c>
      <c r="L352" t="str">
        <f t="shared" si="21"/>
        <v>Dépenses</v>
      </c>
    </row>
    <row r="353" spans="1:12" x14ac:dyDescent="0.2">
      <c r="A353" t="s">
        <v>69</v>
      </c>
      <c r="B353" s="4" t="s">
        <v>84</v>
      </c>
      <c r="D353" s="2">
        <v>43516</v>
      </c>
      <c r="E353" s="2">
        <f t="shared" si="19"/>
        <v>43516</v>
      </c>
      <c r="F353" t="s">
        <v>434</v>
      </c>
      <c r="G353" t="s">
        <v>111</v>
      </c>
      <c r="H353" t="s">
        <v>362</v>
      </c>
      <c r="I353" t="s">
        <v>7</v>
      </c>
      <c r="J353" s="3">
        <v>67.75</v>
      </c>
      <c r="K353" t="str">
        <f t="shared" si="20"/>
        <v>février</v>
      </c>
      <c r="L353" t="str">
        <f t="shared" si="21"/>
        <v>Recettes</v>
      </c>
    </row>
    <row r="354" spans="1:12" x14ac:dyDescent="0.2">
      <c r="A354" t="s">
        <v>2</v>
      </c>
      <c r="B354" t="s">
        <v>3</v>
      </c>
      <c r="C354" s="7" t="s">
        <v>435</v>
      </c>
      <c r="D354" s="2">
        <v>43516</v>
      </c>
      <c r="E354" s="2">
        <f t="shared" si="19"/>
        <v>43535</v>
      </c>
      <c r="F354" t="s">
        <v>305</v>
      </c>
      <c r="G354" t="s">
        <v>49</v>
      </c>
      <c r="H354" t="s">
        <v>6</v>
      </c>
      <c r="I354" t="s">
        <v>7</v>
      </c>
      <c r="J354" s="3">
        <v>-10.1</v>
      </c>
      <c r="K354" t="str">
        <f t="shared" si="20"/>
        <v>février</v>
      </c>
      <c r="L354" t="str">
        <f t="shared" si="21"/>
        <v>Dépenses</v>
      </c>
    </row>
    <row r="355" spans="1:12" x14ac:dyDescent="0.2">
      <c r="A355" t="s">
        <v>2</v>
      </c>
      <c r="B355" t="s">
        <v>3</v>
      </c>
      <c r="C355" s="7" t="s">
        <v>435</v>
      </c>
      <c r="D355" s="2">
        <v>43516</v>
      </c>
      <c r="E355" s="2">
        <f t="shared" si="19"/>
        <v>43535</v>
      </c>
      <c r="F355" t="s">
        <v>5</v>
      </c>
      <c r="G355" t="s">
        <v>5</v>
      </c>
      <c r="H355" t="s">
        <v>6</v>
      </c>
      <c r="I355" t="s">
        <v>7</v>
      </c>
      <c r="J355" s="3">
        <f>-33.95--10.1</f>
        <v>-23.85</v>
      </c>
      <c r="K355" t="str">
        <f t="shared" si="20"/>
        <v>février</v>
      </c>
      <c r="L355" t="str">
        <f t="shared" si="21"/>
        <v>Dépenses</v>
      </c>
    </row>
    <row r="356" spans="1:12" x14ac:dyDescent="0.2">
      <c r="A356" t="s">
        <v>108</v>
      </c>
      <c r="B356" t="s">
        <v>109</v>
      </c>
      <c r="D356" s="2">
        <v>43517</v>
      </c>
      <c r="E356" s="2">
        <f t="shared" si="19"/>
        <v>43517</v>
      </c>
      <c r="F356" t="s">
        <v>436</v>
      </c>
      <c r="G356" t="s">
        <v>5</v>
      </c>
      <c r="H356" t="s">
        <v>23</v>
      </c>
      <c r="I356" t="s">
        <v>7</v>
      </c>
      <c r="J356" s="3">
        <v>-2.2000000000000002</v>
      </c>
      <c r="K356" t="str">
        <f t="shared" si="20"/>
        <v>février</v>
      </c>
      <c r="L356" t="str">
        <f t="shared" si="21"/>
        <v>Dépenses</v>
      </c>
    </row>
    <row r="357" spans="1:12" x14ac:dyDescent="0.2">
      <c r="A357" t="s">
        <v>108</v>
      </c>
      <c r="B357" t="s">
        <v>109</v>
      </c>
      <c r="D357" s="2">
        <v>43518</v>
      </c>
      <c r="E357" s="2">
        <f t="shared" si="19"/>
        <v>43518</v>
      </c>
      <c r="F357" t="s">
        <v>437</v>
      </c>
      <c r="G357" t="s">
        <v>5</v>
      </c>
      <c r="H357" t="s">
        <v>23</v>
      </c>
      <c r="I357" t="s">
        <v>7</v>
      </c>
      <c r="J357" s="3">
        <v>-3.85</v>
      </c>
      <c r="K357" t="str">
        <f t="shared" si="20"/>
        <v>février</v>
      </c>
      <c r="L357" t="str">
        <f t="shared" si="21"/>
        <v>Dépenses</v>
      </c>
    </row>
    <row r="358" spans="1:12" x14ac:dyDescent="0.2">
      <c r="A358" t="s">
        <v>69</v>
      </c>
      <c r="B358" t="s">
        <v>137</v>
      </c>
      <c r="D358" s="2">
        <v>43518</v>
      </c>
      <c r="E358" s="2">
        <f t="shared" si="19"/>
        <v>43518</v>
      </c>
      <c r="F358" t="s">
        <v>438</v>
      </c>
      <c r="G358" t="s">
        <v>270</v>
      </c>
      <c r="H358" t="s">
        <v>439</v>
      </c>
      <c r="I358" t="s">
        <v>7</v>
      </c>
      <c r="J358" s="3">
        <v>-25.98</v>
      </c>
      <c r="K358" t="str">
        <f t="shared" si="20"/>
        <v>février</v>
      </c>
      <c r="L358" t="str">
        <f t="shared" si="21"/>
        <v>Dépenses</v>
      </c>
    </row>
    <row r="359" spans="1:12" x14ac:dyDescent="0.2">
      <c r="A359" t="s">
        <v>2</v>
      </c>
      <c r="B359" t="s">
        <v>3</v>
      </c>
      <c r="C359" t="s">
        <v>440</v>
      </c>
      <c r="D359" s="2">
        <v>43518</v>
      </c>
      <c r="E359" s="2">
        <f t="shared" si="19"/>
        <v>43535</v>
      </c>
      <c r="F359" t="s">
        <v>49</v>
      </c>
      <c r="G359" t="s">
        <v>49</v>
      </c>
      <c r="H359" t="s">
        <v>6</v>
      </c>
      <c r="I359" t="s">
        <v>7</v>
      </c>
      <c r="J359" s="3">
        <f>-4.43-2.9</f>
        <v>-7.33</v>
      </c>
      <c r="K359" t="str">
        <f t="shared" si="20"/>
        <v>février</v>
      </c>
      <c r="L359" t="str">
        <f t="shared" si="21"/>
        <v>Dépenses</v>
      </c>
    </row>
    <row r="360" spans="1:12" x14ac:dyDescent="0.2">
      <c r="A360" t="s">
        <v>2</v>
      </c>
      <c r="B360" t="s">
        <v>3</v>
      </c>
      <c r="C360" t="s">
        <v>440</v>
      </c>
      <c r="D360" s="2">
        <v>43518</v>
      </c>
      <c r="E360" s="2">
        <f t="shared" si="19"/>
        <v>43535</v>
      </c>
      <c r="F360" t="s">
        <v>5</v>
      </c>
      <c r="G360" t="s">
        <v>5</v>
      </c>
      <c r="H360" t="s">
        <v>6</v>
      </c>
      <c r="I360" t="s">
        <v>7</v>
      </c>
      <c r="J360" s="3">
        <f>-44.86--7.33</f>
        <v>-37.53</v>
      </c>
      <c r="K360" t="str">
        <f t="shared" si="20"/>
        <v>février</v>
      </c>
      <c r="L360" t="str">
        <f t="shared" si="21"/>
        <v>Dépenses</v>
      </c>
    </row>
    <row r="361" spans="1:12" x14ac:dyDescent="0.2">
      <c r="A361" t="s">
        <v>77</v>
      </c>
      <c r="B361" t="s">
        <v>77</v>
      </c>
      <c r="D361" s="2">
        <v>43519</v>
      </c>
      <c r="E361" s="2">
        <f t="shared" si="19"/>
        <v>43519</v>
      </c>
      <c r="F361" t="s">
        <v>441</v>
      </c>
      <c r="G361" t="s">
        <v>79</v>
      </c>
      <c r="H361" t="s">
        <v>442</v>
      </c>
      <c r="I361" t="s">
        <v>7</v>
      </c>
      <c r="J361" s="3">
        <v>60</v>
      </c>
      <c r="K361" t="str">
        <f t="shared" si="20"/>
        <v>février</v>
      </c>
      <c r="L361" t="str">
        <f t="shared" si="21"/>
        <v>Recettes</v>
      </c>
    </row>
    <row r="362" spans="1:12" ht="15" x14ac:dyDescent="0.25">
      <c r="A362" t="s">
        <v>69</v>
      </c>
      <c r="B362" s="4" t="s">
        <v>70</v>
      </c>
      <c r="C362" s="7" t="s">
        <v>443</v>
      </c>
      <c r="D362" s="2">
        <v>43520</v>
      </c>
      <c r="E362" s="2">
        <f t="shared" si="19"/>
        <v>43520</v>
      </c>
      <c r="F362" t="s">
        <v>285</v>
      </c>
      <c r="G362" t="s">
        <v>199</v>
      </c>
      <c r="H362" t="s">
        <v>74</v>
      </c>
      <c r="I362" t="s">
        <v>7</v>
      </c>
      <c r="J362" s="6">
        <v>3331.24</v>
      </c>
      <c r="K362" t="str">
        <f t="shared" si="20"/>
        <v>février</v>
      </c>
      <c r="L362" t="str">
        <f t="shared" si="21"/>
        <v>Recettes</v>
      </c>
    </row>
    <row r="363" spans="1:12" x14ac:dyDescent="0.2">
      <c r="A363" t="s">
        <v>69</v>
      </c>
      <c r="B363" t="s">
        <v>137</v>
      </c>
      <c r="D363" s="2">
        <v>43520</v>
      </c>
      <c r="E363" s="2">
        <f t="shared" si="19"/>
        <v>43520</v>
      </c>
      <c r="F363" t="s">
        <v>444</v>
      </c>
      <c r="G363" t="s">
        <v>19</v>
      </c>
      <c r="I363" t="s">
        <v>7</v>
      </c>
      <c r="J363" s="3">
        <v>-15.95</v>
      </c>
      <c r="K363" t="str">
        <f t="shared" si="20"/>
        <v>février</v>
      </c>
      <c r="L363" t="str">
        <f t="shared" si="21"/>
        <v>Dépenses</v>
      </c>
    </row>
    <row r="364" spans="1:12" x14ac:dyDescent="0.2">
      <c r="A364" t="s">
        <v>77</v>
      </c>
      <c r="B364" t="s">
        <v>113</v>
      </c>
      <c r="D364" s="2">
        <v>43520</v>
      </c>
      <c r="E364" s="2">
        <f t="shared" si="19"/>
        <v>43520</v>
      </c>
      <c r="F364" t="s">
        <v>114</v>
      </c>
      <c r="G364" t="s">
        <v>115</v>
      </c>
      <c r="H364" t="s">
        <v>114</v>
      </c>
      <c r="I364" t="s">
        <v>7</v>
      </c>
      <c r="J364" s="3">
        <v>-14.5</v>
      </c>
      <c r="K364" t="str">
        <f t="shared" si="20"/>
        <v>février</v>
      </c>
      <c r="L364" t="str">
        <f t="shared" si="21"/>
        <v>Dépenses</v>
      </c>
    </row>
    <row r="365" spans="1:12" x14ac:dyDescent="0.2">
      <c r="A365" t="s">
        <v>2</v>
      </c>
      <c r="B365" t="s">
        <v>8</v>
      </c>
      <c r="D365" s="2">
        <v>43521</v>
      </c>
      <c r="E365" s="2">
        <f t="shared" si="19"/>
        <v>43566</v>
      </c>
      <c r="F365" t="s">
        <v>445</v>
      </c>
      <c r="G365" t="s">
        <v>111</v>
      </c>
      <c r="H365" t="s">
        <v>446</v>
      </c>
      <c r="I365" t="s">
        <v>7</v>
      </c>
      <c r="J365" s="3">
        <v>-96.49</v>
      </c>
      <c r="K365" t="str">
        <f t="shared" si="20"/>
        <v>février</v>
      </c>
      <c r="L365" t="str">
        <f t="shared" si="21"/>
        <v>Dépenses</v>
      </c>
    </row>
    <row r="366" spans="1:12" x14ac:dyDescent="0.2">
      <c r="A366" t="s">
        <v>2</v>
      </c>
      <c r="B366" t="s">
        <v>8</v>
      </c>
      <c r="D366" s="2">
        <v>43521</v>
      </c>
      <c r="E366" s="2">
        <f t="shared" si="19"/>
        <v>43566</v>
      </c>
      <c r="F366" t="s">
        <v>32</v>
      </c>
      <c r="G366" t="s">
        <v>5</v>
      </c>
      <c r="H366" t="s">
        <v>33</v>
      </c>
      <c r="I366" t="s">
        <v>7</v>
      </c>
      <c r="J366" s="3">
        <v>-3.3</v>
      </c>
      <c r="K366" t="str">
        <f t="shared" si="20"/>
        <v>février</v>
      </c>
      <c r="L366" t="str">
        <f t="shared" si="21"/>
        <v>Dépenses</v>
      </c>
    </row>
    <row r="367" spans="1:12" x14ac:dyDescent="0.2">
      <c r="A367" t="s">
        <v>2</v>
      </c>
      <c r="B367" t="s">
        <v>8</v>
      </c>
      <c r="D367" s="2">
        <v>43521</v>
      </c>
      <c r="E367" s="2">
        <f t="shared" si="19"/>
        <v>43566</v>
      </c>
      <c r="F367" t="s">
        <v>447</v>
      </c>
      <c r="G367" t="s">
        <v>111</v>
      </c>
      <c r="H367" t="s">
        <v>178</v>
      </c>
      <c r="I367" t="s">
        <v>7</v>
      </c>
      <c r="J367" s="3">
        <v>-49.95</v>
      </c>
      <c r="K367" t="str">
        <f t="shared" si="20"/>
        <v>février</v>
      </c>
      <c r="L367" t="str">
        <f t="shared" si="21"/>
        <v>Dépenses</v>
      </c>
    </row>
    <row r="368" spans="1:12" x14ac:dyDescent="0.2">
      <c r="A368" t="s">
        <v>2</v>
      </c>
      <c r="B368" t="s">
        <v>3</v>
      </c>
      <c r="C368" t="s">
        <v>448</v>
      </c>
      <c r="D368" s="2">
        <v>43521</v>
      </c>
      <c r="E368" s="2">
        <f t="shared" si="19"/>
        <v>43566</v>
      </c>
      <c r="F368" t="s">
        <v>182</v>
      </c>
      <c r="G368" t="s">
        <v>49</v>
      </c>
      <c r="H368" t="s">
        <v>6</v>
      </c>
      <c r="I368" t="s">
        <v>7</v>
      </c>
      <c r="J368" s="3">
        <f>-4.95-3.25-6.7-4.45</f>
        <v>-19.349999999999998</v>
      </c>
      <c r="K368" t="str">
        <f t="shared" si="20"/>
        <v>février</v>
      </c>
      <c r="L368" t="str">
        <f t="shared" si="21"/>
        <v>Dépenses</v>
      </c>
    </row>
    <row r="369" spans="1:12" x14ac:dyDescent="0.2">
      <c r="A369" t="s">
        <v>2</v>
      </c>
      <c r="B369" t="s">
        <v>3</v>
      </c>
      <c r="C369" t="s">
        <v>448</v>
      </c>
      <c r="D369" s="2">
        <v>43521</v>
      </c>
      <c r="E369" s="2">
        <f t="shared" si="19"/>
        <v>43566</v>
      </c>
      <c r="F369" t="s">
        <v>111</v>
      </c>
      <c r="G369" t="s">
        <v>118</v>
      </c>
      <c r="H369" t="s">
        <v>6</v>
      </c>
      <c r="I369" t="s">
        <v>7</v>
      </c>
      <c r="J369" s="3">
        <v>-8.39</v>
      </c>
      <c r="K369" t="str">
        <f t="shared" si="20"/>
        <v>février</v>
      </c>
      <c r="L369" t="str">
        <f t="shared" si="21"/>
        <v>Dépenses</v>
      </c>
    </row>
    <row r="370" spans="1:12" x14ac:dyDescent="0.2">
      <c r="A370" t="s">
        <v>2</v>
      </c>
      <c r="B370" t="s">
        <v>3</v>
      </c>
      <c r="C370" t="s">
        <v>448</v>
      </c>
      <c r="D370" s="2">
        <v>43521</v>
      </c>
      <c r="E370" s="2">
        <f t="shared" si="19"/>
        <v>43566</v>
      </c>
      <c r="F370" t="s">
        <v>449</v>
      </c>
      <c r="G370" t="s">
        <v>270</v>
      </c>
      <c r="H370" t="s">
        <v>6</v>
      </c>
      <c r="I370" t="s">
        <v>7</v>
      </c>
      <c r="J370" s="3">
        <v>-1.95</v>
      </c>
      <c r="K370" t="str">
        <f t="shared" si="20"/>
        <v>février</v>
      </c>
      <c r="L370" t="str">
        <f t="shared" si="21"/>
        <v>Dépenses</v>
      </c>
    </row>
    <row r="371" spans="1:12" x14ac:dyDescent="0.2">
      <c r="A371" t="s">
        <v>2</v>
      </c>
      <c r="B371" t="s">
        <v>3</v>
      </c>
      <c r="C371" t="s">
        <v>448</v>
      </c>
      <c r="D371" s="2">
        <v>43521</v>
      </c>
      <c r="E371" s="2">
        <f t="shared" ref="E371:E414" si="22">IF(A371="","",IF(A371&lt;&gt;"Carte Lux",D371,VLOOKUP(D371,Periode_datedebit_2019,3)))</f>
        <v>43566</v>
      </c>
      <c r="F371" t="s">
        <v>5</v>
      </c>
      <c r="G371" t="s">
        <v>5</v>
      </c>
      <c r="H371" t="s">
        <v>6</v>
      </c>
      <c r="I371" t="s">
        <v>7</v>
      </c>
      <c r="J371" s="3">
        <f>-131.48--19.35--8.39--1.95</f>
        <v>-101.78999999999999</v>
      </c>
      <c r="K371" t="str">
        <f t="shared" si="20"/>
        <v>février</v>
      </c>
      <c r="L371" t="str">
        <f t="shared" si="21"/>
        <v>Dépenses</v>
      </c>
    </row>
    <row r="372" spans="1:12" x14ac:dyDescent="0.2">
      <c r="A372" t="s">
        <v>2</v>
      </c>
      <c r="B372" t="s">
        <v>8</v>
      </c>
      <c r="D372" s="2">
        <v>43521</v>
      </c>
      <c r="E372" s="2">
        <f t="shared" si="22"/>
        <v>43566</v>
      </c>
      <c r="F372" t="s">
        <v>450</v>
      </c>
      <c r="G372" t="s">
        <v>111</v>
      </c>
      <c r="H372" t="s">
        <v>178</v>
      </c>
      <c r="I372" t="s">
        <v>7</v>
      </c>
      <c r="J372" s="3">
        <v>-17.850000000000001</v>
      </c>
      <c r="K372" t="str">
        <f t="shared" si="20"/>
        <v>février</v>
      </c>
      <c r="L372" t="str">
        <f t="shared" si="21"/>
        <v>Dépenses</v>
      </c>
    </row>
    <row r="373" spans="1:12" x14ac:dyDescent="0.2">
      <c r="A373" t="s">
        <v>2</v>
      </c>
      <c r="B373" t="s">
        <v>8</v>
      </c>
      <c r="D373" s="2">
        <v>43521</v>
      </c>
      <c r="E373" s="2">
        <f t="shared" si="22"/>
        <v>43566</v>
      </c>
      <c r="F373" t="s">
        <v>5</v>
      </c>
      <c r="G373" t="s">
        <v>5</v>
      </c>
      <c r="H373" t="s">
        <v>50</v>
      </c>
      <c r="I373" t="s">
        <v>7</v>
      </c>
      <c r="J373" s="3">
        <v>-15.63</v>
      </c>
      <c r="K373" t="str">
        <f t="shared" si="20"/>
        <v>février</v>
      </c>
      <c r="L373" t="str">
        <f t="shared" si="21"/>
        <v>Dépenses</v>
      </c>
    </row>
    <row r="374" spans="1:12" x14ac:dyDescent="0.2">
      <c r="A374" t="s">
        <v>2</v>
      </c>
      <c r="B374" t="s">
        <v>8</v>
      </c>
      <c r="D374" s="2">
        <v>43521</v>
      </c>
      <c r="E374" s="2">
        <f t="shared" si="22"/>
        <v>43566</v>
      </c>
      <c r="F374" t="s">
        <v>5</v>
      </c>
      <c r="G374" t="s">
        <v>5</v>
      </c>
      <c r="H374" t="s">
        <v>50</v>
      </c>
      <c r="I374" t="s">
        <v>7</v>
      </c>
      <c r="J374" s="3">
        <v>-19.93</v>
      </c>
      <c r="K374" t="str">
        <f t="shared" si="20"/>
        <v>février</v>
      </c>
      <c r="L374" t="str">
        <f t="shared" si="21"/>
        <v>Dépenses</v>
      </c>
    </row>
    <row r="375" spans="1:12" x14ac:dyDescent="0.2">
      <c r="A375" t="s">
        <v>2</v>
      </c>
      <c r="B375" t="s">
        <v>8</v>
      </c>
      <c r="D375" s="2">
        <v>43521</v>
      </c>
      <c r="E375" s="2">
        <f t="shared" si="22"/>
        <v>43566</v>
      </c>
      <c r="F375" t="s">
        <v>451</v>
      </c>
      <c r="G375" t="s">
        <v>16</v>
      </c>
      <c r="H375" t="s">
        <v>452</v>
      </c>
      <c r="I375" t="s">
        <v>7</v>
      </c>
      <c r="J375" s="3">
        <v>-9.1999999999999993</v>
      </c>
      <c r="K375" t="str">
        <f t="shared" si="20"/>
        <v>février</v>
      </c>
      <c r="L375" t="str">
        <f t="shared" si="21"/>
        <v>Dépenses</v>
      </c>
    </row>
    <row r="376" spans="1:12" x14ac:dyDescent="0.2">
      <c r="A376" t="s">
        <v>2</v>
      </c>
      <c r="B376" t="s">
        <v>8</v>
      </c>
      <c r="D376" s="2">
        <v>43521</v>
      </c>
      <c r="E376" s="2">
        <f t="shared" si="22"/>
        <v>43566</v>
      </c>
      <c r="F376" t="s">
        <v>453</v>
      </c>
      <c r="G376" t="s">
        <v>111</v>
      </c>
      <c r="H376" t="s">
        <v>454</v>
      </c>
      <c r="I376" t="s">
        <v>7</v>
      </c>
      <c r="J376" s="3">
        <v>-48.92</v>
      </c>
      <c r="K376" t="str">
        <f t="shared" si="20"/>
        <v>février</v>
      </c>
      <c r="L376" t="str">
        <f t="shared" si="21"/>
        <v>Dépenses</v>
      </c>
    </row>
    <row r="377" spans="1:12" x14ac:dyDescent="0.2">
      <c r="A377" t="s">
        <v>69</v>
      </c>
      <c r="B377" t="s">
        <v>137</v>
      </c>
      <c r="C377" s="7" t="s">
        <v>455</v>
      </c>
      <c r="D377" s="2">
        <v>43521</v>
      </c>
      <c r="E377" s="2">
        <f t="shared" si="22"/>
        <v>43521</v>
      </c>
      <c r="F377" t="s">
        <v>291</v>
      </c>
      <c r="G377" t="s">
        <v>79</v>
      </c>
      <c r="H377" t="s">
        <v>292</v>
      </c>
      <c r="I377" t="s">
        <v>7</v>
      </c>
      <c r="J377" s="3">
        <v>-2.38</v>
      </c>
      <c r="K377" t="str">
        <f t="shared" si="20"/>
        <v>février</v>
      </c>
      <c r="L377" t="str">
        <f t="shared" si="21"/>
        <v>Dépenses</v>
      </c>
    </row>
    <row r="378" spans="1:12" x14ac:dyDescent="0.2">
      <c r="A378" t="s">
        <v>69</v>
      </c>
      <c r="B378" s="4" t="s">
        <v>84</v>
      </c>
      <c r="D378" s="2">
        <v>43521</v>
      </c>
      <c r="E378" s="2">
        <f t="shared" si="22"/>
        <v>43521</v>
      </c>
      <c r="F378" t="s">
        <v>456</v>
      </c>
      <c r="G378" t="s">
        <v>457</v>
      </c>
      <c r="H378" t="s">
        <v>155</v>
      </c>
      <c r="I378" t="s">
        <v>7</v>
      </c>
      <c r="J378" s="3">
        <v>-129.6</v>
      </c>
      <c r="K378" t="str">
        <f t="shared" si="20"/>
        <v>février</v>
      </c>
      <c r="L378" t="str">
        <f t="shared" si="21"/>
        <v>Dépenses</v>
      </c>
    </row>
    <row r="379" spans="1:12" ht="15" x14ac:dyDescent="0.25">
      <c r="A379" t="s">
        <v>69</v>
      </c>
      <c r="B379" s="4" t="s">
        <v>70</v>
      </c>
      <c r="C379" s="7" t="s">
        <v>458</v>
      </c>
      <c r="D379" s="2">
        <v>43521</v>
      </c>
      <c r="E379" s="2">
        <f t="shared" si="22"/>
        <v>43521</v>
      </c>
      <c r="F379" t="s">
        <v>102</v>
      </c>
      <c r="G379" t="s">
        <v>459</v>
      </c>
      <c r="H379" t="s">
        <v>94</v>
      </c>
      <c r="I379" t="s">
        <v>7</v>
      </c>
      <c r="J379" s="6">
        <v>-860</v>
      </c>
      <c r="K379" t="str">
        <f t="shared" si="20"/>
        <v>février</v>
      </c>
      <c r="L379" t="str">
        <f t="shared" si="21"/>
        <v>Dépenses</v>
      </c>
    </row>
    <row r="380" spans="1:12" x14ac:dyDescent="0.2">
      <c r="A380" t="s">
        <v>94</v>
      </c>
      <c r="B380" t="s">
        <v>70</v>
      </c>
      <c r="D380" s="2">
        <v>43521</v>
      </c>
      <c r="E380" s="2">
        <f t="shared" si="22"/>
        <v>43521</v>
      </c>
      <c r="F380" t="s">
        <v>460</v>
      </c>
      <c r="G380" t="s">
        <v>127</v>
      </c>
      <c r="H380" t="s">
        <v>88</v>
      </c>
      <c r="I380" t="s">
        <v>7</v>
      </c>
      <c r="J380" s="3">
        <v>-70</v>
      </c>
      <c r="K380" t="str">
        <f t="shared" si="20"/>
        <v>février</v>
      </c>
      <c r="L380" t="str">
        <f t="shared" si="21"/>
        <v>Dépenses</v>
      </c>
    </row>
    <row r="381" spans="1:12" x14ac:dyDescent="0.2">
      <c r="A381" t="s">
        <v>94</v>
      </c>
      <c r="B381" t="s">
        <v>70</v>
      </c>
      <c r="D381" s="2">
        <v>43521</v>
      </c>
      <c r="E381" s="2">
        <f t="shared" si="22"/>
        <v>43521</v>
      </c>
      <c r="F381" t="s">
        <v>461</v>
      </c>
      <c r="G381" t="s">
        <v>28</v>
      </c>
      <c r="H381" t="s">
        <v>88</v>
      </c>
      <c r="I381" t="s">
        <v>7</v>
      </c>
      <c r="J381" s="3">
        <v>-30</v>
      </c>
      <c r="K381" t="str">
        <f t="shared" si="20"/>
        <v>février</v>
      </c>
      <c r="L381" t="str">
        <f t="shared" si="21"/>
        <v>Dépenses</v>
      </c>
    </row>
    <row r="382" spans="1:12" x14ac:dyDescent="0.2">
      <c r="A382" t="s">
        <v>94</v>
      </c>
      <c r="B382" t="s">
        <v>70</v>
      </c>
      <c r="D382" s="2">
        <v>43521</v>
      </c>
      <c r="E382" s="2">
        <f t="shared" si="22"/>
        <v>43521</v>
      </c>
      <c r="F382" t="s">
        <v>462</v>
      </c>
      <c r="G382" t="s">
        <v>254</v>
      </c>
      <c r="H382" t="s">
        <v>88</v>
      </c>
      <c r="I382" t="s">
        <v>7</v>
      </c>
      <c r="J382" s="3">
        <v>-100</v>
      </c>
      <c r="K382" t="str">
        <f t="shared" si="20"/>
        <v>février</v>
      </c>
      <c r="L382" t="str">
        <f t="shared" si="21"/>
        <v>Dépenses</v>
      </c>
    </row>
    <row r="383" spans="1:12" x14ac:dyDescent="0.2">
      <c r="A383" t="s">
        <v>94</v>
      </c>
      <c r="B383" t="s">
        <v>70</v>
      </c>
      <c r="D383" s="2">
        <v>43521</v>
      </c>
      <c r="E383" s="2">
        <f t="shared" si="22"/>
        <v>43521</v>
      </c>
      <c r="F383" t="s">
        <v>463</v>
      </c>
      <c r="G383" t="s">
        <v>270</v>
      </c>
      <c r="H383" t="s">
        <v>88</v>
      </c>
      <c r="I383" t="s">
        <v>7</v>
      </c>
      <c r="J383" s="3">
        <v>-70</v>
      </c>
      <c r="K383" t="str">
        <f t="shared" si="20"/>
        <v>février</v>
      </c>
      <c r="L383" t="str">
        <f t="shared" si="21"/>
        <v>Dépenses</v>
      </c>
    </row>
    <row r="384" spans="1:12" x14ac:dyDescent="0.2">
      <c r="A384" t="s">
        <v>94</v>
      </c>
      <c r="B384" t="s">
        <v>70</v>
      </c>
      <c r="D384" s="2">
        <v>43521</v>
      </c>
      <c r="E384" s="2">
        <f t="shared" si="22"/>
        <v>43521</v>
      </c>
      <c r="F384" t="s">
        <v>464</v>
      </c>
      <c r="G384" t="s">
        <v>118</v>
      </c>
      <c r="H384" t="s">
        <v>88</v>
      </c>
      <c r="I384" t="s">
        <v>7</v>
      </c>
      <c r="J384" s="3">
        <v>-150</v>
      </c>
      <c r="K384" t="str">
        <f t="shared" si="20"/>
        <v>février</v>
      </c>
      <c r="L384" t="str">
        <f t="shared" si="21"/>
        <v>Dépenses</v>
      </c>
    </row>
    <row r="385" spans="1:12" x14ac:dyDescent="0.2">
      <c r="A385" t="s">
        <v>94</v>
      </c>
      <c r="B385" t="s">
        <v>70</v>
      </c>
      <c r="D385" s="2">
        <v>43521</v>
      </c>
      <c r="E385" s="2">
        <f t="shared" si="22"/>
        <v>43521</v>
      </c>
      <c r="F385" t="s">
        <v>465</v>
      </c>
      <c r="G385" t="s">
        <v>16</v>
      </c>
      <c r="H385" t="s">
        <v>88</v>
      </c>
      <c r="I385" t="s">
        <v>7</v>
      </c>
      <c r="J385" s="3">
        <v>-60</v>
      </c>
      <c r="K385" t="str">
        <f t="shared" si="20"/>
        <v>février</v>
      </c>
      <c r="L385" t="str">
        <f t="shared" si="21"/>
        <v>Dépenses</v>
      </c>
    </row>
    <row r="386" spans="1:12" x14ac:dyDescent="0.2">
      <c r="A386" t="s">
        <v>94</v>
      </c>
      <c r="B386" t="s">
        <v>70</v>
      </c>
      <c r="D386" s="2">
        <v>43521</v>
      </c>
      <c r="E386" s="2">
        <f t="shared" si="22"/>
        <v>43521</v>
      </c>
      <c r="F386" t="s">
        <v>466</v>
      </c>
      <c r="G386" t="s">
        <v>111</v>
      </c>
      <c r="H386" t="s">
        <v>88</v>
      </c>
      <c r="I386" t="s">
        <v>7</v>
      </c>
      <c r="J386" s="3">
        <v>-120</v>
      </c>
      <c r="K386" t="str">
        <f t="shared" ref="K386:K414" si="23">IF(D386="","",TEXT(D386,"Mmmm"))</f>
        <v>février</v>
      </c>
      <c r="L386" t="str">
        <f t="shared" ref="L386:L414" si="24">IF(J386="","",IF(J386&lt;0,"Dépenses","Recettes"))</f>
        <v>Dépenses</v>
      </c>
    </row>
    <row r="387" spans="1:12" x14ac:dyDescent="0.2">
      <c r="A387" t="s">
        <v>94</v>
      </c>
      <c r="B387" t="s">
        <v>70</v>
      </c>
      <c r="D387" s="2">
        <v>43521</v>
      </c>
      <c r="E387" s="2">
        <f t="shared" si="22"/>
        <v>43521</v>
      </c>
      <c r="F387" t="s">
        <v>467</v>
      </c>
      <c r="G387" t="s">
        <v>229</v>
      </c>
      <c r="H387" t="s">
        <v>88</v>
      </c>
      <c r="I387" t="s">
        <v>7</v>
      </c>
      <c r="J387" s="3">
        <v>-60</v>
      </c>
      <c r="K387" t="str">
        <f t="shared" si="23"/>
        <v>février</v>
      </c>
      <c r="L387" t="str">
        <f t="shared" si="24"/>
        <v>Dépenses</v>
      </c>
    </row>
    <row r="388" spans="1:12" x14ac:dyDescent="0.2">
      <c r="A388" t="s">
        <v>94</v>
      </c>
      <c r="B388" t="s">
        <v>70</v>
      </c>
      <c r="D388" s="2">
        <v>43521</v>
      </c>
      <c r="E388" s="2">
        <f t="shared" si="22"/>
        <v>43521</v>
      </c>
      <c r="F388" t="s">
        <v>468</v>
      </c>
      <c r="G388" t="s">
        <v>86</v>
      </c>
      <c r="I388" t="s">
        <v>7</v>
      </c>
      <c r="J388" s="3">
        <v>7.45</v>
      </c>
      <c r="K388" t="str">
        <f t="shared" si="23"/>
        <v>février</v>
      </c>
      <c r="L388" t="str">
        <f t="shared" si="24"/>
        <v>Recettes</v>
      </c>
    </row>
    <row r="389" spans="1:12" x14ac:dyDescent="0.2">
      <c r="A389" t="s">
        <v>94</v>
      </c>
      <c r="B389" t="s">
        <v>70</v>
      </c>
      <c r="D389" s="2">
        <v>43521</v>
      </c>
      <c r="E389" s="2">
        <f t="shared" si="22"/>
        <v>43521</v>
      </c>
      <c r="F389" t="s">
        <v>469</v>
      </c>
      <c r="G389" t="s">
        <v>52</v>
      </c>
      <c r="H389" t="s">
        <v>88</v>
      </c>
      <c r="I389" t="s">
        <v>7</v>
      </c>
      <c r="J389" s="3">
        <v>-100</v>
      </c>
      <c r="K389" t="str">
        <f t="shared" si="23"/>
        <v>février</v>
      </c>
      <c r="L389" t="str">
        <f t="shared" si="24"/>
        <v>Dépenses</v>
      </c>
    </row>
    <row r="390" spans="1:12" x14ac:dyDescent="0.2">
      <c r="A390" t="s">
        <v>94</v>
      </c>
      <c r="B390" t="s">
        <v>70</v>
      </c>
      <c r="D390" s="2">
        <v>43521</v>
      </c>
      <c r="E390" s="2">
        <f t="shared" si="22"/>
        <v>43521</v>
      </c>
      <c r="F390" t="s">
        <v>470</v>
      </c>
      <c r="G390" t="s">
        <v>39</v>
      </c>
      <c r="H390" t="s">
        <v>88</v>
      </c>
      <c r="I390" t="s">
        <v>7</v>
      </c>
      <c r="J390" s="3">
        <v>-100</v>
      </c>
      <c r="K390" t="str">
        <f t="shared" si="23"/>
        <v>février</v>
      </c>
      <c r="L390" t="str">
        <f t="shared" si="24"/>
        <v>Dépenses</v>
      </c>
    </row>
    <row r="391" spans="1:12" x14ac:dyDescent="0.2">
      <c r="A391" t="s">
        <v>91</v>
      </c>
      <c r="B391" t="s">
        <v>70</v>
      </c>
      <c r="D391" s="2">
        <v>43521</v>
      </c>
      <c r="E391" s="2">
        <f t="shared" si="22"/>
        <v>43521</v>
      </c>
      <c r="F391" t="s">
        <v>471</v>
      </c>
      <c r="G391" t="s">
        <v>76</v>
      </c>
      <c r="H391" t="s">
        <v>94</v>
      </c>
      <c r="I391" t="s">
        <v>7</v>
      </c>
      <c r="J391" s="3">
        <v>860</v>
      </c>
      <c r="K391" t="str">
        <f t="shared" si="23"/>
        <v>février</v>
      </c>
      <c r="L391" t="str">
        <f t="shared" si="24"/>
        <v>Recettes</v>
      </c>
    </row>
    <row r="392" spans="1:12" x14ac:dyDescent="0.2">
      <c r="A392" t="s">
        <v>2</v>
      </c>
      <c r="B392" t="s">
        <v>8</v>
      </c>
      <c r="D392" s="2">
        <v>43522</v>
      </c>
      <c r="E392" s="2">
        <f t="shared" si="22"/>
        <v>43566</v>
      </c>
      <c r="F392" t="s">
        <v>5</v>
      </c>
      <c r="G392" t="s">
        <v>5</v>
      </c>
      <c r="H392" t="s">
        <v>64</v>
      </c>
      <c r="I392" t="s">
        <v>7</v>
      </c>
      <c r="J392" s="3">
        <v>-5.24</v>
      </c>
      <c r="K392" t="str">
        <f t="shared" si="23"/>
        <v>février</v>
      </c>
      <c r="L392" t="str">
        <f t="shared" si="24"/>
        <v>Dépenses</v>
      </c>
    </row>
    <row r="393" spans="1:12" x14ac:dyDescent="0.2">
      <c r="A393" t="s">
        <v>108</v>
      </c>
      <c r="D393" s="2">
        <v>43522</v>
      </c>
      <c r="E393" s="2">
        <f t="shared" si="22"/>
        <v>43522</v>
      </c>
      <c r="F393" t="s">
        <v>472</v>
      </c>
      <c r="G393" t="s">
        <v>111</v>
      </c>
      <c r="H393" t="s">
        <v>145</v>
      </c>
      <c r="I393" t="s">
        <v>7</v>
      </c>
      <c r="J393" s="3">
        <v>86.84</v>
      </c>
      <c r="K393" t="str">
        <f t="shared" si="23"/>
        <v>février</v>
      </c>
      <c r="L393" t="str">
        <f t="shared" si="24"/>
        <v>Recettes</v>
      </c>
    </row>
    <row r="394" spans="1:12" x14ac:dyDescent="0.2">
      <c r="A394" t="s">
        <v>108</v>
      </c>
      <c r="B394" t="s">
        <v>109</v>
      </c>
      <c r="D394" s="2">
        <v>43522</v>
      </c>
      <c r="E394" s="2">
        <f t="shared" si="22"/>
        <v>43522</v>
      </c>
      <c r="F394" t="s">
        <v>5</v>
      </c>
      <c r="G394" t="s">
        <v>5</v>
      </c>
      <c r="H394" t="s">
        <v>37</v>
      </c>
      <c r="I394" t="s">
        <v>7</v>
      </c>
      <c r="J394" s="3">
        <v>-72.2</v>
      </c>
      <c r="K394" t="str">
        <f t="shared" si="23"/>
        <v>février</v>
      </c>
      <c r="L394" t="str">
        <f t="shared" si="24"/>
        <v>Dépenses</v>
      </c>
    </row>
    <row r="395" spans="1:12" x14ac:dyDescent="0.2">
      <c r="A395" t="s">
        <v>108</v>
      </c>
      <c r="B395" t="s">
        <v>109</v>
      </c>
      <c r="D395" s="2">
        <v>43522</v>
      </c>
      <c r="E395" s="2">
        <f t="shared" si="22"/>
        <v>43522</v>
      </c>
      <c r="F395" t="s">
        <v>32</v>
      </c>
      <c r="G395" t="s">
        <v>5</v>
      </c>
      <c r="H395" t="s">
        <v>23</v>
      </c>
      <c r="I395" t="s">
        <v>7</v>
      </c>
      <c r="J395" s="3">
        <v>-1.25</v>
      </c>
      <c r="K395" t="str">
        <f t="shared" si="23"/>
        <v>février</v>
      </c>
      <c r="L395" t="str">
        <f t="shared" si="24"/>
        <v>Dépenses</v>
      </c>
    </row>
    <row r="396" spans="1:12" ht="15" x14ac:dyDescent="0.25">
      <c r="A396" t="s">
        <v>94</v>
      </c>
      <c r="B396" s="4" t="s">
        <v>70</v>
      </c>
      <c r="C396" s="7" t="s">
        <v>458</v>
      </c>
      <c r="D396" s="2">
        <v>43522</v>
      </c>
      <c r="E396" s="2">
        <f t="shared" si="22"/>
        <v>43522</v>
      </c>
      <c r="F396" t="s">
        <v>135</v>
      </c>
      <c r="G396" t="s">
        <v>459</v>
      </c>
      <c r="H396" t="s">
        <v>69</v>
      </c>
      <c r="I396" t="s">
        <v>7</v>
      </c>
      <c r="J396" s="6">
        <v>860</v>
      </c>
      <c r="K396" t="str">
        <f t="shared" si="23"/>
        <v>février</v>
      </c>
      <c r="L396" t="str">
        <f t="shared" si="24"/>
        <v>Recettes</v>
      </c>
    </row>
    <row r="397" spans="1:12" x14ac:dyDescent="0.2">
      <c r="A397" t="s">
        <v>2</v>
      </c>
      <c r="B397" t="s">
        <v>3</v>
      </c>
      <c r="D397" s="2">
        <v>43522</v>
      </c>
      <c r="E397" s="2">
        <f t="shared" si="22"/>
        <v>43566</v>
      </c>
      <c r="F397" t="s">
        <v>473</v>
      </c>
      <c r="G397" t="s">
        <v>118</v>
      </c>
      <c r="H397" t="s">
        <v>474</v>
      </c>
      <c r="I397" t="s">
        <v>7</v>
      </c>
      <c r="J397" s="3">
        <v>-82.4</v>
      </c>
      <c r="K397" t="str">
        <f t="shared" si="23"/>
        <v>février</v>
      </c>
      <c r="L397" t="str">
        <f t="shared" si="24"/>
        <v>Dépenses</v>
      </c>
    </row>
    <row r="398" spans="1:12" x14ac:dyDescent="0.2">
      <c r="A398" t="s">
        <v>94</v>
      </c>
      <c r="B398" t="s">
        <v>122</v>
      </c>
      <c r="C398">
        <v>8748451</v>
      </c>
      <c r="D398" s="2">
        <v>43522</v>
      </c>
      <c r="E398" s="2">
        <f t="shared" si="22"/>
        <v>43522</v>
      </c>
      <c r="F398" t="s">
        <v>123</v>
      </c>
      <c r="G398" t="s">
        <v>25</v>
      </c>
      <c r="H398" t="s">
        <v>124</v>
      </c>
      <c r="I398" t="s">
        <v>7</v>
      </c>
      <c r="J398" s="3">
        <v>-26</v>
      </c>
      <c r="K398" t="str">
        <f t="shared" si="23"/>
        <v>février</v>
      </c>
      <c r="L398" t="str">
        <f t="shared" si="24"/>
        <v>Dépenses</v>
      </c>
    </row>
    <row r="399" spans="1:12" x14ac:dyDescent="0.2">
      <c r="A399" t="s">
        <v>2</v>
      </c>
      <c r="B399" t="s">
        <v>8</v>
      </c>
      <c r="D399" s="2">
        <v>43523</v>
      </c>
      <c r="E399" s="2">
        <f t="shared" si="22"/>
        <v>43566</v>
      </c>
      <c r="F399" t="s">
        <v>21</v>
      </c>
      <c r="G399" t="s">
        <v>21</v>
      </c>
      <c r="I399" t="s">
        <v>7</v>
      </c>
      <c r="J399" s="3">
        <v>-7.39</v>
      </c>
      <c r="K399" t="str">
        <f t="shared" si="23"/>
        <v>février</v>
      </c>
      <c r="L399" t="str">
        <f t="shared" si="24"/>
        <v>Dépenses</v>
      </c>
    </row>
    <row r="400" spans="1:12" x14ac:dyDescent="0.2">
      <c r="A400" t="s">
        <v>108</v>
      </c>
      <c r="B400" t="s">
        <v>109</v>
      </c>
      <c r="D400" s="2">
        <v>43523</v>
      </c>
      <c r="E400" s="2">
        <f t="shared" si="22"/>
        <v>43523</v>
      </c>
      <c r="F400" t="s">
        <v>235</v>
      </c>
      <c r="G400" t="s">
        <v>39</v>
      </c>
      <c r="H400" t="s">
        <v>120</v>
      </c>
      <c r="I400" t="s">
        <v>7</v>
      </c>
      <c r="J400" s="3">
        <v>-8</v>
      </c>
      <c r="K400" t="str">
        <f t="shared" si="23"/>
        <v>février</v>
      </c>
      <c r="L400" t="str">
        <f t="shared" si="24"/>
        <v>Dépenses</v>
      </c>
    </row>
    <row r="401" spans="1:12" x14ac:dyDescent="0.2">
      <c r="A401" t="s">
        <v>108</v>
      </c>
      <c r="B401" t="s">
        <v>109</v>
      </c>
      <c r="D401" s="2">
        <v>43523</v>
      </c>
      <c r="E401" s="2">
        <f t="shared" si="22"/>
        <v>43523</v>
      </c>
      <c r="F401" t="s">
        <v>32</v>
      </c>
      <c r="G401" t="s">
        <v>5</v>
      </c>
      <c r="H401" t="s">
        <v>23</v>
      </c>
      <c r="I401" t="s">
        <v>7</v>
      </c>
      <c r="J401" s="3">
        <v>-2.9</v>
      </c>
      <c r="K401" t="str">
        <f t="shared" si="23"/>
        <v>février</v>
      </c>
      <c r="L401" t="str">
        <f t="shared" si="24"/>
        <v>Dépenses</v>
      </c>
    </row>
    <row r="402" spans="1:12" x14ac:dyDescent="0.2">
      <c r="A402" t="s">
        <v>108</v>
      </c>
      <c r="B402" t="s">
        <v>109</v>
      </c>
      <c r="D402" s="2">
        <v>43523</v>
      </c>
      <c r="E402" s="2">
        <f t="shared" si="22"/>
        <v>43523</v>
      </c>
      <c r="F402" t="s">
        <v>5</v>
      </c>
      <c r="G402" t="s">
        <v>5</v>
      </c>
      <c r="H402" t="s">
        <v>23</v>
      </c>
      <c r="I402" t="s">
        <v>7</v>
      </c>
      <c r="J402" s="3">
        <v>-19.600000000000001</v>
      </c>
      <c r="K402" t="str">
        <f t="shared" si="23"/>
        <v>février</v>
      </c>
      <c r="L402" t="str">
        <f t="shared" si="24"/>
        <v>Dépenses</v>
      </c>
    </row>
    <row r="403" spans="1:12" x14ac:dyDescent="0.2">
      <c r="A403" t="s">
        <v>108</v>
      </c>
      <c r="B403" t="s">
        <v>287</v>
      </c>
      <c r="C403">
        <v>1155073</v>
      </c>
      <c r="D403" s="2">
        <v>43523</v>
      </c>
      <c r="E403" s="2">
        <f t="shared" si="22"/>
        <v>43523</v>
      </c>
      <c r="F403" t="s">
        <v>475</v>
      </c>
      <c r="G403" t="s">
        <v>118</v>
      </c>
      <c r="I403" t="s">
        <v>7</v>
      </c>
      <c r="J403" s="3">
        <v>-43</v>
      </c>
      <c r="K403" t="str">
        <f t="shared" si="23"/>
        <v>février</v>
      </c>
      <c r="L403" t="str">
        <f t="shared" si="24"/>
        <v>Dépenses</v>
      </c>
    </row>
    <row r="404" spans="1:12" x14ac:dyDescent="0.2">
      <c r="A404" t="s">
        <v>2</v>
      </c>
      <c r="B404" t="s">
        <v>8</v>
      </c>
      <c r="D404" s="2">
        <v>43523</v>
      </c>
      <c r="E404" s="2">
        <f t="shared" si="22"/>
        <v>43566</v>
      </c>
      <c r="F404" t="s">
        <v>334</v>
      </c>
      <c r="G404" t="s">
        <v>115</v>
      </c>
      <c r="H404" t="s">
        <v>22</v>
      </c>
      <c r="I404" t="s">
        <v>7</v>
      </c>
      <c r="J404" s="3">
        <v>-4.5</v>
      </c>
      <c r="K404" t="str">
        <f t="shared" si="23"/>
        <v>février</v>
      </c>
      <c r="L404" t="str">
        <f t="shared" si="24"/>
        <v>Dépenses</v>
      </c>
    </row>
    <row r="405" spans="1:12" x14ac:dyDescent="0.2">
      <c r="A405" t="s">
        <v>2</v>
      </c>
      <c r="B405" t="s">
        <v>8</v>
      </c>
      <c r="C405" t="s">
        <v>476</v>
      </c>
      <c r="D405" s="2">
        <v>43523</v>
      </c>
      <c r="E405" s="2">
        <f t="shared" si="22"/>
        <v>43566</v>
      </c>
      <c r="F405" t="s">
        <v>477</v>
      </c>
      <c r="G405" t="s">
        <v>263</v>
      </c>
      <c r="H405" t="s">
        <v>64</v>
      </c>
      <c r="I405" t="s">
        <v>7</v>
      </c>
      <c r="J405" s="3">
        <v>-57.99</v>
      </c>
      <c r="K405" t="str">
        <f t="shared" si="23"/>
        <v>février</v>
      </c>
      <c r="L405" t="str">
        <f t="shared" si="24"/>
        <v>Dépenses</v>
      </c>
    </row>
    <row r="406" spans="1:12" x14ac:dyDescent="0.2">
      <c r="A406" t="s">
        <v>2</v>
      </c>
      <c r="B406" t="s">
        <v>8</v>
      </c>
      <c r="C406" t="s">
        <v>476</v>
      </c>
      <c r="D406" s="2">
        <v>43523</v>
      </c>
      <c r="E406" s="2">
        <f t="shared" si="22"/>
        <v>43566</v>
      </c>
      <c r="F406" t="s">
        <v>478</v>
      </c>
      <c r="G406" t="s">
        <v>5</v>
      </c>
      <c r="H406" t="s">
        <v>64</v>
      </c>
      <c r="I406" t="s">
        <v>7</v>
      </c>
      <c r="J406" s="3">
        <f>-1.75-1-1.45*3</f>
        <v>-7.1</v>
      </c>
      <c r="K406" t="str">
        <f t="shared" si="23"/>
        <v>février</v>
      </c>
      <c r="L406" t="str">
        <f t="shared" si="24"/>
        <v>Dépenses</v>
      </c>
    </row>
    <row r="407" spans="1:12" x14ac:dyDescent="0.2">
      <c r="A407" t="s">
        <v>2</v>
      </c>
      <c r="B407" t="s">
        <v>8</v>
      </c>
      <c r="C407" t="s">
        <v>476</v>
      </c>
      <c r="D407" s="2">
        <v>43523</v>
      </c>
      <c r="E407" s="2">
        <f t="shared" si="22"/>
        <v>43566</v>
      </c>
      <c r="F407" t="s">
        <v>479</v>
      </c>
      <c r="G407" t="s">
        <v>263</v>
      </c>
      <c r="H407" t="s">
        <v>64</v>
      </c>
      <c r="I407" t="s">
        <v>7</v>
      </c>
      <c r="J407" s="3">
        <v>5</v>
      </c>
      <c r="K407" t="str">
        <f t="shared" si="23"/>
        <v>février</v>
      </c>
      <c r="L407" t="str">
        <f t="shared" si="24"/>
        <v>Recettes</v>
      </c>
    </row>
    <row r="408" spans="1:12" x14ac:dyDescent="0.2">
      <c r="A408" t="s">
        <v>108</v>
      </c>
      <c r="B408" t="s">
        <v>109</v>
      </c>
      <c r="C408" t="s">
        <v>480</v>
      </c>
      <c r="D408" s="2">
        <v>43524</v>
      </c>
      <c r="E408" s="2">
        <f t="shared" si="22"/>
        <v>43524</v>
      </c>
      <c r="F408" t="s">
        <v>344</v>
      </c>
      <c r="G408" t="s">
        <v>49</v>
      </c>
      <c r="H408" t="s">
        <v>6</v>
      </c>
      <c r="I408" t="s">
        <v>7</v>
      </c>
      <c r="J408" s="3">
        <f>-3.26-3.95-4.45</f>
        <v>-11.66</v>
      </c>
      <c r="K408" t="str">
        <f t="shared" si="23"/>
        <v>février</v>
      </c>
      <c r="L408" t="str">
        <f t="shared" si="24"/>
        <v>Dépenses</v>
      </c>
    </row>
    <row r="409" spans="1:12" x14ac:dyDescent="0.2">
      <c r="A409" t="s">
        <v>108</v>
      </c>
      <c r="B409" t="s">
        <v>109</v>
      </c>
      <c r="C409" t="s">
        <v>480</v>
      </c>
      <c r="D409" s="2">
        <v>43524</v>
      </c>
      <c r="E409" s="2">
        <f t="shared" si="22"/>
        <v>43524</v>
      </c>
      <c r="F409" t="s">
        <v>5</v>
      </c>
      <c r="G409" t="s">
        <v>5</v>
      </c>
      <c r="H409" t="s">
        <v>6</v>
      </c>
      <c r="I409" t="s">
        <v>7</v>
      </c>
      <c r="J409" s="3">
        <f>-47.5--11.66</f>
        <v>-35.840000000000003</v>
      </c>
      <c r="K409" t="str">
        <f t="shared" si="23"/>
        <v>février</v>
      </c>
      <c r="L409" t="str">
        <f t="shared" si="24"/>
        <v>Dépenses</v>
      </c>
    </row>
    <row r="410" spans="1:12" x14ac:dyDescent="0.2">
      <c r="A410" t="s">
        <v>94</v>
      </c>
      <c r="B410" t="s">
        <v>481</v>
      </c>
      <c r="D410" s="2">
        <v>43524</v>
      </c>
      <c r="E410" s="2">
        <f t="shared" si="22"/>
        <v>43524</v>
      </c>
      <c r="F410" t="s">
        <v>5</v>
      </c>
      <c r="G410" t="s">
        <v>5</v>
      </c>
      <c r="H410" t="s">
        <v>348</v>
      </c>
      <c r="I410" t="s">
        <v>7</v>
      </c>
      <c r="J410" s="3">
        <v>-12.02</v>
      </c>
      <c r="K410" t="str">
        <f t="shared" si="23"/>
        <v>février</v>
      </c>
      <c r="L410" t="str">
        <f t="shared" si="24"/>
        <v>Dépenses</v>
      </c>
    </row>
    <row r="411" spans="1:12" x14ac:dyDescent="0.2">
      <c r="A411" t="s">
        <v>94</v>
      </c>
      <c r="B411" t="s">
        <v>481</v>
      </c>
      <c r="D411" s="2">
        <v>43524</v>
      </c>
      <c r="E411" s="2">
        <f t="shared" si="22"/>
        <v>43524</v>
      </c>
      <c r="F411" t="s">
        <v>482</v>
      </c>
      <c r="G411" t="s">
        <v>52</v>
      </c>
      <c r="H411" t="s">
        <v>483</v>
      </c>
      <c r="I411" t="s">
        <v>7</v>
      </c>
      <c r="J411" s="3">
        <v>-17.8</v>
      </c>
      <c r="K411" t="str">
        <f t="shared" si="23"/>
        <v>février</v>
      </c>
      <c r="L411" t="str">
        <f t="shared" si="24"/>
        <v>Dépenses</v>
      </c>
    </row>
    <row r="412" spans="1:12" x14ac:dyDescent="0.2">
      <c r="A412" t="s">
        <v>94</v>
      </c>
      <c r="B412" t="s">
        <v>84</v>
      </c>
      <c r="D412" s="2">
        <v>43524</v>
      </c>
      <c r="E412" s="2">
        <f t="shared" si="22"/>
        <v>43524</v>
      </c>
      <c r="F412" t="s">
        <v>484</v>
      </c>
      <c r="G412" t="s">
        <v>86</v>
      </c>
      <c r="H412" t="s">
        <v>87</v>
      </c>
      <c r="I412" t="s">
        <v>7</v>
      </c>
      <c r="J412" s="3">
        <v>-20.93</v>
      </c>
      <c r="K412" t="str">
        <f t="shared" si="23"/>
        <v>février</v>
      </c>
      <c r="L412" t="str">
        <f t="shared" si="24"/>
        <v>Dépenses</v>
      </c>
    </row>
    <row r="413" spans="1:12" x14ac:dyDescent="0.2">
      <c r="A413" t="s">
        <v>69</v>
      </c>
      <c r="B413" s="4" t="s">
        <v>70</v>
      </c>
      <c r="C413" s="7" t="s">
        <v>485</v>
      </c>
      <c r="D413" s="2">
        <v>43524</v>
      </c>
      <c r="E413" s="2">
        <f t="shared" si="22"/>
        <v>43524</v>
      </c>
      <c r="F413" t="s">
        <v>327</v>
      </c>
      <c r="G413" t="s">
        <v>328</v>
      </c>
      <c r="H413" t="s">
        <v>329</v>
      </c>
      <c r="I413" t="s">
        <v>7</v>
      </c>
      <c r="J413" s="3">
        <v>-12</v>
      </c>
      <c r="K413" t="str">
        <f t="shared" si="23"/>
        <v>février</v>
      </c>
      <c r="L413" t="str">
        <f t="shared" si="24"/>
        <v>Dépenses</v>
      </c>
    </row>
    <row r="414" spans="1:12" x14ac:dyDescent="0.2">
      <c r="A414" t="s">
        <v>94</v>
      </c>
      <c r="B414" t="s">
        <v>122</v>
      </c>
      <c r="C414">
        <v>8748454</v>
      </c>
      <c r="D414" s="2">
        <v>43524</v>
      </c>
      <c r="E414" s="2">
        <f t="shared" si="22"/>
        <v>43524</v>
      </c>
      <c r="F414" t="s">
        <v>54</v>
      </c>
      <c r="G414" t="s">
        <v>25</v>
      </c>
      <c r="H414" t="s">
        <v>486</v>
      </c>
      <c r="I414" t="s">
        <v>487</v>
      </c>
      <c r="J414" s="3">
        <v>-24</v>
      </c>
      <c r="K414" t="str">
        <f t="shared" si="23"/>
        <v>février</v>
      </c>
      <c r="L414" t="str">
        <f t="shared" si="24"/>
        <v>Dépenses</v>
      </c>
    </row>
  </sheetData>
  <conditionalFormatting sqref="I2 I27:I29 I83 I133 I150 I174 I186 I199 I211 I224 I236 I249 I289 I303 I320 I334 I347 I359 I373 I404 I34:I41 I95:I117 I264 I266:I276">
    <cfRule type="cellIs" dxfId="263" priority="262" operator="equal">
      <formula>"A venir"</formula>
    </cfRule>
    <cfRule type="cellIs" dxfId="262" priority="263" operator="equal">
      <formula>"Non"</formula>
    </cfRule>
    <cfRule type="cellIs" dxfId="261" priority="264" operator="equal">
      <formula>"Débité"</formula>
    </cfRule>
  </conditionalFormatting>
  <conditionalFormatting sqref="G2:H2 G57:H57 G83:H83 H27:H29 G58:G68 H34:H41 G95:G116">
    <cfRule type="containsText" dxfId="260" priority="261" operator="containsText" text="Estim">
      <formula>NOT(ISERROR(SEARCH("Estim",G2)))</formula>
    </cfRule>
  </conditionalFormatting>
  <conditionalFormatting sqref="H26 G133 G150">
    <cfRule type="containsText" dxfId="259" priority="260" operator="containsText" text="Estim">
      <formula>NOT(ISERROR(SEARCH("Estim",G26)))</formula>
    </cfRule>
  </conditionalFormatting>
  <conditionalFormatting sqref="I3:I13">
    <cfRule type="cellIs" dxfId="258" priority="257" operator="equal">
      <formula>"A venir"</formula>
    </cfRule>
    <cfRule type="cellIs" dxfId="257" priority="258" operator="equal">
      <formula>"Non"</formula>
    </cfRule>
    <cfRule type="cellIs" dxfId="256" priority="259" operator="equal">
      <formula>"Débité"</formula>
    </cfRule>
  </conditionalFormatting>
  <conditionalFormatting sqref="I14">
    <cfRule type="cellIs" dxfId="255" priority="253" operator="equal">
      <formula>"A venir"</formula>
    </cfRule>
    <cfRule type="cellIs" dxfId="254" priority="254" operator="equal">
      <formula>"Non"</formula>
    </cfRule>
    <cfRule type="cellIs" dxfId="253" priority="255" operator="equal">
      <formula>"Débité"</formula>
    </cfRule>
  </conditionalFormatting>
  <conditionalFormatting sqref="G3:H13">
    <cfRule type="containsText" dxfId="252" priority="256" operator="containsText" text="Estim">
      <formula>NOT(ISERROR(SEARCH("Estim",G3)))</formula>
    </cfRule>
  </conditionalFormatting>
  <conditionalFormatting sqref="G14:H14">
    <cfRule type="containsText" dxfId="251" priority="252" operator="containsText" text="Estim">
      <formula>NOT(ISERROR(SEARCH("Estim",G14)))</formula>
    </cfRule>
  </conditionalFormatting>
  <conditionalFormatting sqref="I15:I25">
    <cfRule type="cellIs" dxfId="250" priority="249" operator="equal">
      <formula>"A venir"</formula>
    </cfRule>
    <cfRule type="cellIs" dxfId="249" priority="250" operator="equal">
      <formula>"Non"</formula>
    </cfRule>
    <cfRule type="cellIs" dxfId="248" priority="251" operator="equal">
      <formula>"Débité"</formula>
    </cfRule>
  </conditionalFormatting>
  <conditionalFormatting sqref="G15:H25">
    <cfRule type="containsText" dxfId="247" priority="248" operator="containsText" text="Estim">
      <formula>NOT(ISERROR(SEARCH("Estim",G15)))</formula>
    </cfRule>
  </conditionalFormatting>
  <conditionalFormatting sqref="I26 I57">
    <cfRule type="cellIs" dxfId="246" priority="245" operator="equal">
      <formula>"A venir"</formula>
    </cfRule>
    <cfRule type="cellIs" dxfId="245" priority="246" operator="equal">
      <formula>"Non"</formula>
    </cfRule>
    <cfRule type="cellIs" dxfId="244" priority="247" operator="equal">
      <formula>"Débité"</formula>
    </cfRule>
  </conditionalFormatting>
  <conditionalFormatting sqref="G69:H76 G81:H82 G78:H78 H77">
    <cfRule type="containsText" dxfId="243" priority="244" operator="containsText" text="Estim">
      <formula>NOT(ISERROR(SEARCH("Estim",G69)))</formula>
    </cfRule>
  </conditionalFormatting>
  <conditionalFormatting sqref="I69:I78 I81:I82">
    <cfRule type="cellIs" dxfId="242" priority="241" operator="equal">
      <formula>"A venir"</formula>
    </cfRule>
    <cfRule type="cellIs" dxfId="241" priority="242" operator="equal">
      <formula>"Non"</formula>
    </cfRule>
    <cfRule type="cellIs" dxfId="240" priority="243" operator="equal">
      <formula>"Débité"</formula>
    </cfRule>
  </conditionalFormatting>
  <conditionalFormatting sqref="H58:H68">
    <cfRule type="containsText" dxfId="239" priority="240" operator="containsText" text="Estim">
      <formula>NOT(ISERROR(SEARCH("Estim",H58)))</formula>
    </cfRule>
  </conditionalFormatting>
  <conditionalFormatting sqref="I58:I68">
    <cfRule type="cellIs" dxfId="238" priority="237" operator="equal">
      <formula>"A venir"</formula>
    </cfRule>
    <cfRule type="cellIs" dxfId="237" priority="238" operator="equal">
      <formula>"Non"</formula>
    </cfRule>
    <cfRule type="cellIs" dxfId="236" priority="239" operator="equal">
      <formula>"Débité"</formula>
    </cfRule>
  </conditionalFormatting>
  <conditionalFormatting sqref="G43:H43">
    <cfRule type="containsText" dxfId="235" priority="236" operator="containsText" text="Estim">
      <formula>NOT(ISERROR(SEARCH("Estim",G43)))</formula>
    </cfRule>
  </conditionalFormatting>
  <conditionalFormatting sqref="I43">
    <cfRule type="cellIs" dxfId="234" priority="233" operator="equal">
      <formula>"A venir"</formula>
    </cfRule>
    <cfRule type="cellIs" dxfId="233" priority="234" operator="equal">
      <formula>"Non"</formula>
    </cfRule>
    <cfRule type="cellIs" dxfId="232" priority="235" operator="equal">
      <formula>"Débité"</formula>
    </cfRule>
  </conditionalFormatting>
  <conditionalFormatting sqref="G44:H47 G52:H56 G49:H50">
    <cfRule type="containsText" dxfId="231" priority="232" operator="containsText" text="Estim">
      <formula>NOT(ISERROR(SEARCH("Estim",G44)))</formula>
    </cfRule>
  </conditionalFormatting>
  <conditionalFormatting sqref="I44:I47 I52:I56 I49:I50">
    <cfRule type="cellIs" dxfId="230" priority="229" operator="equal">
      <formula>"A venir"</formula>
    </cfRule>
    <cfRule type="cellIs" dxfId="229" priority="230" operator="equal">
      <formula>"Non"</formula>
    </cfRule>
    <cfRule type="cellIs" dxfId="228" priority="231" operator="equal">
      <formula>"Débité"</formula>
    </cfRule>
  </conditionalFormatting>
  <conditionalFormatting sqref="I84:I94">
    <cfRule type="cellIs" dxfId="227" priority="226" operator="equal">
      <formula>"A venir"</formula>
    </cfRule>
    <cfRule type="cellIs" dxfId="226" priority="227" operator="equal">
      <formula>"Non"</formula>
    </cfRule>
    <cfRule type="cellIs" dxfId="225" priority="228" operator="equal">
      <formula>"Débité"</formula>
    </cfRule>
  </conditionalFormatting>
  <conditionalFormatting sqref="G84:H94">
    <cfRule type="containsText" dxfId="224" priority="225" operator="containsText" text="Estim">
      <formula>NOT(ISERROR(SEARCH("Estim",G84)))</formula>
    </cfRule>
  </conditionalFormatting>
  <conditionalFormatting sqref="I118:I119 I123 I125:I132">
    <cfRule type="cellIs" dxfId="223" priority="222" operator="equal">
      <formula>"A venir"</formula>
    </cfRule>
    <cfRule type="cellIs" dxfId="222" priority="223" operator="equal">
      <formula>"Non"</formula>
    </cfRule>
    <cfRule type="cellIs" dxfId="221" priority="224" operator="equal">
      <formula>"Débité"</formula>
    </cfRule>
  </conditionalFormatting>
  <conditionalFormatting sqref="I134:I135 I139:I143 I145:I146 I148:I149">
    <cfRule type="cellIs" dxfId="220" priority="219" operator="equal">
      <formula>"A venir"</formula>
    </cfRule>
    <cfRule type="cellIs" dxfId="219" priority="220" operator="equal">
      <formula>"Non"</formula>
    </cfRule>
    <cfRule type="cellIs" dxfId="218" priority="221" operator="equal">
      <formula>"Débité"</formula>
    </cfRule>
  </conditionalFormatting>
  <conditionalFormatting sqref="G134:G135 G139:G143 G145:G146 G148:G149">
    <cfRule type="containsText" dxfId="217" priority="218" operator="containsText" text="Estim">
      <formula>NOT(ISERROR(SEARCH("Estim",G134)))</formula>
    </cfRule>
  </conditionalFormatting>
  <conditionalFormatting sqref="I151:I161">
    <cfRule type="cellIs" dxfId="216" priority="215" operator="equal">
      <formula>"A venir"</formula>
    </cfRule>
    <cfRule type="cellIs" dxfId="215" priority="216" operator="equal">
      <formula>"Non"</formula>
    </cfRule>
    <cfRule type="cellIs" dxfId="214" priority="217" operator="equal">
      <formula>"Débité"</formula>
    </cfRule>
  </conditionalFormatting>
  <conditionalFormatting sqref="G151:G161">
    <cfRule type="containsText" dxfId="213" priority="214" operator="containsText" text="Estim">
      <formula>NOT(ISERROR(SEARCH("Estim",G151)))</formula>
    </cfRule>
  </conditionalFormatting>
  <conditionalFormatting sqref="I162">
    <cfRule type="cellIs" dxfId="212" priority="211" operator="equal">
      <formula>"A venir"</formula>
    </cfRule>
    <cfRule type="cellIs" dxfId="211" priority="212" operator="equal">
      <formula>"Non"</formula>
    </cfRule>
    <cfRule type="cellIs" dxfId="210" priority="213" operator="equal">
      <formula>"Débité"</formula>
    </cfRule>
  </conditionalFormatting>
  <conditionalFormatting sqref="G162">
    <cfRule type="containsText" dxfId="209" priority="210" operator="containsText" text="Estim">
      <formula>NOT(ISERROR(SEARCH("Estim",G162)))</formula>
    </cfRule>
  </conditionalFormatting>
  <conditionalFormatting sqref="I163:I173">
    <cfRule type="cellIs" dxfId="208" priority="207" operator="equal">
      <formula>"A venir"</formula>
    </cfRule>
    <cfRule type="cellIs" dxfId="207" priority="208" operator="equal">
      <formula>"Non"</formula>
    </cfRule>
    <cfRule type="cellIs" dxfId="206" priority="209" operator="equal">
      <formula>"Débité"</formula>
    </cfRule>
  </conditionalFormatting>
  <conditionalFormatting sqref="G163:G173">
    <cfRule type="containsText" dxfId="205" priority="206" operator="containsText" text="Estim">
      <formula>NOT(ISERROR(SEARCH("Estim",G163)))</formula>
    </cfRule>
  </conditionalFormatting>
  <conditionalFormatting sqref="I175:I185">
    <cfRule type="cellIs" dxfId="204" priority="203" operator="equal">
      <formula>"A venir"</formula>
    </cfRule>
    <cfRule type="cellIs" dxfId="203" priority="204" operator="equal">
      <formula>"Non"</formula>
    </cfRule>
    <cfRule type="cellIs" dxfId="202" priority="205" operator="equal">
      <formula>"Débité"</formula>
    </cfRule>
  </conditionalFormatting>
  <conditionalFormatting sqref="I187:I188 I190:I198">
    <cfRule type="cellIs" dxfId="201" priority="200" operator="equal">
      <formula>"A venir"</formula>
    </cfRule>
    <cfRule type="cellIs" dxfId="200" priority="201" operator="equal">
      <formula>"Non"</formula>
    </cfRule>
    <cfRule type="cellIs" dxfId="199" priority="202" operator="equal">
      <formula>"Débité"</formula>
    </cfRule>
  </conditionalFormatting>
  <conditionalFormatting sqref="I200:I210">
    <cfRule type="cellIs" dxfId="198" priority="197" operator="equal">
      <formula>"A venir"</formula>
    </cfRule>
    <cfRule type="cellIs" dxfId="197" priority="198" operator="equal">
      <formula>"Non"</formula>
    </cfRule>
    <cfRule type="cellIs" dxfId="196" priority="199" operator="equal">
      <formula>"Débité"</formula>
    </cfRule>
  </conditionalFormatting>
  <conditionalFormatting sqref="I212:I214 I216:I223">
    <cfRule type="cellIs" dxfId="195" priority="194" operator="equal">
      <formula>"A venir"</formula>
    </cfRule>
    <cfRule type="cellIs" dxfId="194" priority="195" operator="equal">
      <formula>"Non"</formula>
    </cfRule>
    <cfRule type="cellIs" dxfId="193" priority="196" operator="equal">
      <formula>"Débité"</formula>
    </cfRule>
  </conditionalFormatting>
  <conditionalFormatting sqref="I225:I235">
    <cfRule type="cellIs" dxfId="192" priority="191" operator="equal">
      <formula>"A venir"</formula>
    </cfRule>
    <cfRule type="cellIs" dxfId="191" priority="192" operator="equal">
      <formula>"Non"</formula>
    </cfRule>
    <cfRule type="cellIs" dxfId="190" priority="193" operator="equal">
      <formula>"Débité"</formula>
    </cfRule>
  </conditionalFormatting>
  <conditionalFormatting sqref="I239:I248">
    <cfRule type="cellIs" dxfId="189" priority="188" operator="equal">
      <formula>"A venir"</formula>
    </cfRule>
    <cfRule type="cellIs" dxfId="188" priority="189" operator="equal">
      <formula>"Non"</formula>
    </cfRule>
    <cfRule type="cellIs" dxfId="187" priority="190" operator="equal">
      <formula>"Débité"</formula>
    </cfRule>
  </conditionalFormatting>
  <conditionalFormatting sqref="I251:I253 I255 I257:I263">
    <cfRule type="cellIs" dxfId="186" priority="185" operator="equal">
      <formula>"A venir"</formula>
    </cfRule>
    <cfRule type="cellIs" dxfId="185" priority="186" operator="equal">
      <formula>"Non"</formula>
    </cfRule>
    <cfRule type="cellIs" dxfId="184" priority="187" operator="equal">
      <formula>"Débité"</formula>
    </cfRule>
  </conditionalFormatting>
  <conditionalFormatting sqref="I277:I286 I288">
    <cfRule type="cellIs" dxfId="183" priority="182" operator="equal">
      <formula>"A venir"</formula>
    </cfRule>
    <cfRule type="cellIs" dxfId="182" priority="183" operator="equal">
      <formula>"Non"</formula>
    </cfRule>
    <cfRule type="cellIs" dxfId="181" priority="184" operator="equal">
      <formula>"Débité"</formula>
    </cfRule>
  </conditionalFormatting>
  <conditionalFormatting sqref="I291:I299 I301:I302">
    <cfRule type="cellIs" dxfId="180" priority="179" operator="equal">
      <formula>"A venir"</formula>
    </cfRule>
    <cfRule type="cellIs" dxfId="179" priority="180" operator="equal">
      <formula>"Non"</formula>
    </cfRule>
    <cfRule type="cellIs" dxfId="178" priority="181" operator="equal">
      <formula>"Débité"</formula>
    </cfRule>
  </conditionalFormatting>
  <conditionalFormatting sqref="I304:I306 I308:I310 I313:I317">
    <cfRule type="cellIs" dxfId="177" priority="176" operator="equal">
      <formula>"A venir"</formula>
    </cfRule>
    <cfRule type="cellIs" dxfId="176" priority="177" operator="equal">
      <formula>"Non"</formula>
    </cfRule>
    <cfRule type="cellIs" dxfId="175" priority="178" operator="equal">
      <formula>"Débité"</formula>
    </cfRule>
  </conditionalFormatting>
  <conditionalFormatting sqref="I321:I330 I333">
    <cfRule type="cellIs" dxfId="174" priority="173" operator="equal">
      <formula>"A venir"</formula>
    </cfRule>
    <cfRule type="cellIs" dxfId="173" priority="174" operator="equal">
      <formula>"Non"</formula>
    </cfRule>
    <cfRule type="cellIs" dxfId="172" priority="175" operator="equal">
      <formula>"Débité"</formula>
    </cfRule>
  </conditionalFormatting>
  <conditionalFormatting sqref="I335:I339 I341:I346">
    <cfRule type="cellIs" dxfId="171" priority="170" operator="equal">
      <formula>"A venir"</formula>
    </cfRule>
    <cfRule type="cellIs" dxfId="170" priority="171" operator="equal">
      <formula>"Non"</formula>
    </cfRule>
    <cfRule type="cellIs" dxfId="169" priority="172" operator="equal">
      <formula>"Débité"</formula>
    </cfRule>
  </conditionalFormatting>
  <conditionalFormatting sqref="I348:I358">
    <cfRule type="cellIs" dxfId="168" priority="167" operator="equal">
      <formula>"A venir"</formula>
    </cfRule>
    <cfRule type="cellIs" dxfId="167" priority="168" operator="equal">
      <formula>"Non"</formula>
    </cfRule>
    <cfRule type="cellIs" dxfId="166" priority="169" operator="equal">
      <formula>"Débité"</formula>
    </cfRule>
  </conditionalFormatting>
  <conditionalFormatting sqref="I360:I364 I369:I372 I366:I367">
    <cfRule type="cellIs" dxfId="165" priority="164" operator="equal">
      <formula>"A venir"</formula>
    </cfRule>
    <cfRule type="cellIs" dxfId="164" priority="165" operator="equal">
      <formula>"Non"</formula>
    </cfRule>
    <cfRule type="cellIs" dxfId="163" priority="166" operator="equal">
      <formula>"Débité"</formula>
    </cfRule>
  </conditionalFormatting>
  <conditionalFormatting sqref="I374:I382">
    <cfRule type="cellIs" dxfId="162" priority="161" operator="equal">
      <formula>"A venir"</formula>
    </cfRule>
    <cfRule type="cellIs" dxfId="161" priority="162" operator="equal">
      <formula>"Non"</formula>
    </cfRule>
    <cfRule type="cellIs" dxfId="160" priority="163" operator="equal">
      <formula>"Débité"</formula>
    </cfRule>
  </conditionalFormatting>
  <conditionalFormatting sqref="I395 I399 I403">
    <cfRule type="cellIs" dxfId="159" priority="158" operator="equal">
      <formula>"A venir"</formula>
    </cfRule>
    <cfRule type="cellIs" dxfId="158" priority="159" operator="equal">
      <formula>"Non"</formula>
    </cfRule>
    <cfRule type="cellIs" dxfId="157" priority="160" operator="equal">
      <formula>"Débité"</formula>
    </cfRule>
  </conditionalFormatting>
  <conditionalFormatting sqref="I405:I408 I410:I411 I413:I414">
    <cfRule type="cellIs" dxfId="156" priority="155" operator="equal">
      <formula>"A venir"</formula>
    </cfRule>
    <cfRule type="cellIs" dxfId="155" priority="156" operator="equal">
      <formula>"Non"</formula>
    </cfRule>
    <cfRule type="cellIs" dxfId="154" priority="157" operator="equal">
      <formula>"Débité"</formula>
    </cfRule>
  </conditionalFormatting>
  <conditionalFormatting sqref="I121">
    <cfRule type="cellIs" dxfId="153" priority="131" operator="equal">
      <formula>"A venir"</formula>
    </cfRule>
    <cfRule type="cellIs" dxfId="152" priority="132" operator="equal">
      <formula>"Non"</formula>
    </cfRule>
    <cfRule type="cellIs" dxfId="151" priority="133" operator="equal">
      <formula>"Débité"</formula>
    </cfRule>
  </conditionalFormatting>
  <conditionalFormatting sqref="I30:I31 I33">
    <cfRule type="cellIs" dxfId="150" priority="152" operator="equal">
      <formula>"A venir"</formula>
    </cfRule>
    <cfRule type="cellIs" dxfId="149" priority="153" operator="equal">
      <formula>"Non"</formula>
    </cfRule>
    <cfRule type="cellIs" dxfId="148" priority="154" operator="equal">
      <formula>"Débité"</formula>
    </cfRule>
  </conditionalFormatting>
  <conditionalFormatting sqref="H30:H31">
    <cfRule type="containsText" dxfId="147" priority="151" operator="containsText" text="Estim">
      <formula>NOT(ISERROR(SEARCH("Estim",H30)))</formula>
    </cfRule>
  </conditionalFormatting>
  <conditionalFormatting sqref="H33">
    <cfRule type="containsText" dxfId="146" priority="150" operator="containsText" text="Estim">
      <formula>NOT(ISERROR(SEARCH("Estim",H33)))</formula>
    </cfRule>
  </conditionalFormatting>
  <conditionalFormatting sqref="I32">
    <cfRule type="cellIs" dxfId="145" priority="147" operator="equal">
      <formula>"A venir"</formula>
    </cfRule>
    <cfRule type="cellIs" dxfId="144" priority="148" operator="equal">
      <formula>"Non"</formula>
    </cfRule>
    <cfRule type="cellIs" dxfId="143" priority="149" operator="equal">
      <formula>"Débité"</formula>
    </cfRule>
  </conditionalFormatting>
  <conditionalFormatting sqref="H32">
    <cfRule type="containsText" dxfId="142" priority="146" operator="containsText" text="Estim">
      <formula>NOT(ISERROR(SEARCH("Estim",H32)))</formula>
    </cfRule>
  </conditionalFormatting>
  <conditionalFormatting sqref="G42:H42">
    <cfRule type="containsText" dxfId="141" priority="145" operator="containsText" text="Estim">
      <formula>NOT(ISERROR(SEARCH("Estim",G42)))</formula>
    </cfRule>
  </conditionalFormatting>
  <conditionalFormatting sqref="I42">
    <cfRule type="cellIs" dxfId="140" priority="142" operator="equal">
      <formula>"A venir"</formula>
    </cfRule>
    <cfRule type="cellIs" dxfId="139" priority="143" operator="equal">
      <formula>"Non"</formula>
    </cfRule>
    <cfRule type="cellIs" dxfId="138" priority="144" operator="equal">
      <formula>"Débité"</formula>
    </cfRule>
  </conditionalFormatting>
  <conditionalFormatting sqref="G80:H80">
    <cfRule type="containsText" dxfId="137" priority="141" operator="containsText" text="Estim">
      <formula>NOT(ISERROR(SEARCH("Estim",G80)))</formula>
    </cfRule>
  </conditionalFormatting>
  <conditionalFormatting sqref="I80">
    <cfRule type="cellIs" dxfId="136" priority="138" operator="equal">
      <formula>"A venir"</formula>
    </cfRule>
    <cfRule type="cellIs" dxfId="135" priority="139" operator="equal">
      <formula>"Non"</formula>
    </cfRule>
    <cfRule type="cellIs" dxfId="134" priority="140" operator="equal">
      <formula>"Débité"</formula>
    </cfRule>
  </conditionalFormatting>
  <conditionalFormatting sqref="G79:H79">
    <cfRule type="containsText" dxfId="133" priority="137" operator="containsText" text="Estim">
      <formula>NOT(ISERROR(SEARCH("Estim",G79)))</formula>
    </cfRule>
  </conditionalFormatting>
  <conditionalFormatting sqref="I79">
    <cfRule type="cellIs" dxfId="132" priority="134" operator="equal">
      <formula>"A venir"</formula>
    </cfRule>
    <cfRule type="cellIs" dxfId="131" priority="135" operator="equal">
      <formula>"Non"</formula>
    </cfRule>
    <cfRule type="cellIs" dxfId="130" priority="136" operator="equal">
      <formula>"Débité"</formula>
    </cfRule>
  </conditionalFormatting>
  <conditionalFormatting sqref="I122">
    <cfRule type="cellIs" dxfId="129" priority="128" operator="equal">
      <formula>"A venir"</formula>
    </cfRule>
    <cfRule type="cellIs" dxfId="128" priority="129" operator="equal">
      <formula>"Non"</formula>
    </cfRule>
    <cfRule type="cellIs" dxfId="127" priority="130" operator="equal">
      <formula>"Débité"</formula>
    </cfRule>
  </conditionalFormatting>
  <conditionalFormatting sqref="I120">
    <cfRule type="cellIs" dxfId="126" priority="125" operator="equal">
      <formula>"A venir"</formula>
    </cfRule>
    <cfRule type="cellIs" dxfId="125" priority="126" operator="equal">
      <formula>"Non"</formula>
    </cfRule>
    <cfRule type="cellIs" dxfId="124" priority="127" operator="equal">
      <formula>"Débité"</formula>
    </cfRule>
  </conditionalFormatting>
  <conditionalFormatting sqref="G51:H51">
    <cfRule type="containsText" dxfId="123" priority="124" operator="containsText" text="Estim">
      <formula>NOT(ISERROR(SEARCH("Estim",G51)))</formula>
    </cfRule>
  </conditionalFormatting>
  <conditionalFormatting sqref="I51">
    <cfRule type="cellIs" dxfId="122" priority="121" operator="equal">
      <formula>"A venir"</formula>
    </cfRule>
    <cfRule type="cellIs" dxfId="121" priority="122" operator="equal">
      <formula>"Non"</formula>
    </cfRule>
    <cfRule type="cellIs" dxfId="120" priority="123" operator="equal">
      <formula>"Débité"</formula>
    </cfRule>
  </conditionalFormatting>
  <conditionalFormatting sqref="G48:H48">
    <cfRule type="containsText" dxfId="119" priority="120" operator="containsText" text="Estim">
      <formula>NOT(ISERROR(SEARCH("Estim",G48)))</formula>
    </cfRule>
  </conditionalFormatting>
  <conditionalFormatting sqref="I48">
    <cfRule type="cellIs" dxfId="118" priority="117" operator="equal">
      <formula>"A venir"</formula>
    </cfRule>
    <cfRule type="cellIs" dxfId="117" priority="118" operator="equal">
      <formula>"Non"</formula>
    </cfRule>
    <cfRule type="cellIs" dxfId="116" priority="119" operator="equal">
      <formula>"Débité"</formula>
    </cfRule>
  </conditionalFormatting>
  <conditionalFormatting sqref="I138">
    <cfRule type="cellIs" dxfId="115" priority="114" operator="equal">
      <formula>"A venir"</formula>
    </cfRule>
    <cfRule type="cellIs" dxfId="114" priority="115" operator="equal">
      <formula>"Non"</formula>
    </cfRule>
    <cfRule type="cellIs" dxfId="113" priority="116" operator="equal">
      <formula>"Débité"</formula>
    </cfRule>
  </conditionalFormatting>
  <conditionalFormatting sqref="G138">
    <cfRule type="containsText" dxfId="112" priority="113" operator="containsText" text="Estim">
      <formula>NOT(ISERROR(SEARCH("Estim",G138)))</formula>
    </cfRule>
  </conditionalFormatting>
  <conditionalFormatting sqref="I124">
    <cfRule type="cellIs" dxfId="111" priority="110" operator="equal">
      <formula>"A venir"</formula>
    </cfRule>
    <cfRule type="cellIs" dxfId="110" priority="111" operator="equal">
      <formula>"Non"</formula>
    </cfRule>
    <cfRule type="cellIs" dxfId="109" priority="112" operator="equal">
      <formula>"Débité"</formula>
    </cfRule>
  </conditionalFormatting>
  <conditionalFormatting sqref="I137">
    <cfRule type="cellIs" dxfId="108" priority="107" operator="equal">
      <formula>"A venir"</formula>
    </cfRule>
    <cfRule type="cellIs" dxfId="107" priority="108" operator="equal">
      <formula>"Non"</formula>
    </cfRule>
    <cfRule type="cellIs" dxfId="106" priority="109" operator="equal">
      <formula>"Débité"</formula>
    </cfRule>
  </conditionalFormatting>
  <conditionalFormatting sqref="G137">
    <cfRule type="containsText" dxfId="105" priority="106" operator="containsText" text="Estim">
      <formula>NOT(ISERROR(SEARCH("Estim",G137)))</formula>
    </cfRule>
  </conditionalFormatting>
  <conditionalFormatting sqref="I136">
    <cfRule type="cellIs" dxfId="104" priority="103" operator="equal">
      <formula>"A venir"</formula>
    </cfRule>
    <cfRule type="cellIs" dxfId="103" priority="104" operator="equal">
      <formula>"Non"</formula>
    </cfRule>
    <cfRule type="cellIs" dxfId="102" priority="105" operator="equal">
      <formula>"Débité"</formula>
    </cfRule>
  </conditionalFormatting>
  <conditionalFormatting sqref="G136">
    <cfRule type="containsText" dxfId="101" priority="102" operator="containsText" text="Estim">
      <formula>NOT(ISERROR(SEARCH("Estim",G136)))</formula>
    </cfRule>
  </conditionalFormatting>
  <conditionalFormatting sqref="I144">
    <cfRule type="cellIs" dxfId="100" priority="99" operator="equal">
      <formula>"A venir"</formula>
    </cfRule>
    <cfRule type="cellIs" dxfId="99" priority="100" operator="equal">
      <formula>"Non"</formula>
    </cfRule>
    <cfRule type="cellIs" dxfId="98" priority="101" operator="equal">
      <formula>"Débité"</formula>
    </cfRule>
  </conditionalFormatting>
  <conditionalFormatting sqref="G144">
    <cfRule type="containsText" dxfId="97" priority="98" operator="containsText" text="Estim">
      <formula>NOT(ISERROR(SEARCH("Estim",G144)))</formula>
    </cfRule>
  </conditionalFormatting>
  <conditionalFormatting sqref="I147">
    <cfRule type="cellIs" dxfId="96" priority="95" operator="equal">
      <formula>"A venir"</formula>
    </cfRule>
    <cfRule type="cellIs" dxfId="95" priority="96" operator="equal">
      <formula>"Non"</formula>
    </cfRule>
    <cfRule type="cellIs" dxfId="94" priority="97" operator="equal">
      <formula>"Débité"</formula>
    </cfRule>
  </conditionalFormatting>
  <conditionalFormatting sqref="G147">
    <cfRule type="containsText" dxfId="93" priority="94" operator="containsText" text="Estim">
      <formula>NOT(ISERROR(SEARCH("Estim",G147)))</formula>
    </cfRule>
  </conditionalFormatting>
  <conditionalFormatting sqref="I254">
    <cfRule type="cellIs" dxfId="92" priority="91" operator="equal">
      <formula>"A venir"</formula>
    </cfRule>
    <cfRule type="cellIs" dxfId="91" priority="92" operator="equal">
      <formula>"Non"</formula>
    </cfRule>
    <cfRule type="cellIs" dxfId="90" priority="93" operator="equal">
      <formula>"Débité"</formula>
    </cfRule>
  </conditionalFormatting>
  <conditionalFormatting sqref="I215">
    <cfRule type="cellIs" dxfId="89" priority="88" operator="equal">
      <formula>"A venir"</formula>
    </cfRule>
    <cfRule type="cellIs" dxfId="88" priority="89" operator="equal">
      <formula>"Non"</formula>
    </cfRule>
    <cfRule type="cellIs" dxfId="87" priority="90" operator="equal">
      <formula>"Débité"</formula>
    </cfRule>
  </conditionalFormatting>
  <conditionalFormatting sqref="G393:G394 G355:G356 G315:G316 G249 G242 G77">
    <cfRule type="containsText" dxfId="86" priority="87" operator="containsText" text="Estim">
      <formula>NOT(ISERROR(SEARCH("Estim",G77)))</formula>
    </cfRule>
  </conditionalFormatting>
  <conditionalFormatting sqref="I287">
    <cfRule type="cellIs" dxfId="85" priority="84" operator="equal">
      <formula>"A venir"</formula>
    </cfRule>
    <cfRule type="cellIs" dxfId="84" priority="85" operator="equal">
      <formula>"Non"</formula>
    </cfRule>
    <cfRule type="cellIs" dxfId="83" priority="86" operator="equal">
      <formula>"Débité"</formula>
    </cfRule>
  </conditionalFormatting>
  <conditionalFormatting sqref="I318:I319">
    <cfRule type="cellIs" dxfId="82" priority="81" operator="equal">
      <formula>"A venir"</formula>
    </cfRule>
    <cfRule type="cellIs" dxfId="81" priority="82" operator="equal">
      <formula>"Non"</formula>
    </cfRule>
    <cfRule type="cellIs" dxfId="80" priority="83" operator="equal">
      <formula>"Débité"</formula>
    </cfRule>
  </conditionalFormatting>
  <conditionalFormatting sqref="I307">
    <cfRule type="cellIs" dxfId="79" priority="78" operator="equal">
      <formula>"A venir"</formula>
    </cfRule>
    <cfRule type="cellIs" dxfId="78" priority="79" operator="equal">
      <formula>"Non"</formula>
    </cfRule>
    <cfRule type="cellIs" dxfId="77" priority="80" operator="equal">
      <formula>"Débité"</formula>
    </cfRule>
  </conditionalFormatting>
  <conditionalFormatting sqref="I300">
    <cfRule type="cellIs" dxfId="76" priority="75" operator="equal">
      <formula>"A venir"</formula>
    </cfRule>
    <cfRule type="cellIs" dxfId="75" priority="76" operator="equal">
      <formula>"Non"</formula>
    </cfRule>
    <cfRule type="cellIs" dxfId="74" priority="77" operator="equal">
      <formula>"Débité"</formula>
    </cfRule>
  </conditionalFormatting>
  <conditionalFormatting sqref="I312">
    <cfRule type="cellIs" dxfId="73" priority="72" operator="equal">
      <formula>"A venir"</formula>
    </cfRule>
    <cfRule type="cellIs" dxfId="72" priority="73" operator="equal">
      <formula>"Non"</formula>
    </cfRule>
    <cfRule type="cellIs" dxfId="71" priority="74" operator="equal">
      <formula>"Débité"</formula>
    </cfRule>
  </conditionalFormatting>
  <conditionalFormatting sqref="I311">
    <cfRule type="cellIs" dxfId="70" priority="69" operator="equal">
      <formula>"A venir"</formula>
    </cfRule>
    <cfRule type="cellIs" dxfId="69" priority="70" operator="equal">
      <formula>"Non"</formula>
    </cfRule>
    <cfRule type="cellIs" dxfId="68" priority="71" operator="equal">
      <formula>"Débité"</formula>
    </cfRule>
  </conditionalFormatting>
  <conditionalFormatting sqref="G410 G342">
    <cfRule type="containsText" dxfId="67" priority="68" operator="containsText" text="Estim">
      <formula>NOT(ISERROR(SEARCH("Estim",G342)))</formula>
    </cfRule>
  </conditionalFormatting>
  <conditionalFormatting sqref="I290">
    <cfRule type="cellIs" dxfId="66" priority="65" operator="equal">
      <formula>"A venir"</formula>
    </cfRule>
    <cfRule type="cellIs" dxfId="65" priority="66" operator="equal">
      <formula>"Non"</formula>
    </cfRule>
    <cfRule type="cellIs" dxfId="64" priority="67" operator="equal">
      <formula>"Débité"</formula>
    </cfRule>
  </conditionalFormatting>
  <conditionalFormatting sqref="I368">
    <cfRule type="cellIs" dxfId="63" priority="62" operator="equal">
      <formula>"A venir"</formula>
    </cfRule>
    <cfRule type="cellIs" dxfId="62" priority="63" operator="equal">
      <formula>"Non"</formula>
    </cfRule>
    <cfRule type="cellIs" dxfId="61" priority="64" operator="equal">
      <formula>"Débité"</formula>
    </cfRule>
  </conditionalFormatting>
  <conditionalFormatting sqref="I365">
    <cfRule type="cellIs" dxfId="60" priority="59" operator="equal">
      <formula>"A venir"</formula>
    </cfRule>
    <cfRule type="cellIs" dxfId="59" priority="60" operator="equal">
      <formula>"Non"</formula>
    </cfRule>
    <cfRule type="cellIs" dxfId="58" priority="61" operator="equal">
      <formula>"Débité"</formula>
    </cfRule>
  </conditionalFormatting>
  <conditionalFormatting sqref="I383:I390 I392:I394">
    <cfRule type="cellIs" dxfId="57" priority="56" operator="equal">
      <formula>"A venir"</formula>
    </cfRule>
    <cfRule type="cellIs" dxfId="56" priority="57" operator="equal">
      <formula>"Non"</formula>
    </cfRule>
    <cfRule type="cellIs" dxfId="55" priority="58" operator="equal">
      <formula>"Débité"</formula>
    </cfRule>
  </conditionalFormatting>
  <conditionalFormatting sqref="I391">
    <cfRule type="cellIs" dxfId="54" priority="53" operator="equal">
      <formula>"A venir"</formula>
    </cfRule>
    <cfRule type="cellIs" dxfId="53" priority="54" operator="equal">
      <formula>"Non"</formula>
    </cfRule>
    <cfRule type="cellIs" dxfId="52" priority="55" operator="equal">
      <formula>"Débité"</formula>
    </cfRule>
  </conditionalFormatting>
  <conditionalFormatting sqref="I409">
    <cfRule type="cellIs" dxfId="51" priority="50" operator="equal">
      <formula>"A venir"</formula>
    </cfRule>
    <cfRule type="cellIs" dxfId="50" priority="51" operator="equal">
      <formula>"Non"</formula>
    </cfRule>
    <cfRule type="cellIs" dxfId="49" priority="52" operator="equal">
      <formula>"Débité"</formula>
    </cfRule>
  </conditionalFormatting>
  <conditionalFormatting sqref="G409">
    <cfRule type="containsText" dxfId="48" priority="49" operator="containsText" text="Estim">
      <formula>NOT(ISERROR(SEARCH("Estim",G409)))</formula>
    </cfRule>
  </conditionalFormatting>
  <conditionalFormatting sqref="I340">
    <cfRule type="cellIs" dxfId="47" priority="46" operator="equal">
      <formula>"A venir"</formula>
    </cfRule>
    <cfRule type="cellIs" dxfId="46" priority="47" operator="equal">
      <formula>"Non"</formula>
    </cfRule>
    <cfRule type="cellIs" dxfId="45" priority="48" operator="equal">
      <formula>"Débité"</formula>
    </cfRule>
  </conditionalFormatting>
  <conditionalFormatting sqref="I256">
    <cfRule type="cellIs" dxfId="44" priority="43" operator="equal">
      <formula>"A venir"</formula>
    </cfRule>
    <cfRule type="cellIs" dxfId="43" priority="44" operator="equal">
      <formula>"Non"</formula>
    </cfRule>
    <cfRule type="cellIs" dxfId="42" priority="45" operator="equal">
      <formula>"Débité"</formula>
    </cfRule>
  </conditionalFormatting>
  <conditionalFormatting sqref="I396:I397">
    <cfRule type="cellIs" dxfId="41" priority="40" operator="equal">
      <formula>"A venir"</formula>
    </cfRule>
    <cfRule type="cellIs" dxfId="40" priority="41" operator="equal">
      <formula>"Non"</formula>
    </cfRule>
    <cfRule type="cellIs" dxfId="39" priority="42" operator="equal">
      <formula>"Débité"</formula>
    </cfRule>
  </conditionalFormatting>
  <conditionalFormatting sqref="I331">
    <cfRule type="cellIs" dxfId="38" priority="37" operator="equal">
      <formula>"A venir"</formula>
    </cfRule>
    <cfRule type="cellIs" dxfId="37" priority="38" operator="equal">
      <formula>"Non"</formula>
    </cfRule>
    <cfRule type="cellIs" dxfId="36" priority="39" operator="equal">
      <formula>"Débité"</formula>
    </cfRule>
  </conditionalFormatting>
  <conditionalFormatting sqref="I332">
    <cfRule type="cellIs" dxfId="35" priority="34" operator="equal">
      <formula>"A venir"</formula>
    </cfRule>
    <cfRule type="cellIs" dxfId="34" priority="35" operator="equal">
      <formula>"Non"</formula>
    </cfRule>
    <cfRule type="cellIs" dxfId="33" priority="36" operator="equal">
      <formula>"Débité"</formula>
    </cfRule>
  </conditionalFormatting>
  <conditionalFormatting sqref="I401">
    <cfRule type="cellIs" dxfId="32" priority="31" operator="equal">
      <formula>"A venir"</formula>
    </cfRule>
    <cfRule type="cellIs" dxfId="31" priority="32" operator="equal">
      <formula>"Non"</formula>
    </cfRule>
    <cfRule type="cellIs" dxfId="30" priority="33" operator="equal">
      <formula>"Débité"</formula>
    </cfRule>
  </conditionalFormatting>
  <conditionalFormatting sqref="I402">
    <cfRule type="cellIs" dxfId="29" priority="28" operator="equal">
      <formula>"A venir"</formula>
    </cfRule>
    <cfRule type="cellIs" dxfId="28" priority="29" operator="equal">
      <formula>"Non"</formula>
    </cfRule>
    <cfRule type="cellIs" dxfId="27" priority="30" operator="equal">
      <formula>"Débité"</formula>
    </cfRule>
  </conditionalFormatting>
  <conditionalFormatting sqref="I398">
    <cfRule type="cellIs" dxfId="26" priority="25" operator="equal">
      <formula>"A venir"</formula>
    </cfRule>
    <cfRule type="cellIs" dxfId="25" priority="26" operator="equal">
      <formula>"Non"</formula>
    </cfRule>
    <cfRule type="cellIs" dxfId="24" priority="27" operator="equal">
      <formula>"Débité"</formula>
    </cfRule>
  </conditionalFormatting>
  <conditionalFormatting sqref="I189">
    <cfRule type="cellIs" dxfId="23" priority="22" operator="equal">
      <formula>"A venir"</formula>
    </cfRule>
    <cfRule type="cellIs" dxfId="22" priority="23" operator="equal">
      <formula>"Non"</formula>
    </cfRule>
    <cfRule type="cellIs" dxfId="21" priority="24" operator="equal">
      <formula>"Débité"</formula>
    </cfRule>
  </conditionalFormatting>
  <conditionalFormatting sqref="I238">
    <cfRule type="cellIs" dxfId="20" priority="19" operator="equal">
      <formula>"A venir"</formula>
    </cfRule>
    <cfRule type="cellIs" dxfId="19" priority="20" operator="equal">
      <formula>"Non"</formula>
    </cfRule>
    <cfRule type="cellIs" dxfId="18" priority="21" operator="equal">
      <formula>"Débité"</formula>
    </cfRule>
  </conditionalFormatting>
  <conditionalFormatting sqref="I237">
    <cfRule type="cellIs" dxfId="17" priority="16" operator="equal">
      <formula>"A venir"</formula>
    </cfRule>
    <cfRule type="cellIs" dxfId="16" priority="17" operator="equal">
      <formula>"Non"</formula>
    </cfRule>
    <cfRule type="cellIs" dxfId="15" priority="18" operator="equal">
      <formula>"Débité"</formula>
    </cfRule>
  </conditionalFormatting>
  <conditionalFormatting sqref="I250">
    <cfRule type="cellIs" dxfId="14" priority="13" operator="equal">
      <formula>"A venir"</formula>
    </cfRule>
    <cfRule type="cellIs" dxfId="13" priority="14" operator="equal">
      <formula>"Non"</formula>
    </cfRule>
    <cfRule type="cellIs" dxfId="12" priority="15" operator="equal">
      <formula>"Débité"</formula>
    </cfRule>
  </conditionalFormatting>
  <conditionalFormatting sqref="I412">
    <cfRule type="cellIs" dxfId="11" priority="10" operator="equal">
      <formula>"A venir"</formula>
    </cfRule>
    <cfRule type="cellIs" dxfId="10" priority="11" operator="equal">
      <formula>"Non"</formula>
    </cfRule>
    <cfRule type="cellIs" dxfId="9" priority="12" operator="equal">
      <formula>"Débité"</formula>
    </cfRule>
  </conditionalFormatting>
  <conditionalFormatting sqref="I400">
    <cfRule type="cellIs" dxfId="8" priority="7" operator="equal">
      <formula>"A venir"</formula>
    </cfRule>
    <cfRule type="cellIs" dxfId="7" priority="8" operator="equal">
      <formula>"Non"</formula>
    </cfRule>
    <cfRule type="cellIs" dxfId="6" priority="9" operator="equal">
      <formula>"Débité"</formula>
    </cfRule>
  </conditionalFormatting>
  <conditionalFormatting sqref="I265">
    <cfRule type="cellIs" dxfId="5" priority="4" operator="equal">
      <formula>"A venir"</formula>
    </cfRule>
    <cfRule type="cellIs" dxfId="4" priority="5" operator="equal">
      <formula>"Non"</formula>
    </cfRule>
    <cfRule type="cellIs" dxfId="3" priority="6" operator="equal">
      <formula>"Débité"</formula>
    </cfRule>
  </conditionalFormatting>
  <conditionalFormatting sqref="I1">
    <cfRule type="cellIs" dxfId="2" priority="1" operator="equal">
      <formula>"A venir"</formula>
    </cfRule>
    <cfRule type="cellIs" dxfId="1" priority="2" operator="equal">
      <formula>"Non"</formula>
    </cfRule>
    <cfRule type="cellIs" dxfId="0" priority="3" operator="equal">
      <formula>"Débité"</formula>
    </cfRule>
  </conditionalFormatting>
  <hyperlinks>
    <hyperlink ref="C12" r:id="rId1" display="..\Factures Ticket caisse\20181203 Facture Fioul 883450003.pdf" xr:uid="{F9D8834B-BEE5-45E8-ADFD-DD09294E8626}"/>
    <hyperlink ref="C5" r:id="rId2" display="..\Factures Ticket caisse\20181203 Facture Fioul 883450003.pdf" xr:uid="{9A01DC2B-E9F4-4B11-A445-F649DE4A5D54}"/>
    <hyperlink ref="C34" r:id="rId3" xr:uid="{C01DC5A8-743D-4434-AE36-D37D896A066B}"/>
    <hyperlink ref="C90" r:id="rId4" xr:uid="{429CC494-734B-4140-BCD8-0D06A166C7D0}"/>
    <hyperlink ref="C113" r:id="rId5" display="..\Santé\Releve_de_remboursement_114630108 PDS Malone.pdf" xr:uid="{159F3E5E-FD8A-42DA-964D-14680BB24A5E}"/>
    <hyperlink ref="C182" r:id="rId6" xr:uid="{45E34C67-39E7-436F-A776-6CBF0D281449}"/>
    <hyperlink ref="C296" r:id="rId7" xr:uid="{F82C94CC-00C2-40D2-80EC-5396E6B0761A}"/>
  </hyperlinks>
  <pageMargins left="0.7" right="0.7" top="0.75" bottom="0.75" header="0.3" footer="0.3"/>
  <drawing r:id="rId8"/>
  <legacyDrawing r:id="rId9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10" name="Button 1">
              <controlPr defaultSize="0" print="0" autoFill="0" autoPict="0" macro="[0]!lancerFormulaire">
                <anchor moveWithCells="1" sizeWithCells="1">
                  <from>
                    <xdr:col>12</xdr:col>
                    <xdr:colOff>28575</xdr:colOff>
                    <xdr:row>0</xdr:row>
                    <xdr:rowOff>0</xdr:rowOff>
                  </from>
                  <to>
                    <xdr:col>14</xdr:col>
                    <xdr:colOff>628650</xdr:colOff>
                    <xdr:row>1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6" baseType="variant">
      <vt:variant>
        <vt:lpstr>Feuilles de calcul</vt:lpstr>
      </vt:variant>
      <vt:variant>
        <vt:i4>4</vt:i4>
      </vt:variant>
      <vt:variant>
        <vt:lpstr>Macros Excel 4.0</vt:lpstr>
      </vt:variant>
      <vt:variant>
        <vt:i4>1</vt:i4>
      </vt:variant>
      <vt:variant>
        <vt:lpstr>Plages nommées</vt:lpstr>
      </vt:variant>
      <vt:variant>
        <vt:i4>5</vt:i4>
      </vt:variant>
    </vt:vector>
  </HeadingPairs>
  <TitlesOfParts>
    <vt:vector size="10" baseType="lpstr">
      <vt:lpstr>Feuil1</vt:lpstr>
      <vt:lpstr>operations</vt:lpstr>
      <vt:lpstr>list</vt:lpstr>
      <vt:lpstr>Feuil4</vt:lpstr>
      <vt:lpstr>Macro1</vt:lpstr>
      <vt:lpstr>_Affectations</vt:lpstr>
      <vt:lpstr>_Comptes</vt:lpstr>
      <vt:lpstr>_MoyenPaiement</vt:lpstr>
      <vt:lpstr>_StatutInternet</vt:lpstr>
      <vt:lpstr>_Tiers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CD3Fr</dc:creator>
  <cp:lastModifiedBy>CD3Fr</cp:lastModifiedBy>
  <dcterms:created xsi:type="dcterms:W3CDTF">2019-05-24T14:42:14Z</dcterms:created>
  <dcterms:modified xsi:type="dcterms:W3CDTF">2019-05-26T09:41:14Z</dcterms:modified>
</cp:coreProperties>
</file>