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2" codeName="{51196F13-6AD0-C1B8-E2B4-A1F9AE17003E}"/>
  <workbookPr codeName="ThisWorkbook" defaultThemeVersion="166925"/>
  <mc:AlternateContent xmlns:mc="http://schemas.openxmlformats.org/markup-compatibility/2006">
    <mc:Choice Requires="x15">
      <x15ac:absPath xmlns:x15ac="http://schemas.microsoft.com/office/spreadsheetml/2010/11/ac" url="/Users/anil/Desktop/"/>
    </mc:Choice>
  </mc:AlternateContent>
  <xr:revisionPtr revIDLastSave="0" documentId="13_ncr:1_{7ACB46A9-A6E2-214E-9B64-08E599A5FBCA}" xr6:coauthVersionLast="43" xr6:coauthVersionMax="43" xr10:uidLastSave="{00000000-0000-0000-0000-000000000000}"/>
  <bookViews>
    <workbookView xWindow="0" yWindow="460" windowWidth="28800" windowHeight="17540" activeTab="3" xr2:uid="{00000000-000D-0000-FFFF-FFFF00000000}"/>
  </bookViews>
  <sheets>
    <sheet name="ACQUISITION FINANCEMENT" sheetId="2" r:id="rId1"/>
    <sheet name="LOCATION" sheetId="3" r:id="rId2"/>
    <sheet name="ETAT SURFACE - EVALUATION TRVX" sheetId="4" r:id="rId3"/>
    <sheet name="TRI " sheetId="1" r:id="rId4"/>
    <sheet name="TAM Refi " sheetId="16" r:id="rId5"/>
  </sheets>
  <externalReferences>
    <externalReference r:id="rId6"/>
    <externalReference r:id="rId7"/>
    <externalReference r:id="rId8"/>
    <externalReference r:id="rId9"/>
  </externalReferences>
  <definedNames>
    <definedName name="__FDS_HYPERLINK_TOGGLE_STATE__" hidden="1">"ON"</definedName>
    <definedName name="__PRN2" localSheetId="4" hidden="1">{"adj95mult",#N/A,FALSE,"COMPCO";"adj95est",#N/A,FALSE,"COMPCO"}</definedName>
    <definedName name="__PRN2" hidden="1">{"adj95mult",#N/A,FALSE,"COMPCO";"adj95est",#N/A,FALSE,"COMPCO"}</definedName>
    <definedName name="_1__FDSAUDITLINK__" localSheetId="4" hidden="1">{"fdsup://directions/FAT Viewer?action=UPDATE&amp;creator=factset&amp;DYN_ARGS=TRUE&amp;DOC_NAME=FAT:FQL_AUDITING_CLIENT_TEMPLATE.FAT&amp;display_string=Audit&amp;VAR:KEY=QDWBINOJIH&amp;VAR:QUERY=UkdGX1BCS19UQU5HKFFUUiwwLCwsLCwsTk9BVURJVCk=&amp;WINDOW=FIRST_POPUP&amp;HEIGHT=450&amp;WIDTH=450&amp;","START_MAXIMIZED=FALSE&amp;VAR:CALENDAR=US&amp;VAR:SYMBOL=PACW&amp;VAR:INDEX=0"}</definedName>
    <definedName name="_1__FDSAUDITLINK__" hidden="1">{"fdsup://directions/FAT Viewer?action=UPDATE&amp;creator=factset&amp;DYN_ARGS=TRUE&amp;DOC_NAME=FAT:FQL_AUDITING_CLIENT_TEMPLATE.FAT&amp;display_string=Audit&amp;VAR:KEY=QDWBINOJIH&amp;VAR:QUERY=UkdGX1BCS19UQU5HKFFUUiwwLCwsLCwsTk9BVURJVCk=&amp;WINDOW=FIRST_POPUP&amp;HEIGHT=450&amp;WIDTH=450&amp;","START_MAXIMIZED=FALSE&amp;VAR:CALENDAR=US&amp;VAR:SYMBOL=PACW&amp;VAR:INDEX=0"}</definedName>
    <definedName name="_2__FDSAUDITLINK__" localSheetId="4" hidden="1">{"fdsup://directions/FAT Viewer?action=UPDATE&amp;creator=factset&amp;DYN_ARGS=TRUE&amp;DOC_NAME=FAT:FQL_AUDITING_CLIENT_TEMPLATE.FAT&amp;display_string=Audit&amp;VAR:KEY=UJYLERKLUR&amp;VAR:QUERY=SlVMSUFOKElDX0VTVElNQVRFKEVQUygpLE1FRCxBTk4sMjAxMSw0MDgxNCwwKS5kYXRlcyk=&amp;WINDOW=FIRST","_POPUP&amp;HEIGHT=450&amp;WIDTH=450&amp;START_MAXIMIZED=FALSE&amp;VAR:CALENDAR=US&amp;VAR:SYMBOL=CYN&amp;VAR:INDEX=0"}</definedName>
    <definedName name="_2__FDSAUDITLINK__" hidden="1">{"fdsup://directions/FAT Viewer?action=UPDATE&amp;creator=factset&amp;DYN_ARGS=TRUE&amp;DOC_NAME=FAT:FQL_AUDITING_CLIENT_TEMPLATE.FAT&amp;display_string=Audit&amp;VAR:KEY=UJYLERKLUR&amp;VAR:QUERY=SlVMSUFOKElDX0VTVElNQVRFKEVQUygpLE1FRCxBTk4sMjAxMSw0MDgxNCwwKS5kYXRlcyk=&amp;WINDOW=FIRST","_POPUP&amp;HEIGHT=450&amp;WIDTH=450&amp;START_MAXIMIZED=FALSE&amp;VAR:CALENDAR=US&amp;VAR:SYMBOL=CYN&amp;VAR:INDEX=0"}</definedName>
    <definedName name="_3__FDSAUDITLINK__" localSheetId="4" hidden="1">{"fdsup://directions/FAT Viewer?action=UPDATE&amp;creator=factset&amp;DYN_ARGS=TRUE&amp;DOC_NAME=FAT:FQL_AUDITING_CLIENT_TEMPLATE.FAT&amp;display_string=Audit&amp;VAR:KEY=OJEJONYJWR&amp;VAR:QUERY=SlVMSUFOKElDX0VTVElNQVRFKEVQUygpLE1FRCxBTk4sMjAxMSwwLDApLmRhdGVzKQ==&amp;WINDOW=FIRST_POP","UP&amp;HEIGHT=450&amp;WIDTH=450&amp;START_MAXIMIZED=FALSE&amp;VAR:CALENDAR=US&amp;VAR:SYMBOL=CYN&amp;VAR:INDEX=0"}</definedName>
    <definedName name="_3__FDSAUDITLINK__" hidden="1">{"fdsup://directions/FAT Viewer?action=UPDATE&amp;creator=factset&amp;DYN_ARGS=TRUE&amp;DOC_NAME=FAT:FQL_AUDITING_CLIENT_TEMPLATE.FAT&amp;display_string=Audit&amp;VAR:KEY=OJEJONYJWR&amp;VAR:QUERY=SlVMSUFOKElDX0VTVElNQVRFKEVQUygpLE1FRCxBTk4sMjAxMSwwLDApLmRhdGVzKQ==&amp;WINDOW=FIRST_POP","UP&amp;HEIGHT=450&amp;WIDTH=450&amp;START_MAXIMIZED=FALSE&amp;VAR:CALENDAR=US&amp;VAR:SYMBOL=CYN&amp;VAR:INDEX=0"}</definedName>
    <definedName name="_4__FDSAUDITLINK__" localSheetId="4" hidden="1">{"fdsup://directions/FAT Viewer?action=UPDATE&amp;creator=factset&amp;DYN_ARGS=TRUE&amp;DOC_NAME=FAT:FQL_AUDITING_CLIENT_TEMPLATE.FAT&amp;display_string=Audit&amp;VAR:KEY=OJEJONYJWR&amp;VAR:QUERY=SlVMSUFOKElDX0VTVElNQVRFKEVQUygpLE1FRCxBTk4sMjAxMSwwLDApLmRhdGVzKQ==&amp;WINDOW=FIRST_POP","UP&amp;HEIGHT=450&amp;WIDTH=450&amp;START_MAXIMIZED=FALSE&amp;VAR:CALENDAR=US&amp;VAR:SYMBOL=CYN&amp;VAR:INDEX=0"}</definedName>
    <definedName name="_4__FDSAUDITLINK__" hidden="1">{"fdsup://directions/FAT Viewer?action=UPDATE&amp;creator=factset&amp;DYN_ARGS=TRUE&amp;DOC_NAME=FAT:FQL_AUDITING_CLIENT_TEMPLATE.FAT&amp;display_string=Audit&amp;VAR:KEY=OJEJONYJWR&amp;VAR:QUERY=SlVMSUFOKElDX0VTVElNQVRFKEVQUygpLE1FRCxBTk4sMjAxMSwwLDApLmRhdGVzKQ==&amp;WINDOW=FIRST_POP","UP&amp;HEIGHT=450&amp;WIDTH=450&amp;START_MAXIMIZED=FALSE&amp;VAR:CALENDAR=US&amp;VAR:SYMBOL=CYN&amp;VAR:INDEX=0"}</definedName>
    <definedName name="_5__FDSAUDITLINK__" localSheetId="4" hidden="1">{"fdsup://directions/FAT Viewer?action=UPDATE&amp;creator=factset&amp;DYN_ARGS=TRUE&amp;DOC_NAME=FAT:FQL_AUDITING_CLIENT_TEMPLATE.FAT&amp;display_string=Audit&amp;VAR:KEY=UJYLERKLUR&amp;VAR:QUERY=SlVMSUFOKElDX0VTVElNQVRFKEVQUygpLE1FRCxBTk4sMjAxMSw0MDgxNCwwKS5kYXRlcyk=&amp;WINDOW=FIRST","_POPUP&amp;HEIGHT=450&amp;WIDTH=450&amp;START_MAXIMIZED=FALSE&amp;VAR:CALENDAR=US&amp;VAR:SYMBOL=CYN&amp;VAR:INDEX=0"}</definedName>
    <definedName name="_5__FDSAUDITLINK__" hidden="1">{"fdsup://directions/FAT Viewer?action=UPDATE&amp;creator=factset&amp;DYN_ARGS=TRUE&amp;DOC_NAME=FAT:FQL_AUDITING_CLIENT_TEMPLATE.FAT&amp;display_string=Audit&amp;VAR:KEY=UJYLERKLUR&amp;VAR:QUERY=SlVMSUFOKElDX0VTVElNQVRFKEVQUygpLE1FRCxBTk4sMjAxMSw0MDgxNCwwKS5kYXRlcyk=&amp;WINDOW=FIRST","_POPUP&amp;HEIGHT=450&amp;WIDTH=450&amp;START_MAXIMIZED=FALSE&amp;VAR:CALENDAR=US&amp;VAR:SYMBOL=CYN&amp;VAR:INDEX=0"}</definedName>
    <definedName name="_end1" localSheetId="4">#REF!</definedName>
    <definedName name="_end1">#REF!</definedName>
    <definedName name="_Fill" localSheetId="4" hidden="1">'[1]Dual A'!#REF!</definedName>
    <definedName name="_Fill" hidden="1">'[1]Dual A'!#REF!</definedName>
    <definedName name="_Key1" localSheetId="4" hidden="1">#REF!</definedName>
    <definedName name="_Key1" hidden="1">#REF!</definedName>
    <definedName name="_Order1" hidden="1">255</definedName>
    <definedName name="_Order2" hidden="1">255</definedName>
    <definedName name="_Parse_Out" localSheetId="4" hidden="1">#REF!</definedName>
    <definedName name="_Parse_Out" hidden="1">#REF!</definedName>
    <definedName name="_PRN2" localSheetId="4" hidden="1">{"adj95mult",#N/A,FALSE,"COMPCO";"adj95est",#N/A,FALSE,"COMPCO"}</definedName>
    <definedName name="_PRN2" hidden="1">{"adj95mult",#N/A,FALSE,"COMPCO";"adj95est",#N/A,FALSE,"COMPCO"}</definedName>
    <definedName name="aa" localSheetId="4" hidden="1">{"DCF1",#N/A,FALSE,"SIERRA DCF";"MATRIX1",#N/A,FALSE,"SIERRA DCF"}</definedName>
    <definedName name="aa" hidden="1">{"DCF1",#N/A,FALSE,"SIERRA DCF";"MATRIX1",#N/A,FALSE,"SIERRA DCF"}</definedName>
    <definedName name="aaa" localSheetId="4" hidden="1">{"adj95mult",#N/A,FALSE,"COMPCO";"adj95est",#N/A,FALSE,"COMPCO"}</definedName>
    <definedName name="aaa" hidden="1">{"adj95mult",#N/A,FALSE,"COMPCO";"adj95est",#N/A,FALSE,"COMPCO"}</definedName>
    <definedName name="abcd" localSheetId="4" hidden="1">{#N/A,#N/A,FALSE,"Cashflow Analysis";#N/A,#N/A,FALSE,"Sensitivity Analysis";#N/A,#N/A,FALSE,"PV";#N/A,#N/A,FALSE,"Pro Forma"}</definedName>
    <definedName name="abcd" hidden="1">{#N/A,#N/A,FALSE,"Cashflow Analysis";#N/A,#N/A,FALSE,"Sensitivity Analysis";#N/A,#N/A,FALSE,"PV";#N/A,#N/A,FALSE,"Pro Forma"}</definedName>
    <definedName name="abeille" localSheetId="4">#REF!</definedName>
    <definedName name="abeille">#REF!</definedName>
    <definedName name="amort" localSheetId="4">#REF!</definedName>
    <definedName name="amort">#REF!</definedName>
    <definedName name="annee" localSheetId="4">#REF!</definedName>
    <definedName name="annee">#REF!</definedName>
    <definedName name="Anniversaire" localSheetId="4">#REF!,#REF!,#REF!,#REF!</definedName>
    <definedName name="Anniversaire">#REF!,#REF!,#REF!,#REF!</definedName>
    <definedName name="base" localSheetId="4">#REF!</definedName>
    <definedName name="base">#REF!</definedName>
    <definedName name="BASE2" localSheetId="4">#REF!</definedName>
    <definedName name="BASE2">#REF!</definedName>
    <definedName name="bop" localSheetId="4">#REF!</definedName>
    <definedName name="bop">#REF!</definedName>
    <definedName name="CAP1E" localSheetId="4">#REF!</definedName>
    <definedName name="CAP1E">#REF!</definedName>
    <definedName name="CapitFIXE" localSheetId="4">#REF!</definedName>
    <definedName name="CapitFIXE">#REF!</definedName>
    <definedName name="casds" localSheetId="4" hidden="1">{"DCF1",#N/A,FALSE,"SIERRA DCF";"MATRIX1",#N/A,FALSE,"SIERRA DCF"}</definedName>
    <definedName name="casds" hidden="1">{"DCF1",#N/A,FALSE,"SIERRA DCF";"MATRIX1",#N/A,FALSE,"SIERRA DCF"}</definedName>
    <definedName name="cb_sChart10D6460A_opts" hidden="1">"1, 1, 1, False, 2, True, False, , 0, False, False, 1, 1"</definedName>
    <definedName name="cb_sChart10D65256_opts" hidden="1">"1, 1, 1, False, 2, True, False, , 0, False, False, 1, 1"</definedName>
    <definedName name="cb_sChart10D653EB_opts" hidden="1">"1, 1, 1, False, 2, True, False, , 0, False, False, 1, 1"</definedName>
    <definedName name="cb_sChart10D65893_opts" hidden="1">"1, 1, 1, False, 2, True, False, , 0, False, False, 1, 1"</definedName>
    <definedName name="cb_sChartEE4CE1B_opts" hidden="1">"1, 4, 1, False, 2, False, False, , 0, False, False, 1, 1"</definedName>
    <definedName name="cb_sChartEE4CF99_opts" hidden="1">"1, 1, 1, False, 2, False, False, , 0, False, False, 1, 1"</definedName>
    <definedName name="cb_sChartEE4DD06_opts" hidden="1">"1, 1, 1, False, 2, False, False, , 0, False, False, 1, 2"</definedName>
    <definedName name="cb_sChartEE4E93B_opts" hidden="1">"1, 1, 1, False, 2, False, False, , 0, False, False, 1, 1"</definedName>
    <definedName name="cb_sChartEE51E95_opts" hidden="1">"1, 1, 1, False, 2, False, False, , 0, False, False, 1, 1"</definedName>
    <definedName name="cb_sChartEED7645_opts" hidden="1">"1, 1, 1, False, 2, False, False, , 0, False, False, 1, 1"</definedName>
    <definedName name="cb_sChartEEDA195_opts" hidden="1">"1, 1, 1, False, 2, False, False, , 0, False, False, 1, 1"</definedName>
    <definedName name="cb_sChartEEDC338_opts" hidden="1">"1, 1, 1, False, 2, False, False, , 0, False, False, 1, 1"</definedName>
    <definedName name="cb_sChartEEDEDB8_opts" hidden="1">"1, 1, 1, False, 2, False, False, , 0, False, True, 1, 1"</definedName>
    <definedName name="cb_sChartEEDEE5A_opts" hidden="1">"1, 3, 1, False, 2, True, False, , 0, False, True, 1, 1"</definedName>
    <definedName name="cb_sChartEEDF178_opts" hidden="1">"1, 3, 1, False, 2, False, False, , 0, False, True, 1, 1"</definedName>
    <definedName name="cb_sChartF6A6B11_opts" hidden="1">"1, 1, 1, False, 2, True, False, , 0, False, False, 1, 1"</definedName>
    <definedName name="cb_sChartFD191DC_opts" hidden="1">"1, 3, 1, False, 2, True, False, , 0, False, True, 1, 1"</definedName>
    <definedName name="cb_sChartFD1A245_opts" hidden="1">"1, 3, 1, False, 2, True, False, , 0, False, True, 1, 1"</definedName>
    <definedName name="cb_sChartFD3F0E9_opts" hidden="1">"1, 3, 1, False, 2, True, False, , 0, False, False, 1, 1"</definedName>
    <definedName name="cb_sChartFD3F27E_opts" hidden="1">"1, 3, 1, False, 2, True, False, , 0, False, True, 1, 1"</definedName>
    <definedName name="cb_sChartFD58483_opts" hidden="1">"1, 1, 1, False, 2, True, False, , 0, False, False, 1, 1"</definedName>
    <definedName name="cb_sChartFD5C4CD_opts" hidden="1">"1, 1, 1, False, 2, True, False, , 0, False, False, 1, 1"</definedName>
    <definedName name="cb_sChartFD5D4CE_opts" hidden="1">"1, 1, 1, False, 2, True, False, , 0, False, False, 1, 1"</definedName>
    <definedName name="cb_sChartFD5DF34_opts" hidden="1">"1, 1, 1, False, 2, True, False, , 0, False, False, 1, 1"</definedName>
    <definedName name="cb_sChartFD5EFC0_opts" hidden="1">"1, 1, 1, False, 2, True, False, , 0, False, False, 1, 1"</definedName>
    <definedName name="cb_sChartFD5FDB9_opts" hidden="1">"1, 1, 1, False, 2, True, False, , 0, False, False, 1, 1"</definedName>
    <definedName name="cb_sChartFE54712_opts" hidden="1">"1, 3, 1, False, 2, True, False, , 0, False, True, 1, 1"</definedName>
    <definedName name="Changement_de_taux" localSheetId="4">#REF!</definedName>
    <definedName name="Changement_de_taux">#REF!</definedName>
    <definedName name="CIQWBGuid" hidden="1">"2013 Operating Budget - 12-5-2012v10.xlsx"</definedName>
    <definedName name="cost" localSheetId="4">#REF!</definedName>
    <definedName name="cost">#REF!</definedName>
    <definedName name="Cout_Total" localSheetId="4">#REF!</definedName>
    <definedName name="Cout_Total">#REF!</definedName>
    <definedName name="dafdsf" localSheetId="4" hidden="1">{"qchm_dcf",#N/A,FALSE,"QCHMDCF2";"qchm_terminal",#N/A,FALSE,"QCHMDCF2"}</definedName>
    <definedName name="dafdsf" hidden="1">{"qchm_dcf",#N/A,FALSE,"QCHMDCF2";"qchm_terminal",#N/A,FALSE,"QCHMDCF2"}</definedName>
    <definedName name="DATDB" localSheetId="4">#REF!</definedName>
    <definedName name="DATDB">#REF!</definedName>
    <definedName name="date_vte" localSheetId="4">#REF!</definedName>
    <definedName name="date_vte">#REF!</definedName>
    <definedName name="deb" localSheetId="4">#REF!</definedName>
    <definedName name="deb">#REF!</definedName>
    <definedName name="DebAmort" localSheetId="4">#REF!</definedName>
    <definedName name="DebAmort">#REF!</definedName>
    <definedName name="debut" localSheetId="4">#REF!</definedName>
    <definedName name="debut">#REF!</definedName>
    <definedName name="debut2" localSheetId="4">#REF!</definedName>
    <definedName name="debut2">#REF!</definedName>
    <definedName name="dfa" localSheetId="4" hidden="1">{"Acq_matrix",#N/A,FALSE,"Acquisition Matrix"}</definedName>
    <definedName name="dfa" hidden="1">{"Acq_matrix",#N/A,FALSE,"Acquisition Matrix"}</definedName>
    <definedName name="dfhgfgdjgd" localSheetId="4" hidden="1">{"Matrix",#N/A,FALSE,"ACQMTRX";"Fees",#N/A,FALSE,"ACQMTRX"}</definedName>
    <definedName name="dfhgfgdjgd" hidden="1">{"Matrix",#N/A,FALSE,"ACQMTRX";"Fees",#N/A,FALSE,"ACQMTRX"}</definedName>
    <definedName name="Diff" localSheetId="4">#REF!</definedName>
    <definedName name="Diff">#REF!</definedName>
    <definedName name="Différé" localSheetId="4">#REF!</definedName>
    <definedName name="Différé">[2]TAM!$I$13</definedName>
    <definedName name="DiffSimple" localSheetId="4">#REF!</definedName>
    <definedName name="DiffSimple">#REF!</definedName>
    <definedName name="DiffTotal" localSheetId="4">#REF!</definedName>
    <definedName name="DiffTotal">#REF!</definedName>
    <definedName name="Div_Industrial" localSheetId="4" hidden="1">{"adj95mult",#N/A,FALSE,"COMPCO";"adj95est",#N/A,FALSE,"COMPCO"}</definedName>
    <definedName name="Div_Industrial" hidden="1">{"adj95mult",#N/A,FALSE,"COMPCO";"adj95est",#N/A,FALSE,"COMPCO"}</definedName>
    <definedName name="EchFIXE" localSheetId="4">#REF!</definedName>
    <definedName name="EchFIXE">#REF!</definedName>
    <definedName name="end" localSheetId="4">#REF!</definedName>
    <definedName name="end">#REF!</definedName>
    <definedName name="eop" localSheetId="4">#REF!</definedName>
    <definedName name="eop">#REF!</definedName>
    <definedName name="EV__LASTREFTIME__" hidden="1">39902.6937962963</definedName>
    <definedName name="exit" localSheetId="4">#REF!</definedName>
    <definedName name="exit">#REF!</definedName>
    <definedName name="_xlnm.Extract" localSheetId="4">'[3]GORALSKA HOTEL'!#REF!</definedName>
    <definedName name="_xlnm.Extract">'[3]GORALSKA HOTEL'!#REF!</definedName>
    <definedName name="fgefgef" localSheetId="4" hidden="1">{"qchm_dcf",#N/A,FALSE,"QCHMDCF2";"qchm_terminal",#N/A,FALSE,"QCHMDCF2"}</definedName>
    <definedName name="fgefgef" hidden="1">{"qchm_dcf",#N/A,FALSE,"QCHMDCF2";"qchm_terminal",#N/A,FALSE,"QCHMDCF2"}</definedName>
    <definedName name="fhrghgrd" localSheetId="4" hidden="1">{"DCF1",#N/A,FALSE,"SIERRA DCF";"MATRIX1",#N/A,FALSE,"SIERRA DCF"}</definedName>
    <definedName name="fhrghgrd" hidden="1">{"DCF1",#N/A,FALSE,"SIERRA DCF";"MATRIX1",#N/A,FALSE,"SIERRA DCF"}</definedName>
    <definedName name="fin" localSheetId="4">#REF!</definedName>
    <definedName name="fin">#REF!</definedName>
    <definedName name="fin_2" localSheetId="4">#REF!</definedName>
    <definedName name="fin_2">#REF!</definedName>
    <definedName name="fleur" localSheetId="4">#REF!</definedName>
    <definedName name="fleur">#REF!</definedName>
    <definedName name="flux" localSheetId="4">#REF!</definedName>
    <definedName name="flux">#REF!</definedName>
    <definedName name="flux2" localSheetId="4">#REF!</definedName>
    <definedName name="flux2">#REF!</definedName>
    <definedName name="FraisF" localSheetId="4">#REF!</definedName>
    <definedName name="FraisF">[2]TAM!$D$12</definedName>
    <definedName name="FraisV" localSheetId="4">#REF!</definedName>
    <definedName name="FraisV">[2]TAM!$D$13</definedName>
    <definedName name="fsdfdfa" localSheetId="4" hidden="1">{"page1",#N/A,FALSE,"BHCOMPC5";"page2",#N/A,FALSE,"BHCOMPC5";"page3",#N/A,FALSE,"BHCOMPC5";"page4",#N/A,FALSE,"BHCOMPC5"}</definedName>
    <definedName name="fsdfdfa" hidden="1">{"page1",#N/A,FALSE,"BHCOMPC5";"page2",#N/A,FALSE,"BHCOMPC5";"page3",#N/A,FALSE,"BHCOMPC5";"page4",#N/A,FALSE,"BHCOMPC5"}</definedName>
    <definedName name="g" localSheetId="4" hidden="1">{"page1",#N/A,FALSE,"BHCOMPC5";"page2",#N/A,FALSE,"BHCOMPC5";"page3",#N/A,FALSE,"BHCOMPC5";"page4",#N/A,FALSE,"BHCOMPC5"}</definedName>
    <definedName name="g" hidden="1">{"page1",#N/A,FALSE,"BHCOMPC5";"page2",#N/A,FALSE,"BHCOMPC5";"page3",#N/A,FALSE,"BHCOMPC5";"page4",#N/A,FALSE,"BHCOMPC5"}</definedName>
    <definedName name="gfd" localSheetId="4" hidden="1">{#N/A,#N/A,FALSE,"Cashflow Analysis";#N/A,#N/A,FALSE,"Sensitivity Analysis";#N/A,#N/A,FALSE,"PV";#N/A,#N/A,FALSE,"Pro Forma"}</definedName>
    <definedName name="gfd" hidden="1">{#N/A,#N/A,FALSE,"Cashflow Analysis";#N/A,#N/A,FALSE,"Sensitivity Analysis";#N/A,#N/A,FALSE,"PV";#N/A,#N/A,FALSE,"Pro Forma"}</definedName>
    <definedName name="GRI" localSheetId="4">#REF!</definedName>
    <definedName name="GRI">#REF!</definedName>
    <definedName name="hhgjghj" localSheetId="4" hidden="1">{"DCF1",#N/A,FALSE,"SIERRA DCF";"MATRIX1",#N/A,FALSE,"SIERRA DCF"}</definedName>
    <definedName name="hhgjghj" hidden="1">{"DCF1",#N/A,FALSE,"SIERRA DCF";"MATRIX1",#N/A,FALSE,"SIERRA DCF"}</definedName>
    <definedName name="htgrer" localSheetId="4" hidden="1">{"page1",#N/A,FALSE,"BHCOMPC5";"page2",#N/A,FALSE,"BHCOMPC5";"page3",#N/A,FALSE,"BHCOMPC5";"page4",#N/A,FALSE,"BHCOMPC5"}</definedName>
    <definedName name="htgrer" hidden="1">{"page1",#N/A,FALSE,"BHCOMPC5";"page2",#N/A,FALSE,"BHCOMPC5";"page3",#N/A,FALSE,"BHCOMPC5";"page4",#N/A,FALSE,"BHCOMPC5"}</definedName>
    <definedName name="i" localSheetId="4">#REF!</definedName>
    <definedName name="i" hidden="1">{"DCF1",#N/A,FALSE,"SIERRA DCF";"MATRIX1",#N/A,FALSE,"SIERRA DCF"}</definedName>
    <definedName name="Ijour" localSheetId="4">#REF!</definedName>
    <definedName name="Ijour">#REF!</definedName>
    <definedName name="Imois" localSheetId="4">#REF!</definedName>
    <definedName name="Imois">#REF!</definedName>
    <definedName name="in_fine" localSheetId="4">#REF!</definedName>
    <definedName name="in_fine">#REF!</definedName>
    <definedName name="index" localSheetId="4">#REF!</definedName>
    <definedName name="index">#REF!</definedName>
    <definedName name="Input_FX" localSheetId="4">#REF!</definedName>
    <definedName name="Input_FX">#REF!</definedName>
    <definedName name="int" localSheetId="4">#REF!</definedName>
    <definedName name="int">#REF!</definedName>
    <definedName name="INT1E" localSheetId="4">#REF!</definedName>
    <definedName name="INT1E">#REF!</definedName>
    <definedName name="interet" localSheetId="4">#REF!</definedName>
    <definedName name="interet">#REF!</definedName>
    <definedName name="IntroPrintArea" localSheetId="4" hidden="1">#REF!</definedName>
    <definedName name="IntroPrintArea" hidden="1">#REF!</definedName>
    <definedName name="IQ_1_4_FAMILY_JUNIOR_LIENS_CHARGE_OFFS_FDIC" hidden="1">"c6605"</definedName>
    <definedName name="IQ_1_4_FAMILY_JUNIOR_LIENS_NET_CHARGE_OFFS_FDIC" hidden="1">"c6643"</definedName>
    <definedName name="IQ_1_4_FAMILY_JUNIOR_LIENS_RECOVERIES_FDIC" hidden="1">"c6624"</definedName>
    <definedName name="IQ_1_4_FAMILY_SENIOR_LIENS_CHARGE_OFFS_FDIC" hidden="1">"c6604"</definedName>
    <definedName name="IQ_1_4_FAMILY_SENIOR_LIENS_NET_CHARGE_OFFS_FDIC" hidden="1">"c6642"</definedName>
    <definedName name="IQ_1_4_FAMILY_SENIOR_LIENS_RECOVERIES_FDIC" hidden="1">"c6623"</definedName>
    <definedName name="IQ_1_4_HOME_EQUITY_NET_LOANS_FDIC" hidden="1">"c6441"</definedName>
    <definedName name="IQ_1_4_RESIDENTIAL_FIRST_LIENS_NET_LOANS_FDIC" hidden="1">"c6439"</definedName>
    <definedName name="IQ_1_4_RESIDENTIAL_JUNIOR_LIENS_NET_LOANS_FDIC" hidden="1">"c6440"</definedName>
    <definedName name="IQ_1_4_RESIDENTIAL_LOANS_FDIC" hidden="1">"c6310"</definedName>
    <definedName name="IQ_ACCOUNT_CHANGE" hidden="1">"c413"</definedName>
    <definedName name="IQ_ACCOUNTS_PAY" hidden="1">"c32"</definedName>
    <definedName name="IQ_ACCR_INT_PAY" hidden="1">"c1"</definedName>
    <definedName name="IQ_ACCR_INT_PAY_CF" hidden="1">"c2"</definedName>
    <definedName name="IQ_ACCR_INT_RECEIV" hidden="1">"c3"</definedName>
    <definedName name="IQ_ACCR_INT_RECEIV_CF" hidden="1">"c4"</definedName>
    <definedName name="IQ_ACCRUED_EXP" hidden="1">"c8"</definedName>
    <definedName name="IQ_ACCUM_DEP" hidden="1">"c7"</definedName>
    <definedName name="IQ_ACQ_COSTS_CAPITALIZED" hidden="1">"c5"</definedName>
    <definedName name="IQ_ACQUIRE_REAL_ESTATE_CF" hidden="1">"c6"</definedName>
    <definedName name="IQ_ACQUIRED_BY_REPORTING_BANK_FDIC" hidden="1">"c6535"</definedName>
    <definedName name="IQ_ACQUISITION_RE_ASSETS" hidden="1">"c1628"</definedName>
    <definedName name="IQ_AD" hidden="1">"c7"</definedName>
    <definedName name="IQ_ADD_PAID_IN" hidden="1">"c39"</definedName>
    <definedName name="IQ_ADDIN" hidden="1">"AUTO"</definedName>
    <definedName name="IQ_ADDITIONAL_NON_INT_INC_FDIC" hidden="1">"c6574"</definedName>
    <definedName name="IQ_ADJUSTABLE_RATE_LOANS_FDIC" hidden="1">"c6375"</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FTER_TAX_INCOME_FDIC" hidden="1">"c6583"</definedName>
    <definedName name="IQ_AGRICULTURAL_PRODUCTION_CHARGE_OFFS_FDIC" hidden="1">"c6597"</definedName>
    <definedName name="IQ_AGRICULTURAL_PRODUCTION_CHARGE_OFFS_LESS_THAN_300M_FDIC" hidden="1">"c6655"</definedName>
    <definedName name="IQ_AGRICULTURAL_PRODUCTION_NET_CHARGE_OFFS_FDIC" hidden="1">"c6635"</definedName>
    <definedName name="IQ_AGRICULTURAL_PRODUCTION_NET_CHARGE_OFFS_LESS_THAN_300M_FDIC" hidden="1">"c6657"</definedName>
    <definedName name="IQ_AGRICULTURAL_PRODUCTION_RECOVERIES_FDIC" hidden="1">"c6616"</definedName>
    <definedName name="IQ_AGRICULTURAL_PRODUCTION_RECOVERIES_LESS_THAN_300M_FDIC" hidden="1">"c6656"</definedName>
    <definedName name="IQ_ALLOW_BORROW_CONST" hidden="1">"c15"</definedName>
    <definedName name="IQ_ALLOW_CONST" hidden="1">"c16"</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ENDED_BALANCE_PREVIOUS_YR_FDIC" hidden="1">"c6499"</definedName>
    <definedName name="IQ_AMORT_EXPENSE_FDIC" hidden="1">"c6677"</definedName>
    <definedName name="IQ_AMORTIZATION" hidden="1">"c1471"</definedName>
    <definedName name="IQ_AMORTIZED_COST_FDIC" hidden="1">"c6426"</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SSET_BACKED_FDIC" hidden="1">"c6301"</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HELD_FDIC" hidden="1">"c6305"</definedName>
    <definedName name="IQ_ASSETS_PER_EMPLOYEE_FDIC" hidden="1">"c6737"</definedName>
    <definedName name="IQ_ASSETS_SOLD_1_4_FAMILY_LOANS_FDIC" hidden="1">"c6686"</definedName>
    <definedName name="IQ_ASSETS_SOLD_AUTO_LOANS_FDIC" hidden="1">"c6680"</definedName>
    <definedName name="IQ_ASSETS_SOLD_CL_LOANS_FDIC" hidden="1">"c6681"</definedName>
    <definedName name="IQ_ASSETS_SOLD_CREDIT_CARDS_RECEIVABLES_FDIC" hidden="1">"c6683"</definedName>
    <definedName name="IQ_ASSETS_SOLD_HOME_EQUITY_LINES_FDIC" hidden="1">"c6684"</definedName>
    <definedName name="IQ_ASSETS_SOLD_OTHER_CONSUMER_LOANS_FDIC" hidden="1">"c6682"</definedName>
    <definedName name="IQ_ASSETS_SOLD_OTHER_LOANS_FDIC" hidden="1">"c6685"</definedName>
    <definedName name="IQ_AUDITOR_NAME" hidden="1">"c1539"</definedName>
    <definedName name="IQ_AUDITOR_OPINION" hidden="1">"c1540"</definedName>
    <definedName name="IQ_AUTO_WRITTEN" hidden="1">"c62"</definedName>
    <definedName name="IQ_AVAILABLE_FOR_SALE_FDIC" hidden="1">"c6409"</definedName>
    <definedName name="IQ_AVERAGE_ASSETS_FDIC" hidden="1">"c6362"</definedName>
    <definedName name="IQ_AVERAGE_ASSETS_QUART_FDIC" hidden="1">"c6363"</definedName>
    <definedName name="IQ_AVERAGE_EARNING_ASSETS_FDIC" hidden="1">"c6748"</definedName>
    <definedName name="IQ_AVERAGE_EQUITY_FDIC" hidden="1">"c6749"</definedName>
    <definedName name="IQ_AVERAGE_LOANS_FDIC" hidden="1">"c6750"</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PRICE_TARGET" hidden="1">"c82"</definedName>
    <definedName name="IQ_AVG_SHAREOUTSTANDING" hidden="1">"c83"</definedName>
    <definedName name="IQ_AVG_TEV" hidden="1">"c84"</definedName>
    <definedName name="IQ_AVG_VOLUME" hidden="1">"c65"</definedName>
    <definedName name="IQ_BALANCES_DUE_DEPOSITORY_INSTITUTIONS_FDIC" hidden="1">"c6389"</definedName>
    <definedName name="IQ_BALANCES_DUE_FOREIGN_FDIC" hidden="1">"c6391"</definedName>
    <definedName name="IQ_BALANCES_DUE_FRB_FDIC" hidden="1">"c6393"</definedName>
    <definedName name="IQ_BANK_BENEFICIARY_FDIC" hidden="1">"c6505"</definedName>
    <definedName name="IQ_BANK_GUARANTOR_FDIC" hidden="1">"c6506"</definedName>
    <definedName name="IQ_BANK_PREMISES_FDIC" hidden="1">"c6329"</definedName>
    <definedName name="IQ_BANK_SECURITIZATION_1_4_FAMILY_LOANS_FDIC" hidden="1">"c6721"</definedName>
    <definedName name="IQ_BANK_SECURITIZATION_AUTO_LOANS_FDIC" hidden="1">"c6715"</definedName>
    <definedName name="IQ_BANK_SECURITIZATION_CL_LOANS_FDIC" hidden="1">"c6716"</definedName>
    <definedName name="IQ_BANK_SECURITIZATION_CREDIT_CARDS_RECEIVABLES_FDIC" hidden="1">"c6718"</definedName>
    <definedName name="IQ_BANK_SECURITIZATION_HOME_EQUITY_LINES_FDIC" hidden="1">"c6719"</definedName>
    <definedName name="IQ_BANK_SECURITIZATION_OTHER_CONSUMER_LOANS_FDIC" hidden="1">"c6717"</definedName>
    <definedName name="IQ_BANK_SECURITIZATION_OTHER_LOANS_FDIC" hidden="1">"c6720"</definedName>
    <definedName name="IQ_BANKS_FOREIGN_COUNTRIES_TOTAL_DEPOSITS_FDIC" hidden="1">"c6475"</definedName>
    <definedName name="IQ_BASIC_EPS_EXCL" hidden="1">"c85"</definedName>
    <definedName name="IQ_BASIC_EPS_INCL" hidden="1">"c86"</definedName>
    <definedName name="IQ_BASIC_NORMAL_EPS" hidden="1">"c1592"</definedName>
    <definedName name="IQ_BASIC_WEIGHT" hidden="1">"c87"</definedName>
    <definedName name="IQ_BETA" hidden="1">"c88"</definedName>
    <definedName name="IQ_BIG_INT_BEAR_CD" hidden="1">"c89"</definedName>
    <definedName name="IQ_BOARD_MEMBER" hidden="1">"c96"</definedName>
    <definedName name="IQ_BOARD_MEMBER_TITLE" hidden="1">"c97"</definedName>
    <definedName name="IQ_BONDRATING_FITCH" hidden="1">"IQ_BONDRATING_FITCH"</definedName>
    <definedName name="IQ_BONDRATING_SP" hidden="1">"IQ_BONDRATING_SP"</definedName>
    <definedName name="IQ_BOOK_VALUE" hidden="1">"IQ_BOOK_VALUE"</definedName>
    <definedName name="IQ_BROK_COMISSION" hidden="1">"c98"</definedName>
    <definedName name="IQ_BROKERED_DEPOSITS_FDIC" hidden="1">"c6486"</definedName>
    <definedName name="IQ_BUILDINGS" hidden="1">"c99"</definedName>
    <definedName name="IQ_BUSINESS_DESCRIPTION" hidden="1">"c322"</definedName>
    <definedName name="IQ_BV_OVER_SHARES" hidden="1">"c100"</definedName>
    <definedName name="IQ_BV_SHARE" hidden="1">"c100"</definedName>
    <definedName name="IQ_CAL_Q" hidden="1">"c101"</definedName>
    <definedName name="IQ_CAL_Y" hidden="1">"c102"</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"c115"</definedName>
    <definedName name="IQ_CAPITAL_LEASES" hidden="1">"c115"</definedName>
    <definedName name="IQ_CASH" hidden="1">"c118"</definedName>
    <definedName name="IQ_CASH_ACQUIRE_CF" hidden="1">"c1630"</definedName>
    <definedName name="IQ_CASH_CONVERSION" hidden="1">"c117"</definedName>
    <definedName name="IQ_CASH_DIVIDENDS_NET_INCOME_FDIC" hidden="1">"c6738"</definedName>
    <definedName name="IQ_CASH_DUE_BANKS" hidden="1">"c118"</definedName>
    <definedName name="IQ_CASH_EQUIV" hidden="1">"c118"</definedName>
    <definedName name="IQ_CASH_FINAN" hidden="1">"c119"</definedName>
    <definedName name="IQ_CASH_IN_PROCESS_FDIC" hidden="1">"c6386"</definedName>
    <definedName name="IQ_CASH_INTEREST" hidden="1">"c120"</definedName>
    <definedName name="IQ_CASH_INVEST" hidden="1">"c121"</definedName>
    <definedName name="IQ_CASH_OPER" hidden="1">"c122"</definedName>
    <definedName name="IQ_CASH_SEGREG" hidden="1">"c123"</definedName>
    <definedName name="IQ_CASH_ST" hidden="1">"c124"</definedName>
    <definedName name="IQ_CASH_ST_INVEST" hidden="1">"c124"</definedName>
    <definedName name="IQ_CASH_TAXES" hidden="1">"c125"</definedName>
    <definedName name="IQ_CCE_FDIC" hidden="1">"c6296"</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 hidden="1">110000</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OTHER_NET_OPER_ASSETS_BR" hidden="1">"c3595"</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"c161"</definedName>
    <definedName name="IQ_CHARGE_OFFS_1_4_FAMILY_FDIC" hidden="1">"c6756"</definedName>
    <definedName name="IQ_CHARGE_OFFS_1_4_FAMILY_LOANS_FDIC" hidden="1">"c6714"</definedName>
    <definedName name="IQ_CHARGE_OFFS_AUTO_LOANS_FDIC" hidden="1">"c6708"</definedName>
    <definedName name="IQ_CHARGE_OFFS_CL_LOANS_FDIC" hidden="1">"c6709"</definedName>
    <definedName name="IQ_CHARGE_OFFS_COMMERCIAL_INDUSTRIAL_FDIC" hidden="1">"c6759"</definedName>
    <definedName name="IQ_CHARGE_OFFS_COMMERCIAL_RE_FDIC" hidden="1">"c6754"</definedName>
    <definedName name="IQ_CHARGE_OFFS_COMMERCIAL_RE_NOT_SECURED_FDIC" hidden="1">"c6764"</definedName>
    <definedName name="IQ_CHARGE_OFFS_CONSTRUCTION_DEVELOPMENT_FDIC" hidden="1">"c6753"</definedName>
    <definedName name="IQ_CHARGE_OFFS_CREDIT_CARDS_FDIC" hidden="1">"c6761"</definedName>
    <definedName name="IQ_CHARGE_OFFS_CREDIT_CARDS_RECEIVABLES_FDIC" hidden="1">"c6711"</definedName>
    <definedName name="IQ_CHARGE_OFFS_GROSS" hidden="1">"c162"</definedName>
    <definedName name="IQ_CHARGE_OFFS_HOME_EQUITY_FDIC" hidden="1">"c6757"</definedName>
    <definedName name="IQ_CHARGE_OFFS_HOME_EQUITY_LINES_FDIC" hidden="1">"c6712"</definedName>
    <definedName name="IQ_CHARGE_OFFS_INDIVIDUALS_FDIC" hidden="1">"c6760"</definedName>
    <definedName name="IQ_CHARGE_OFFS_MULTI_FAMILY_FDIC" hidden="1">"c6755"</definedName>
    <definedName name="IQ_CHARGE_OFFS_NET" hidden="1">"c163"</definedName>
    <definedName name="IQ_CHARGE_OFFS_OTHER_1_4_FAMILY_FDIC" hidden="1">"c6758"</definedName>
    <definedName name="IQ_CHARGE_OFFS_OTHER_CONSUMER_LOANS_FDIC" hidden="1">"c6710"</definedName>
    <definedName name="IQ_CHARGE_OFFS_OTHER_INDIVIDUAL_FDIC" hidden="1">"c6762"</definedName>
    <definedName name="IQ_CHARGE_OFFS_OTHER_LOANS_FDIC" hidden="1">"c6763"</definedName>
    <definedName name="IQ_CHARGE_OFFS_OTHER_LOANS_OTHER_FDIC" hidden="1">"c6713"</definedName>
    <definedName name="IQ_CHARGE_OFFS_RE_LOANS_FDIC" hidden="1">"c6752"</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OSEPRICE" hidden="1">"c174"</definedName>
    <definedName name="IQ_CMO_FDIC" hidden="1">"c6406"</definedName>
    <definedName name="IQ_COGS" hidden="1">"c175"</definedName>
    <definedName name="IQ_COLLECTION_DOMESTIC_FDIC" hidden="1">"c6387"</definedName>
    <definedName name="IQ_COMBINED_RATIO" hidden="1">"c176"</definedName>
    <definedName name="IQ_COMMERCIAL_BANKS_DEPOSITS_FOREIGN_FDIC" hidden="1">"c6480"</definedName>
    <definedName name="IQ_COMMERCIAL_BANKS_LOANS_FDIC" hidden="1">"c6434"</definedName>
    <definedName name="IQ_COMMERCIAL_BANKS_NONTRANSACTION_ACCOUNTS_FDIC" hidden="1">"c6548"</definedName>
    <definedName name="IQ_COMMERCIAL_BANKS_TOTAL_DEPOSITS_FDIC" hidden="1">"c6474"</definedName>
    <definedName name="IQ_COMMERCIAL_BANKS_TOTAL_LOANS_FOREIGN_FDIC" hidden="1">"c6444"</definedName>
    <definedName name="IQ_COMMERCIAL_BANKS_TRANSACTION_ACCOUNTS_FDIC" hidden="1">"c6540"</definedName>
    <definedName name="IQ_COMMERCIAL_DOM" hidden="1">"c177"</definedName>
    <definedName name="IQ_COMMERCIAL_FIRE_WRITTEN" hidden="1">"c178"</definedName>
    <definedName name="IQ_COMMERCIAL_INDUSTRIAL_CHARGE_OFFS_FDIC" hidden="1">"c6598"</definedName>
    <definedName name="IQ_COMMERCIAL_INDUSTRIAL_LOANS_NET_FDIC" hidden="1">"c6317"</definedName>
    <definedName name="IQ_COMMERCIAL_INDUSTRIAL_NET_CHARGE_OFFS_FDIC" hidden="1">"c6636"</definedName>
    <definedName name="IQ_COMMERCIAL_INDUSTRIAL_RECOVERIES_FDIC" hidden="1">"c6617"</definedName>
    <definedName name="IQ_COMMERCIAL_INDUSTRIAL_TOTAL_LOANS_FOREIGN_FDIC" hidden="1">"c6451"</definedName>
    <definedName name="IQ_COMMERCIAL_MORT" hidden="1">"c179"</definedName>
    <definedName name="IQ_COMMERCIAL_RE_CONSTRUCTION_LAND_DEV_FDIC" hidden="1">"c6526"</definedName>
    <definedName name="IQ_COMMERCIAL_RE_LOANS_FDIC" hidden="1">"c6312"</definedName>
    <definedName name="IQ_COMMISS_FEES" hidden="1">"c180"</definedName>
    <definedName name="IQ_COMMISSION_DEF" hidden="1">"c181"</definedName>
    <definedName name="IQ_COMMITMENTS_MATURITY_EXCEEDING_1YR_FDIC" hidden="1">"c6531"</definedName>
    <definedName name="IQ_COMMITMENTS_NOT_SECURED_RE_FDIC" hidden="1">"c6528"</definedName>
    <definedName name="IQ_COMMITMENTS_SECURED_RE_FDIC" hidden="1">"c6527"</definedName>
    <definedName name="IQ_COMMODITY_EXPOSURES_FDIC" hidden="1">"c6665"</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FDIC" hidden="1">"c6350"</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"c182"</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REET1" hidden="1">"c217"</definedName>
    <definedName name="IQ_COMPANY_STREET2" hidden="1">"c218"</definedName>
    <definedName name="IQ_COMPANY_TICKER" hidden="1">"c219"</definedName>
    <definedName name="IQ_COMPANY_WEBSITE" hidden="1">"c220"</definedName>
    <definedName name="IQ_COMPANY_ZIP" hidden="1">"c221"</definedName>
    <definedName name="IQ_CONSTRUCTION_DEV_LOANS_FDIC" hidden="1">"c6313"</definedName>
    <definedName name="IQ_CONSTRUCTION_LAND_DEVELOPMENT_CHARGE_OFFS_FDIC" hidden="1">"c6594"</definedName>
    <definedName name="IQ_CONSTRUCTION_LAND_DEVELOPMENT_NET_CHARGE_OFFS_FDIC" hidden="1">"c6632"</definedName>
    <definedName name="IQ_CONSTRUCTION_LAND_DEVELOPMENT_RECOVERIES_FDIC" hidden="1">"c6613"</definedName>
    <definedName name="IQ_CONSTRUCTION_LOANS" hidden="1">"c222"</definedName>
    <definedName name="IQ_CONSUMER_LOANS" hidden="1">"c223"</definedName>
    <definedName name="IQ_CONTRACTS_OTHER_COMMODITIES_EQUITIES_FDIC" hidden="1">"c6522"</definedName>
    <definedName name="IQ_CONVEYED_TO_OTHERS_FDIC" hidden="1">"c6534"</definedName>
    <definedName name="IQ_CORE_CAPITAL_RATIO_FDIC" hidden="1">"c6745"</definedName>
    <definedName name="IQ_COST_BORROWINGS" hidden="1">"c225"</definedName>
    <definedName name="IQ_COST_OF_FUNDING_ASSETS_FDIC" hidden="1">"c6725"</definedName>
    <definedName name="IQ_COST_REV" hidden="1">"c226"</definedName>
    <definedName name="IQ_COST_REVENUE" hidden="1">"c226"</definedName>
    <definedName name="IQ_COST_SAVINGS" hidden="1">"c227"</definedName>
    <definedName name="IQ_COST_SERVICE" hidden="1">"c228"</definedName>
    <definedName name="IQ_COST_TOTAL_BORROWINGS" hidden="1">"c229"</definedName>
    <definedName name="IQ_COUNTRY_NAME" hidden="1">"c230"</definedName>
    <definedName name="IQ_CQ" hidden="1">5000</definedName>
    <definedName name="IQ_CREDIT_CARD_CHARGE_OFFS_FDIC" hidden="1">"c6652"</definedName>
    <definedName name="IQ_CREDIT_CARD_FEE_BNK" hidden="1">"c231"</definedName>
    <definedName name="IQ_CREDIT_CARD_FEE_FIN" hidden="1">"c1583"</definedName>
    <definedName name="IQ_CREDIT_CARD_LINES_FDIC" hidden="1">"c6525"</definedName>
    <definedName name="IQ_CREDIT_CARD_LOANS_FDIC" hidden="1">"c6319"</definedName>
    <definedName name="IQ_CREDIT_CARD_NET_CHARGE_OFFS_FDIC" hidden="1">"c6654"</definedName>
    <definedName name="IQ_CREDIT_CARD_RECOVERIES_FDIC" hidden="1">"c6653"</definedName>
    <definedName name="IQ_CREDIT_LOSS_CF" hidden="1">"c232"</definedName>
    <definedName name="IQ_CREDIT_LOSS_PROVISION_NET_CHARGE_OFFS_FDIC" hidden="1">"c6734"</definedName>
    <definedName name="IQ_CURRENCY_COIN_DOMESTIC_FDIC" hidden="1">"c6388"</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ILY" hidden="1">500000</definedName>
    <definedName name="IQ_DAYS_COVER_SHORT" hidden="1">"c1578"</definedName>
    <definedName name="IQ_DAYS_INVENTORY_OUT" hidden="1">"c273"</definedName>
    <definedName name="IQ_DAYS_PAY_OUTST" hidden="1">"c274"</definedName>
    <definedName name="IQ_DAYS_PAYABLE_OUT" hidden="1">"c274"</definedName>
    <definedName name="IQ_DAYS_SALES_OUT" hidden="1">"c275"</definedName>
    <definedName name="IQ_DAYS_SALES_OUTST" hidden="1">"c275"</definedName>
    <definedName name="IQ_DEF_ACQ_CST" hidden="1">"c301"</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"c313"</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INC_TAX" hidden="1">"c315"</definedName>
    <definedName name="IQ_DEFERRED_TAXES" hidden="1">"c147"</definedName>
    <definedName name="IQ_DEMAND_DEP" hidden="1">"c320"</definedName>
    <definedName name="IQ_DEMAND_DEPOSITS_FDIC" hidden="1">"c6489"</definedName>
    <definedName name="IQ_DEPOSIT_ACCOUNTS_LESS_THAN_100K_FDIC" hidden="1">"c6494"</definedName>
    <definedName name="IQ_DEPOSIT_ACCOUNTS_MORE_THAN_100K_FDIC" hidden="1">"c6492"</definedName>
    <definedName name="IQ_DEPOSITORY_INSTITUTIONS_CHARGE_OFFS_FDIC" hidden="1">"c6596"</definedName>
    <definedName name="IQ_DEPOSITORY_INSTITUTIONS_NET_CHARGE_OFFS_FDIC" hidden="1">"c6634"</definedName>
    <definedName name="IQ_DEPOSITORY_INSTITUTIONS_RECOVERIES_FDIC" hidden="1">"c6615"</definedName>
    <definedName name="IQ_DEPOSITS_FIN" hidden="1">"c321"</definedName>
    <definedName name="IQ_DEPOSITS_HELD_DOMESTIC_FDIC" hidden="1">"c6340"</definedName>
    <definedName name="IQ_DEPOSITS_HELD_FOREIGN_FDIC" hidden="1">"c6341"</definedName>
    <definedName name="IQ_DEPOSITS_LESS_THAN_100K_AFTER_THREE_YEARS_FDIC" hidden="1">"c6464"</definedName>
    <definedName name="IQ_DEPOSITS_LESS_THAN_100K_THREE_MONTHS_FDIC" hidden="1">"c6461"</definedName>
    <definedName name="IQ_DEPOSITS_LESS_THAN_100K_THREE_YEARS_FDIC" hidden="1">"c6463"</definedName>
    <definedName name="IQ_DEPOSITS_LESS_THAN_100K_TWELVE_MONTHS_FDIC" hidden="1">"c6462"</definedName>
    <definedName name="IQ_DEPOSITS_MORE_THAN_100K_AFTER_THREE_YEARS_FDIC" hidden="1">"c6469"</definedName>
    <definedName name="IQ_DEPOSITS_MORE_THAN_100K_THREE_MONTHS_FDIC" hidden="1">"c6466"</definedName>
    <definedName name="IQ_DEPOSITS_MORE_THAN_100K_THREE_YEARS_FDIC" hidden="1">"c6468"</definedName>
    <definedName name="IQ_DEPOSITS_MORE_THAN_100K_TWELVE_MONTHS_FDIC" hidden="1">"c6467"</definedName>
    <definedName name="IQ_DEPRE_AMORT" hidden="1">"c247"</definedName>
    <definedName name="IQ_DEPRE_AMORT_SUPPL" hidden="1">"c1593"</definedName>
    <definedName name="IQ_DEPRE_DEPLE" hidden="1">"c261"</definedName>
    <definedName name="IQ_DEPRE_SUPP" hidden="1">"c1443"</definedName>
    <definedName name="IQ_DERIVATIVES_FDIC" hidden="1">"c6523"</definedName>
    <definedName name="IQ_DESCRIPTION_LONG" hidden="1">"c322"</definedName>
    <definedName name="IQ_DEVELOP_LAND" hidden="1">"c323"</definedName>
    <definedName name="IQ_DILUT_ADJUST" hidden="1">"c1621"</definedName>
    <definedName name="IQ_DILUT_EPS_EXCL" hidden="1">"c324"</definedName>
    <definedName name="IQ_DILUT_EPS_INCL" hidden="1">"c325"</definedName>
    <definedName name="IQ_DILUT_NORMAL_EPS" hidden="1">"c1594"</definedName>
    <definedName name="IQ_DILUT_WEIGHT" hidden="1">"c326"</definedName>
    <definedName name="IQ_DISCONT_OPER" hidden="1">"c333"</definedName>
    <definedName name="IQ_DISCOUNT_RATE_PENSION_DOMESTIC" hidden="1">"c327"</definedName>
    <definedName name="IQ_DISCOUNT_RATE_PENSION_FOREIGN" hidden="1">"c328"</definedName>
    <definedName name="IQ_DISTR_EXCESS_EARN" hidden="1">"c329"</definedName>
    <definedName name="IQ_DIV_SHARE" hidden="1">"c330"</definedName>
    <definedName name="IQ_DIVEST_CF" hidden="1">"c331"</definedName>
    <definedName name="IQ_DIVID_SHARE" hidden="1">"c330"</definedName>
    <definedName name="IQ_DIVIDEND_YIELD" hidden="1">"c332"</definedName>
    <definedName name="IQ_DIVIDENDS_DECLARED_COMMON_FDIC" hidden="1">"c6659"</definedName>
    <definedName name="IQ_DIVIDENDS_DECLARED_PREFERRED_FDIC" hidden="1">"c6658"</definedName>
    <definedName name="IQ_DIVIDENDS_FDIC" hidden="1">"c6660"</definedName>
    <definedName name="IQ_DNTM" hidden="1">700000</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EARNING_ASSET_YIELD" hidden="1">"c343"</definedName>
    <definedName name="IQ_EARNING_ASSETS_FDIC" hidden="1">"c6360"</definedName>
    <definedName name="IQ_EARNING_ASSETS_YIELD_FDIC" hidden="1">"c6724"</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COVERAGE_NET_CHARGE_OFFS_FDIC" hidden="1">"c6735"</definedName>
    <definedName name="IQ_EBIT" hidden="1">"c352"</definedName>
    <definedName name="IQ_EBIT_10K" hidden="1">"IQ_EBIT_10K"</definedName>
    <definedName name="IQ_EBIT_10Q" hidden="1">"IQ_EBIT_10Q"</definedName>
    <definedName name="IQ_EBIT_10Q1" hidden="1">"IQ_EBIT_10Q1"</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GROWTH_1" hidden="1">"IQ_EBIT_GROWTH_1"</definedName>
    <definedName name="IQ_EBIT_GROWTH_2" hidden="1">"IQ_EBIT_GROWTH_2"</definedName>
    <definedName name="IQ_EBIT_INT" hidden="1">"c360"</definedName>
    <definedName name="IQ_EBIT_MARGIN" hidden="1">"c359"</definedName>
    <definedName name="IQ_EBIT_OVER_IE" hidden="1">"c360"</definedName>
    <definedName name="IQ_EBITDA" hidden="1">"c361"</definedName>
    <definedName name="IQ_EBITDA_10K" hidden="1">"IQ_EBITDA_10K"</definedName>
    <definedName name="IQ_EBITDA_10Q" hidden="1">"IQ_EBITDA_10Q"</definedName>
    <definedName name="IQ_EBITDA_10Q1" hidden="1">"IQ_EBITDA_10Q1"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"c368"</definedName>
    <definedName name="IQ_EBITDA_EST" hidden="1">"c252"</definedName>
    <definedName name="IQ_EBITDA_GROWTH_1" hidden="1">"IQ_EBITDA_GROWTH_1"</definedName>
    <definedName name="IQ_EBITDA_GROWTH_2" hidden="1">"IQ_EBITDA_GROWTH_2"</definedName>
    <definedName name="IQ_EBITDA_HIGH_EST" hidden="1">"c265"</definedName>
    <definedName name="IQ_EBITDA_INT" hidden="1">"c373"</definedName>
    <definedName name="IQ_EBITDA_LOW_EST" hidden="1">"c266"</definedName>
    <definedName name="IQ_EBITDA_MARGIN" hidden="1">"c372"</definedName>
    <definedName name="IQ_EBITDA_NUM_EST" hidden="1">"c267"</definedName>
    <definedName name="IQ_EBITDA_OVER_TOTAL_IE" hidden="1">"c373"</definedName>
    <definedName name="IQ_EBITDA_STDDEV_EST" hidden="1">"c268"</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S" hidden="1">"c388"</definedName>
    <definedName name="IQ_EBT_REIT" hidden="1">"c389"</definedName>
    <definedName name="IQ_EBT_UTI" hidden="1">"c390"</definedName>
    <definedName name="IQ_EFFECT_SPECIAL_CHARGE" hidden="1">"c1595"</definedName>
    <definedName name="IQ_EFFICIENCY_RATIO" hidden="1">"c391"</definedName>
    <definedName name="IQ_EFFICIENCY_RATIO_FDIC" hidden="1">"c6736"</definedName>
    <definedName name="IQ_EMPLOYEES" hidden="1">"c392"</definedName>
    <definedName name="IQ_ENTERPRISE_VALUE" hidden="1">"c84"</definedName>
    <definedName name="IQ_EPS" hidden="1">"IQ_EPS"</definedName>
    <definedName name="IQ_EPS_10K" hidden="1">"IQ_EPS_10K"</definedName>
    <definedName name="IQ_EPS_10Q" hidden="1">"IQ_EPS_10Q"</definedName>
    <definedName name="IQ_EPS_10Q1" hidden="1">"IQ_EPS_10Q1"</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EST" hidden="1">"c399"</definedName>
    <definedName name="IQ_EPS_EST_1" hidden="1">"IQ_EPS_EST_1"</definedName>
    <definedName name="IQ_EPS_HIGH_EST" hidden="1">"c400"</definedName>
    <definedName name="IQ_EPS_LOW_EST" hidden="1">"c401"</definedName>
    <definedName name="IQ_EPS_NUM_EST" hidden="1">"c402"</definedName>
    <definedName name="IQ_EPS_STDDEV_EST" hidden="1">"c403"</definedName>
    <definedName name="IQ_EQUITY_AFFIL" hidden="1">"c552"</definedName>
    <definedName name="IQ_EQUITY_CAPITAL_ASSETS_FDIC" hidden="1">"c6744"</definedName>
    <definedName name="IQ_EQUITY_FDIC" hidden="1">"c6353"</definedName>
    <definedName name="IQ_EQUITY_METHOD" hidden="1">"c404"</definedName>
    <definedName name="IQ_EQUITY_SECURITIES_FDIC" hidden="1">"c6304"</definedName>
    <definedName name="IQ_EQUITY_SECURITY_EXPOSURES_FDIC" hidden="1">"c6664"</definedName>
    <definedName name="IQ_EQV_OVER_BV" hidden="1">"c1596"</definedName>
    <definedName name="IQ_EQV_OVER_LTM_PRETAX_INC" hidden="1">"c739"</definedName>
    <definedName name="IQ_ESOP_DEBT" hidden="1">"c1597"</definedName>
    <definedName name="IQ_EST_ACT_EPS" hidden="1">"c1648"</definedName>
    <definedName name="IQ_EST_DATE" hidden="1">"c1634"</definedName>
    <definedName name="IQ_EST_EPS_GROWTH_1YR" hidden="1">"c1636"</definedName>
    <definedName name="IQ_EST_EPS_GROWTH_Q_1YR" hidden="1">"c1641"</definedName>
    <definedName name="IQ_ESTIMATED_ASSESSABLE_DEPOSITS_FDIC" hidden="1">"c6490"</definedName>
    <definedName name="IQ_ESTIMATED_INSURED_DEPOSITS_FDIC" hidden="1">"c6491"</definedName>
    <definedName name="IQ_EV_OVER_EMPLOYEE" hidden="1">"c1225"</definedName>
    <definedName name="IQ_EV_OVER_LTM_EBIT" hidden="1">"c1221"</definedName>
    <definedName name="IQ_EV_OVER_LTM_EBITDA" hidden="1">"c1223"</definedName>
    <definedName name="IQ_EV_OVER_LTM_REVENUE" hidden="1">"c1227"</definedName>
    <definedName name="IQ_EV_OVER_REVENUE_EST" hidden="1">"IQ_EV_OVER_REVENUE_EST"</definedName>
    <definedName name="IQ_EV_OVER_REVENUE_EST_1" hidden="1">"IQ_EV_OVER_REVENUE_EST_1"</definedName>
    <definedName name="IQ_EXCHANGE" hidden="1">"c405"</definedName>
    <definedName name="IQ_EXERCISE_PRICE"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"c413"</definedName>
    <definedName name="IQ_EXTRAORDINARY_GAINS_FDIC" hidden="1">"c6586"</definedName>
    <definedName name="IQ_FAIR_VALUE_FDIC" hidden="1">"c6427"</definedName>
    <definedName name="IQ_FARM_LOANS_NET_FDIC" hidden="1">"c6316"</definedName>
    <definedName name="IQ_FARM_LOANS_TOTAL_LOANS_FOREIGN_FDIC" hidden="1">"c6450"</definedName>
    <definedName name="IQ_FARMLAND_LOANS_FDIC" hidden="1">"c6314"</definedName>
    <definedName name="IQ_FDIC" hidden="1">"c417"</definedName>
    <definedName name="IQ_FED_FUNDS_PURCHASED_FDIC" hidden="1">"c6343"</definedName>
    <definedName name="IQ_FED_FUNDS_SOLD_FDIC" hidden="1">"c6307"</definedName>
    <definedName name="IQ_FFO" hidden="1">"c1574"</definedName>
    <definedName name="IQ_FFO_EST" hidden="1">"c273"</definedName>
    <definedName name="IQ_FFO_HIGH_EST" hidden="1">"c274"</definedName>
    <definedName name="IQ_FFO_LOW_EST" hidden="1">"c275"</definedName>
    <definedName name="IQ_FFO_NUM_EST" hidden="1">"c276"</definedName>
    <definedName name="IQ_FFO_STDDEV_EST" hidden="1">"c277"</definedName>
    <definedName name="IQ_FH" hidden="1">100000</definedName>
    <definedName name="IQ_FHLB_ADVANCES_FDIC" hidden="1">"c6366"</definedName>
    <definedName name="IQ_FHLB_DEBT" hidden="1">"c423"</definedName>
    <definedName name="IQ_FIDUCIARY_ACTIVITIES_FDIC" hidden="1">"c6571"</definedName>
    <definedName name="IQ_FIFETEEN_YEAR_FIXED_AND_FLOATING_RATE_FDIC" hidden="1">"c6423"</definedName>
    <definedName name="IQ_FIFETEEN_YEAR_MORTGAGE_PASS_THROUGHS_FDIC" hidden="1">"c6415"</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"c893"</definedName>
    <definedName name="IQ_FINANCING_CASH_SUPPL" hidden="1">"c899"</definedName>
    <definedName name="IQ_FINISHED_INV" hidden="1">"c438"</definedName>
    <definedName name="IQ_FIRST_YEAR_LIFE" hidden="1">"c439"</definedName>
    <definedName name="IQ_FISCAL_Q" hidden="1">"c440"</definedName>
    <definedName name="IQ_FISCAL_Y" hidden="1">"c441"</definedName>
    <definedName name="IQ_FIVE_PERCENT_OWNER" hidden="1">"c442"</definedName>
    <definedName name="IQ_FIVE_YEAR_FIXED_AND_FLOATING_RATE_FDIC" hidden="1">"c6422"</definedName>
    <definedName name="IQ_FIVE_YEAR_MORTGAGE_PASS_THROUGHS_FDIC" hidden="1">"c6414"</definedName>
    <definedName name="IQ_FIVEPERCENT_PERCENT" hidden="1">"c443"</definedName>
    <definedName name="IQ_FIVEPERCENT_SHARES" hidden="1">"c444"</definedName>
    <definedName name="IQ_FIXED_ASSET_TURNS" hidden="1">"c445"</definedName>
    <definedName name="IQ_FLOAT_PERCENT" hidden="1">"c1575"</definedName>
    <definedName name="IQ_FNMA_FHLMC_FDIC" hidden="1">"c6397"</definedName>
    <definedName name="IQ_FNMA_FHLMC_GNMA_FDIC" hidden="1">"c6399"</definedName>
    <definedName name="IQ_FORECLOSED_PROPERTIES_FDIC" hidden="1">"c6459"</definedName>
    <definedName name="IQ_FOREIGN_BANK_LOANS_FDIC" hidden="1">"c6437"</definedName>
    <definedName name="IQ_FOREIGN_BANKS_DEPOSITS_FOREIGN_FDIC" hidden="1">"c6481"</definedName>
    <definedName name="IQ_FOREIGN_BANKS_LOAN_CHARG_OFFS_FDIC" hidden="1">"c6645"</definedName>
    <definedName name="IQ_FOREIGN_BANKS_NET_CHARGE_OFFS_FDIC" hidden="1">"c6647"</definedName>
    <definedName name="IQ_FOREIGN_BANKS_NONTRANSACTION_ACCOUNTS_FDIC" hidden="1">"c6550"</definedName>
    <definedName name="IQ_FOREIGN_BANKS_RECOVERIES_FDIC" hidden="1">"c6646"</definedName>
    <definedName name="IQ_FOREIGN_BANKS_TRANSACTION_ACCOUNTS_FDIC" hidden="1">"c6542"</definedName>
    <definedName name="IQ_FOREIGN_BRANCHES_US_BANKS_FDIC" hidden="1">"c6392"</definedName>
    <definedName name="IQ_FOREIGN_BRANCHES_US_BANKS_LOANS_FDIC" hidden="1">"c6438"</definedName>
    <definedName name="IQ_FOREIGN_COUNTRIES_BANKS_TOTAL_LOANS_FOREIGN_FDIC" hidden="1">"c6445"</definedName>
    <definedName name="IQ_FOREIGN_DEBT_SECURITIES_FDIC" hidden="1">"c6303"</definedName>
    <definedName name="IQ_FOREIGN_DEP_IB" hidden="1">"c446"</definedName>
    <definedName name="IQ_FOREIGN_DEP_NON_IB" hidden="1">"c447"</definedName>
    <definedName name="IQ_FOREIGN_DEPOSITS_NONTRANSACTION_ACCOUNTS_FDIC" hidden="1">"c6549"</definedName>
    <definedName name="IQ_FOREIGN_DEPOSITS_TRANSACTION_ACCOUNTS_FDIC" hidden="1">"c6541"</definedName>
    <definedName name="IQ_FOREIGN_EXCHANGE" hidden="1">"c451"</definedName>
    <definedName name="IQ_FOREIGN_EXCHANGE_EXPOSURES_FDIC" hidden="1">"c6663"</definedName>
    <definedName name="IQ_FOREIGN_GOVERNMENT_LOANS_FDIC" hidden="1">"c6430"</definedName>
    <definedName name="IQ_FOREIGN_GOVERNMENTS_CHARGE_OFFS_FDIC" hidden="1">"c6600"</definedName>
    <definedName name="IQ_FOREIGN_GOVERNMENTS_DEPOSITS_FOREIGN_FDIC" hidden="1">"c6482"</definedName>
    <definedName name="IQ_FOREIGN_GOVERNMENTS_NET_CHARGE_OFFS_FDIC" hidden="1">"c6638"</definedName>
    <definedName name="IQ_FOREIGN_GOVERNMENTS_NONTRANSACTION_ACCOUNTS_FDIC" hidden="1">"c6551"</definedName>
    <definedName name="IQ_FOREIGN_GOVERNMENTS_RECOVERIES_FDIC" hidden="1">"c6619"</definedName>
    <definedName name="IQ_FOREIGN_GOVERNMENTS_TOTAL_DEPOSITS_FDIC" hidden="1">"c6476"</definedName>
    <definedName name="IQ_FOREIGN_GOVERNMENTS_TRANSACTION_ACCOUNTS_FDIC" hidden="1">"c6543"</definedName>
    <definedName name="IQ_FOREIGN_LOANS" hidden="1">"c448"</definedName>
    <definedName name="IQ_FQ" hidden="1">500</definedName>
    <definedName name="IQ_FUEL" hidden="1">"c449"</definedName>
    <definedName name="IQ_FULL_TIME" hidden="1">"c450"</definedName>
    <definedName name="IQ_FULLY_INSURED_DEPOSITS_FDIC" hidden="1">"c6487"</definedName>
    <definedName name="IQ_FUTURES_FORWARD_CONTRACTS_NOTIONAL_AMOUNT_FDIC" hidden="1">"c6518"</definedName>
    <definedName name="IQ_FUTURES_FORWARD_CONTRACTS_RATE_RISK_FDIC" hidden="1">"c6508"</definedName>
    <definedName name="IQ_FWD" hidden="1">"LTM"</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WD_Q3" hidden="1">"504"</definedName>
    <definedName name="IQ_FWD_Q4" hidden="1">"505"</definedName>
    <definedName name="IQ_FWD_Q5" hidden="1">"506"</definedName>
    <definedName name="IQ_FWD_Q6" hidden="1">"507"</definedName>
    <definedName name="IQ_FWD_Q7" hidden="1">"508"</definedName>
    <definedName name="IQ_FWD1" hidden="1">"LTM"</definedName>
    <definedName name="IQ_FX" hidden="1">"c451"</definedName>
    <definedName name="IQ_FX_CONTRACTS_FDIC" hidden="1">"c6517"</definedName>
    <definedName name="IQ_FX_CONTRACTS_SPOT_FDIC" hidden="1">"c6356"</definedName>
    <definedName name="IQ_FY" hidden="1">1000</definedName>
    <definedName name="IQ_FY_DATE" hidden="1">"IQ_FY_DATE"</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"c452"</definedName>
    <definedName name="IQ_GAIN_SALE_LOANS_FDIC" hidden="1">"c6673"</definedName>
    <definedName name="IQ_GAIN_SALE_RE_FDIC" hidden="1">"c6674"</definedName>
    <definedName name="IQ_GAINS_SALE_ASSETS_FDIC" hidden="1">"c6675"</definedName>
    <definedName name="IQ_GNMA_FDIC" hidden="1">"c6398"</definedName>
    <definedName name="IQ_GOODWILL_FDIC" hidden="1">"c6334"</definedName>
    <definedName name="IQ_GOODWILL_IMPAIRMENT_FDIC" hidden="1">"c6678"</definedName>
    <definedName name="IQ_GOODWILL_INTAN_FDIC" hidden="1">"c6333"</definedName>
    <definedName name="IQ_GOODWILL_NET" hidden="1">"c530"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"c192"</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"c511"</definedName>
    <definedName name="IQ_GW" hidden="1">"c530"</definedName>
    <definedName name="IQ_GW_AMORT_BR" hidden="1">"c532"</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ELD_MATURITY_FDIC" hidden="1">"c6408"</definedName>
    <definedName name="IQ_HIGHPRICE" hidden="1">"c545"</definedName>
    <definedName name="IQ_HOME_EQUITY_LOC_NET_CHARGE_OFFS_FDIC" hidden="1">"c6644"</definedName>
    <definedName name="IQ_HOME_EQUITY_LOC_TOTAL_CHARGE_OFFS_FDIC" hidden="1">"c6606"</definedName>
    <definedName name="IQ_HOME_EQUITY_LOC_TOTAL_RECOVERIES_FDIC" hidden="1">"c6625"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"c789"</definedName>
    <definedName name="IQ_INC_AVAIL_INCL" hidden="1">"c791"</definedName>
    <definedName name="IQ_INC_BEFORE_TAX" hidden="1">"c386"</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CIDENTAL_CHANGES_BUSINESS_COMBINATIONS_FDIC" hidden="1">"c6502"</definedName>
    <definedName name="IQ_INCOME_BEFORE_EXTRA_FDIC" hidden="1">"c6585"</definedName>
    <definedName name="IQ_INCOME_EARNED_FDIC" hidden="1">"c6359"</definedName>
    <definedName name="IQ_INCOME_TAXES_FDIC" hidden="1">"c6582"</definedName>
    <definedName name="IQ_INDEX_PROVIDED_DIVIDEND" hidden="1">"c19252"</definedName>
    <definedName name="IQ_INDEXCONSTITUENT_CLOSEPRICE" hidden="1">"c19241"</definedName>
    <definedName name="IQ_INDIVIDUALS_CHARGE_OFFS_FDIC" hidden="1">"c6599"</definedName>
    <definedName name="IQ_INDIVIDUALS_LOANS_FDIC" hidden="1">"c6318"</definedName>
    <definedName name="IQ_INDIVIDUALS_NET_CHARGE_OFFS_FDIC" hidden="1">"c6637"</definedName>
    <definedName name="IQ_INDIVIDUALS_OTHER_LOANS_FDIC" hidden="1">"c6321"</definedName>
    <definedName name="IQ_INDIVIDUALS_PARTNERSHIPS_CORP_DEPOSITS_FOREIGN_FDIC" hidden="1">"c6479"</definedName>
    <definedName name="IQ_INDIVIDUALS_PARTNERSHIPS_CORP_NONTRANSACTION_ACCOUNTS_FDIC" hidden="1">"c6545"</definedName>
    <definedName name="IQ_INDIVIDUALS_PARTNERSHIPS_CORP_TOTAL_DEPOSITS_FDIC" hidden="1">"c6471"</definedName>
    <definedName name="IQ_INDIVIDUALS_PARTNERSHIPS_CORP_TRANSACTION_ACCOUNTS_FDIC" hidden="1">"c6537"</definedName>
    <definedName name="IQ_INDIVIDUALS_RECOVERIES_FDIC" hidden="1">"c6618"</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LOANS_FDIC" hidden="1">"c6365"</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TITUTIONS_EARNINGS_GAINS_FDIC" hidden="1">"c6723"</definedName>
    <definedName name="IQ_INSUR_RECEIV" hidden="1">"c1600"</definedName>
    <definedName name="IQ_INSURANCE_COMMISSION_FEES_FDIC" hidden="1">"c6670"</definedName>
    <definedName name="IQ_INSURANCE_UNDERWRITING_INCOME_FDIC" hidden="1">"c6671"</definedName>
    <definedName name="IQ_INT_BORROW" hidden="1">"c583"</definedName>
    <definedName name="IQ_INT_DEMAND_NOTES_FDIC" hidden="1">"c6567"</definedName>
    <definedName name="IQ_INT_DEPOSITS" hidden="1">"c584"</definedName>
    <definedName name="IQ_INT_DIV_INC" hidden="1">"c585"</definedName>
    <definedName name="IQ_INT_DOMESTIC_DEPOSITS_FDIC" hidden="1">"c6564"</definedName>
    <definedName name="IQ_INT_EXP_BR" hidden="1">"c586"</definedName>
    <definedName name="IQ_INT_EXP_COVERAGE" hidden="1">"c587"</definedName>
    <definedName name="IQ_INT_EXP_FIN" hidden="1">"c588"</definedName>
    <definedName name="IQ_INT_EXP_INS" hidden="1">"c589"</definedName>
    <definedName name="IQ_INT_EXP_REIT" hidden="1">"c590"</definedName>
    <definedName name="IQ_INT_EXP_TOTAL" hidden="1">"c591"</definedName>
    <definedName name="IQ_INT_EXP_TOTAL_FDIC" hidden="1">"c6569"</definedName>
    <definedName name="IQ_INT_EXP_UTI" hidden="1">"c592"</definedName>
    <definedName name="IQ_INT_FED_FUNDS_FDIC" hidden="1">"c6566"</definedName>
    <definedName name="IQ_INT_FOREIGN_DEPOSITS_FDIC" hidden="1">"c6565"</definedName>
    <definedName name="IQ_INT_INC_BR" hidden="1">"c593"</definedName>
    <definedName name="IQ_INT_INC_DEPOSITORY_INST_FDIC" hidden="1">"c6558"</definedName>
    <definedName name="IQ_INT_INC_DOM_LOANS_FDIC" hidden="1">"c6555"</definedName>
    <definedName name="IQ_INT_INC_FED_FUNDS_FDIC" hidden="1">"c6561"</definedName>
    <definedName name="IQ_INT_INC_FIN" hidden="1">"c594"</definedName>
    <definedName name="IQ_INT_INC_FOREIGN_LOANS_FDIC" hidden="1">"c6556"</definedName>
    <definedName name="IQ_INT_INC_INVEST" hidden="1">"c595"</definedName>
    <definedName name="IQ_INT_INC_LEASE_RECEIVABLES_FDIC" hidden="1">"c6557"</definedName>
    <definedName name="IQ_INT_INC_LOANS" hidden="1">"c596"</definedName>
    <definedName name="IQ_INT_INC_OTHER_FDIC" hidden="1">"c6562"</definedName>
    <definedName name="IQ_INT_INC_REIT" hidden="1">"c597"</definedName>
    <definedName name="IQ_INT_INC_SECURITIES_FDIC" hidden="1">"c6559"</definedName>
    <definedName name="IQ_INT_INC_TOTAL" hidden="1">"c598"</definedName>
    <definedName name="IQ_INT_INC_TOTAL_FDIC" hidden="1">"c6563"</definedName>
    <definedName name="IQ_INT_INC_TRADING_ACCOUNTS_FDIC" hidden="1">"c6560"</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_SUB_NOTES_FDIC" hidden="1">"c6568"</definedName>
    <definedName name="IQ_INTANGIBLES_NET" hidden="1">"c907"</definedName>
    <definedName name="IQ_INTEREST_BEARING_BALANCES_FDIC" hidden="1">"c6371"</definedName>
    <definedName name="IQ_INTEREST_BEARING_DEPOSITS_DOMESTIC_FDIC" hidden="1">"c6478"</definedName>
    <definedName name="IQ_INTEREST_BEARING_DEPOSITS_FDIC" hidden="1">"c6373"</definedName>
    <definedName name="IQ_INTEREST_BEARING_DEPOSITS_FOREIGN_FDIC" hidden="1">"c6485"</definedName>
    <definedName name="IQ_INTEREST_EXP" hidden="1">"c618"</definedName>
    <definedName name="IQ_INTEREST_EXP_NET" hidden="1">"c1450"</definedName>
    <definedName name="IQ_INTEREST_EXP_NON" hidden="1">"c618"</definedName>
    <definedName name="IQ_INTEREST_EXP_SUPPL" hidden="1">"c1460"</definedName>
    <definedName name="IQ_INTEREST_INC" hidden="1">"c769"</definedName>
    <definedName name="IQ_INTEREST_INC_10K" hidden="1">"IQ_INTEREST_INC_10K"</definedName>
    <definedName name="IQ_INTEREST_INC_10Q" hidden="1">"IQ_INTEREST_INC_10Q"</definedName>
    <definedName name="IQ_INTEREST_INC_10Q1" hidden="1">"IQ_INTEREST_INC_10Q1"</definedName>
    <definedName name="IQ_INTEREST_INC_NON" hidden="1">"c619"</definedName>
    <definedName name="IQ_INTEREST_INVEST_INC" hidden="1">"c619"</definedName>
    <definedName name="IQ_INTEREST_RATE_CONTRACTS_FDIC" hidden="1">"c6512"</definedName>
    <definedName name="IQ_INTEREST_RATE_EXPOSURES_FDIC" hidden="1">"c6662"</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NVESTMENT_BANKING_OTHER_FEES_FDIC" hidden="1">"c6666"</definedName>
    <definedName name="IQ_IPRD" hidden="1">"c644"</definedName>
    <definedName name="IQ_IRA_KEOGH_ACCOUNTS_FDIC" hidden="1">"c6496"</definedName>
    <definedName name="IQ_ISS_DEBT_NET" hidden="1">"c751"</definedName>
    <definedName name="IQ_ISS_STOCK_NET" hidden="1">"c1601"</definedName>
    <definedName name="IQ_ISSUED_GUARANTEED_US_FDIC" hidden="1">"c6404"</definedName>
    <definedName name="IQ_LAND" hidden="1">"c645"</definedName>
    <definedName name="IQ_LAST_EBIT_MARGIN" hidden="1">"IQ_LAST_EBIT_MARGIN"</definedName>
    <definedName name="IQ_LAST_EBITDA_MARGIN" hidden="1">"IQ_LAST_EBITDA_MARGIN"</definedName>
    <definedName name="IQ_LAST_GROSS_MARGIN" hidden="1">"IQ_LAST_GROSS_MARGIN"</definedName>
    <definedName name="IQ_LAST_NET_INC_MARGIN" hidden="1">"IQ_LAST_NET_INC_MARGIN"</definedName>
    <definedName name="IQ_LASTSALEPRICE" hidden="1">"c646"</definedName>
    <definedName name="IQ_LATEST" hidden="1">"1"</definedName>
    <definedName name="IQ_LATESTK" hidden="1">1000</definedName>
    <definedName name="IQ_LATESTKFR" hidden="1">"100"</definedName>
    <definedName name="IQ_LATESTQ" hidden="1">500</definedName>
    <definedName name="IQ_LATESTQFR" hidden="1">"50"</definedName>
    <definedName name="IQ_LEASE_FINANCING_RECEIVABLES_CHARGE_OFFS_FDIC" hidden="1">"c6602"</definedName>
    <definedName name="IQ_LEASE_FINANCING_RECEIVABLES_FDIC" hidden="1">"c6433"</definedName>
    <definedName name="IQ_LEASE_FINANCING_RECEIVABLES_NET_CHARGE_OFFS_FDIC" hidden="1">"c6640"</definedName>
    <definedName name="IQ_LEASE_FINANCING_RECEIVABLES_RECOVERIES_FDIC" hidden="1">"c6621"</definedName>
    <definedName name="IQ_LEASE_FINANCING_RECEIVABLES_TOTAL_LOANS_FOREIGN_FDIC" hidden="1">"c6449"</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IFE_INSURANCE_ASSETS_FDIC" hidden="1">"c6372"</definedName>
    <definedName name="IQ_LIFOR" hidden="1">"c655"</definedName>
    <definedName name="IQ_LL" hidden="1">"c656"</definedName>
    <definedName name="IQ_LOAN_COMMITMENTS_REVOLVING_FDIC" hidden="1">"c6524"</definedName>
    <definedName name="IQ_LOAN_LEASE_RECEIV" hidden="1">"c657"</definedName>
    <definedName name="IQ_LOAN_LOSS" hidden="1">"c656"</definedName>
    <definedName name="IQ_LOAN_LOSS_ALLOW_FDIC" hidden="1">"c6326"</definedName>
    <definedName name="IQ_LOAN_LOSS_ALLOWANCE_NONCURRENT_LOANS_FDIC" hidden="1">"c6740"</definedName>
    <definedName name="IQ_LOAN_LOSSES_FDIC" hidden="1">"c6580"</definedName>
    <definedName name="IQ_LOAN_SERVICE_REV" hidden="1">"c658"</definedName>
    <definedName name="IQ_LOANS_AND_LEASES_HELD_FDIC" hidden="1">"c6367"</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DEPOSITORY_INSTITUTIONS_FDIC" hidden="1">"c6382"</definedName>
    <definedName name="IQ_LOANS_FOR_SALE" hidden="1">"c666"</definedName>
    <definedName name="IQ_LOANS_HELD_FOREIGN_FDIC" hidden="1">"c6315"</definedName>
    <definedName name="IQ_LOANS_LEASES_FOREIGN_FDIC" hidden="1">"c6383"</definedName>
    <definedName name="IQ_LOANS_LEASES_GROSS_FDIC" hidden="1">"c6323"</definedName>
    <definedName name="IQ_LOANS_LEASES_GROSS_FOREIGN_FDIC" hidden="1">"c6384"</definedName>
    <definedName name="IQ_LOANS_LEASES_NET_FDIC" hidden="1">"c6327"</definedName>
    <definedName name="IQ_LOANS_LEASES_NET_UNEARNED_FDIC" hidden="1">"c6325"</definedName>
    <definedName name="IQ_LOANS_NOT_SECURED_RE_FDIC" hidden="1">"c6381"</definedName>
    <definedName name="IQ_LOANS_PAST_DUE" hidden="1">"c667"</definedName>
    <definedName name="IQ_LOANS_RECEIV_CURRENT" hidden="1">"c668"</definedName>
    <definedName name="IQ_LOANS_RECEIV_LT" hidden="1">"c669"</definedName>
    <definedName name="IQ_LOANS_RECEIV_LT_UTI" hidden="1">"c670"</definedName>
    <definedName name="IQ_LOANS_SECURED_BY_RE_CHARGE_OFFS_FDIC" hidden="1">"c6588"</definedName>
    <definedName name="IQ_LOANS_SECURED_BY_RE_RECOVERIES_FDIC" hidden="1">"c6607"</definedName>
    <definedName name="IQ_LOANS_SECURED_NON_US_FDIC" hidden="1">"c6380"</definedName>
    <definedName name="IQ_LOANS_SECURED_RE_NET_CHARGE_OFFS_FDIC" hidden="1">"c6626"</definedName>
    <definedName name="IQ_LOANS_TO_DEPOSITORY_INSTITUTIONS_FOREIGN_FDIC" hidden="1">"c6453"</definedName>
    <definedName name="IQ_LOANS_TO_FOREIGN_GOVERNMENTS_FDIC" hidden="1">"c6448"</definedName>
    <definedName name="IQ_LOANS_TO_INDIVIDUALS_FOREIGN_FDIC" hidden="1">"c6452"</definedName>
    <definedName name="IQ_LONG_TERM_ASSETS_FDIC" hidden="1">"c6361"</definedName>
    <definedName name="IQ_LONG_TERM_DEBT" hidden="1">"c674"</definedName>
    <definedName name="IQ_LONG_TERM_DEBT_OVER_TOTAL_CAP" hidden="1">"c677"</definedName>
    <definedName name="IQ_LONG_TERM_GROWTH" hidden="1">"c671"</definedName>
    <definedName name="IQ_LONG_TERM_INV" hidden="1">"c697"</definedName>
    <definedName name="IQ_LOSS_ALLOWANCE_LOANS_FDIC" hidden="1">"c6739"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DATE" hidden="1">"IQ_LTM_DATE"</definedName>
    <definedName name="IQ_LTM_REVENUE_OVER_EMPLOYEES" hidden="1">"c1304"</definedName>
    <definedName name="IQ_LTMMONTH" hidden="1">120000</definedName>
    <definedName name="IQ_MACHINERY" hidden="1">"c711"</definedName>
    <definedName name="IQ_MARKETCAP" hidden="1">"c712"</definedName>
    <definedName name="IQ_MATURITY_ONE_YEAR_LESS_FDIC" hidden="1">"c6425"</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M_ACCOUNT" hidden="1">"c743"</definedName>
    <definedName name="IQ_MONEY_MARKET_DEPOSIT_ACCOUNTS_FDIC" hidden="1">"c6553"</definedName>
    <definedName name="IQ_MONTH" hidden="1">15000</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BACKED_SECURITIES_FDIC" hidden="1">"c6402"</definedName>
    <definedName name="IQ_MORTGAGE_SERVICING_FDIC" hidden="1">"c6335"</definedName>
    <definedName name="IQ_MTD" hidden="1">800000</definedName>
    <definedName name="IQ_MULTIFAMILY_RESIDENTIAL_LOANS_FDIC" hidden="1">"c6311"</definedName>
    <definedName name="IQ_NAMES_REVISION_DATE_" hidden="1">41168.7019791667</definedName>
    <definedName name="IQ_NET_CHANGE" hidden="1">"c749"</definedName>
    <definedName name="IQ_NET_CHARGE_OFFS_FDIC" hidden="1">"c6641"</definedName>
    <definedName name="IQ_NET_CHARGE_OFFS_LOANS_FDIC" hidden="1">"c6751"</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"c781"</definedName>
    <definedName name="IQ_NET_INC_10K" hidden="1">"IQ_NET_INC_10K"</definedName>
    <definedName name="IQ_NET_INC_10Q" hidden="1">"IQ_NET_INC_10Q"</definedName>
    <definedName name="IQ_NET_INC_10Q1" hidden="1">"IQ_NET_INC_10Q1"</definedName>
    <definedName name="IQ_NET_INC_BEFORE" hidden="1">"c344"</definedName>
    <definedName name="IQ_NET_INC_CF" hidden="1">"c793"</definedName>
    <definedName name="IQ_NET_INC_GROWTH_1" hidden="1">"IQ_NET_INC_GROWTH_1"</definedName>
    <definedName name="IQ_NET_INC_GROWTH_2" hidden="1">"IQ_NET_INC_GROWTH_2"</definedName>
    <definedName name="IQ_NET_INC_MARGIN" hidden="1">"c794"</definedName>
    <definedName name="IQ_NET_INCOME_FDIC" hidden="1">"c6587"</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NK_FDIC" hidden="1">"c6570"</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"c764"</definedName>
    <definedName name="IQ_NET_INTEREST_INC_AFTER_LL" hidden="1">"c1604"</definedName>
    <definedName name="IQ_NET_INTEREST_MARGIN_FDIC" hidden="1">"c6726"</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LEASES_CORE_DEPOSITS_FDIC" hidden="1">"c6743"</definedName>
    <definedName name="IQ_NET_LOANS_LEASES_DEPOSITS_FDIC" hidden="1">"c6742"</definedName>
    <definedName name="IQ_NET_LOANS_TOTAL_DEPOSITS" hidden="1">"c779"</definedName>
    <definedName name="IQ_NET_OPERATING_INCOME_ASSETS_FDIC" hidden="1">"c6729"</definedName>
    <definedName name="IQ_NET_RENTAL_EXP_FN" hidden="1">"c780"</definedName>
    <definedName name="IQ_NET_SECURITIZATION_INCOME_FDIC" hidden="1">"c6669"</definedName>
    <definedName name="IQ_NET_SERVICING_FEES_FDIC" hidden="1">"c6668"</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SFAS" hidden="1">"c795"</definedName>
    <definedName name="IQ_NON_ACCRUAL_LOANS" hidden="1">"c796"</definedName>
    <definedName name="IQ_NON_CASH" hidden="1">"c797"</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EXP_FDIC" hidden="1">"c6579"</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_INC_FDIC" hidden="1">"c6575"</definedName>
    <definedName name="IQ_NON_INTEREST_EXP" hidden="1">"c801"</definedName>
    <definedName name="IQ_NON_INTEREST_INC" hidden="1">"c802"</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_US_ADDRESSEES_TOTAL_LOANS_FOREIGN_FDIC" hidden="1">"c6443"</definedName>
    <definedName name="IQ_NON_US_CHARGE_OFFS_AND_RECOVERIES_FDIC" hidden="1">"c6650"</definedName>
    <definedName name="IQ_NON_US_CHARGE_OFFS_FDIC" hidden="1">"c6648"</definedName>
    <definedName name="IQ_NON_US_COMMERCIAL_INDUSTRIAL_CHARGE_OFFS_FDIC" hidden="1">"c6651"</definedName>
    <definedName name="IQ_NON_US_NET_LOANS_FDIC" hidden="1">"c6376"</definedName>
    <definedName name="IQ_NON_US_RECOVERIES_FDIC" hidden="1">"c6649"</definedName>
    <definedName name="IQ_NONCURRENT_LOANS_1_4_FAMILY_FDIC" hidden="1">"c6770"</definedName>
    <definedName name="IQ_NONCURRENT_LOANS_COMMERCIAL_INDUSTRIAL_FDIC" hidden="1">"c6773"</definedName>
    <definedName name="IQ_NONCURRENT_LOANS_COMMERCIAL_RE_FDIC" hidden="1">"c6768"</definedName>
    <definedName name="IQ_NONCURRENT_LOANS_COMMERCIAL_RE_NOT_SECURED_FDIC" hidden="1">"c6778"</definedName>
    <definedName name="IQ_NONCURRENT_LOANS_CONSTRUCTION_LAND_DEV_FDIC" hidden="1">"c6767"</definedName>
    <definedName name="IQ_NONCURRENT_LOANS_CREDIT_CARD_FDIC" hidden="1">"c6775"</definedName>
    <definedName name="IQ_NONCURRENT_LOANS_GUARANTEED_FDIC" hidden="1">"c6358"</definedName>
    <definedName name="IQ_NONCURRENT_LOANS_HOME_EQUITY_FDIC" hidden="1">"c6771"</definedName>
    <definedName name="IQ_NONCURRENT_LOANS_INDIVIDUALS_FDIC" hidden="1">"c6774"</definedName>
    <definedName name="IQ_NONCURRENT_LOANS_LEASES_FDIC" hidden="1">"c6357"</definedName>
    <definedName name="IQ_NONCURRENT_LOANS_MULTIFAMILY_FDIC" hidden="1">"c6769"</definedName>
    <definedName name="IQ_NONCURRENT_LOANS_OTHER_FAMILY_FDIC" hidden="1">"c6772"</definedName>
    <definedName name="IQ_NONCURRENT_LOANS_OTHER_INDIVIDUAL_FDIC" hidden="1">"c6776"</definedName>
    <definedName name="IQ_NONCURRENT_LOANS_OTHER_LOANS_FDIC" hidden="1">"c6777"</definedName>
    <definedName name="IQ_NONCURRENT_LOANS_RE_FDIC" hidden="1">"c6766"</definedName>
    <definedName name="IQ_NONCURRENT_LOANS_TOTAL_LOANS_FDIC" hidden="1">"c6765"</definedName>
    <definedName name="IQ_NONCURRENT_OREO_ASSETS_FDIC" hidden="1">"c6741"</definedName>
    <definedName name="IQ_NONINTEREST_BEARING_BALANCES_FDIC" hidden="1">"c6394"</definedName>
    <definedName name="IQ_NONINTEREST_BEARING_DEPOSITS_DOMESTIC_FDIC" hidden="1">"c6477"</definedName>
    <definedName name="IQ_NONINTEREST_BEARING_DEPOSITS_FOREIGN_FDIC" hidden="1">"c6484"</definedName>
    <definedName name="IQ_NONINTEREST_EXPENSE_EARNING_ASSETS_FDIC" hidden="1">"c6728"</definedName>
    <definedName name="IQ_NONINTEREST_INCOME_EARNING_ASSETS_FDIC" hidden="1">"c6727"</definedName>
    <definedName name="IQ_NONMORTGAGE_SERVICING_FDIC" hidden="1">"c6336"</definedName>
    <definedName name="IQ_NONTRANSACTION_ACCOUNTS_FDIC" hidden="1">"c6552"</definedName>
    <definedName name="IQ_NORMAL_INC_AFTER" hidden="1">"c1605"</definedName>
    <definedName name="IQ_NORMAL_INC_AVAIL" hidden="1">"c1606"</definedName>
    <definedName name="IQ_NORMAL_INC_BEFORE" hidden="1">"c1607"</definedName>
    <definedName name="IQ_NOTES_PAY" hidden="1">"c1176"</definedName>
    <definedName name="IQ_NOTIONAL_AMOUNT_CREDIT_DERIVATIVES_FDIC" hidden="1">"c6507"</definedName>
    <definedName name="IQ_NOTIONAL_VALUE_EXCHANGE_SWAPS_FDIC" hidden="1">"c6516"</definedName>
    <definedName name="IQ_NOTIONAL_VALUE_OTHER_SWAPS_FDIC" hidden="1">"c6521"</definedName>
    <definedName name="IQ_NOTIONAL_VALUE_RATE_SWAPS_FDIC" hidden="1">"c6511"</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BER_DEPOSITS_LESS_THAN_100K_FDIC" hidden="1">"c6495"</definedName>
    <definedName name="IQ_NUMBER_DEPOSITS_MORE_THAN_100K_FDIC" hidden="1">"c6493"</definedName>
    <definedName name="IQ_OBLIGATIONS_OF_STATES_TOTAL_LOANS_FOREIGN_FDIC" hidden="1">"c6447"</definedName>
    <definedName name="IQ_OBLIGATIONS_STATES_FDIC" hidden="1">"c6431"</definedName>
    <definedName name="IQ_OCCUPY_EXP" hidden="1">"c839"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"c362"</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ISSUED" hidden="1">"c857"</definedName>
    <definedName name="IQ_OREO_1_4_RESIDENTIAL_FDIC" hidden="1">"c6454"</definedName>
    <definedName name="IQ_OREO_COMMERCIAL_RE_FDIC" hidden="1">"c6456"</definedName>
    <definedName name="IQ_OREO_CONSTRUCTION_DEVELOPMENT_FDIC" hidden="1">"c6457"</definedName>
    <definedName name="IQ_OREO_FARMLAND_FDIC" hidden="1">"c6458"</definedName>
    <definedName name="IQ_OREO_FOREIGN_FDIC" hidden="1">"c6460"</definedName>
    <definedName name="IQ_OREO_MULTI_FAMILY_RESIDENTIAL_FDIC" hidden="1">"c6455"</definedName>
    <definedName name="IQ_OTHER_ADJUST_GROSS_LOANS" hidden="1">"c859"</definedName>
    <definedName name="IQ_OTHER_AMORT_BR" hidden="1">"c5566"</definedName>
    <definedName name="IQ_OTHER_ASSETS" hidden="1">"c860"</definedName>
    <definedName name="IQ_OTHER_ASSETS_BNK" hidden="1">"c861"</definedName>
    <definedName name="IQ_OTHER_ASSETS_BR" hidden="1">"c862"</definedName>
    <definedName name="IQ_OTHER_ASSETS_FDIC" hidden="1">"c6338"</definedName>
    <definedName name="IQ_OTHER_ASSETS_FIN" hidden="1">"c863"</definedName>
    <definedName name="IQ_OTHER_ASSETS_INS" hidden="1">"c864"</definedName>
    <definedName name="IQ_OTHER_ASSETS_REIT" hidden="1">"c865"</definedName>
    <definedName name="IQ_OTHER_ASSETS_UTI" hidden="1">"c866"</definedName>
    <definedName name="IQ_OTHER_BEARING_LIAB" hidden="1">"c1608"</definedName>
    <definedName name="IQ_OTHER_BENEFITS_OBLIGATION" hidden="1">"c867"</definedName>
    <definedName name="IQ_OTHER_BORROWED_FUNDS_FDIC" hidden="1">"c6345"</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OMPREHENSIVE_INCOME_FDIC" hidden="1">"c6503"</definedName>
    <definedName name="IQ_OTHER_CURRENT_ASSETS" hidden="1">"c868"</definedName>
    <definedName name="IQ_OTHER_CURRENT_LIAB" hidden="1">"c877"</definedName>
    <definedName name="IQ_OTHER_DEP" hidden="1">"c885"</definedName>
    <definedName name="IQ_OTHER_DEPOSITORY_INSTITUTIONS_LOANS_FDIC" hidden="1">"c6436"</definedName>
    <definedName name="IQ_OTHER_DEPOSITORY_INSTITUTIONS_TOTAL_LOANS_FOREIGN_FDIC" hidden="1">"c6442"</definedName>
    <definedName name="IQ_OTHER_DOMESTIC_DEBT_SECURITIES_FDIC" hidden="1">"c6302"</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SURANCE_FEES_FDIC" hidden="1">"c6672"</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TANGIBLE_FDIC" hidden="1">"c6337"</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"c916"</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IABILITIES_FDIC" hidden="1">"c6347"</definedName>
    <definedName name="IQ_OTHER_LOANS" hidden="1">"c945"</definedName>
    <definedName name="IQ_OTHER_LOANS_CHARGE_OFFS_FDIC" hidden="1">"c6601"</definedName>
    <definedName name="IQ_OTHER_LOANS_FOREIGN_FDIC" hidden="1">"c6446"</definedName>
    <definedName name="IQ_OTHER_LOANS_LEASES_FDIC" hidden="1">"c6322"</definedName>
    <definedName name="IQ_OTHER_LOANS_NET_CHARGE_OFFS_FDIC" hidden="1">"c6639"</definedName>
    <definedName name="IQ_OTHER_LOANS_RECOVERIES_FDIC" hidden="1">"c6620"</definedName>
    <definedName name="IQ_OTHER_LOANS_TOTAL_FDIC" hidden="1">"c6432"</definedName>
    <definedName name="IQ_OTHER_LONG_TERM" hidden="1">"c946"</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"c959"</definedName>
    <definedName name="IQ_OTHER_NON_INT_EXP" hidden="1">"c953"</definedName>
    <definedName name="IQ_OTHER_NON_INT_EXP_FDIC" hidden="1">"c6578"</definedName>
    <definedName name="IQ_OTHER_NON_INT_EXP_TOTAL" hidden="1">"c954"</definedName>
    <definedName name="IQ_OTHER_NON_INT_EXPENSE_FDIC" hidden="1">"c6679"</definedName>
    <definedName name="IQ_OTHER_NON_INT_INC" hidden="1">"c955"</definedName>
    <definedName name="IQ_OTHER_NON_INT_INC_FDIC" hidden="1">"c6676"</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FF_BS_LIAB_FDIC" hidden="1">"c6533"</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PC_WRITTEN" hidden="1">"c1006"</definedName>
    <definedName name="IQ_OTHER_RE_OWNED_FDIC" hidden="1">"c6330"</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"c1010"</definedName>
    <definedName name="IQ_OTHER_SAVINGS_DEPOSITS_FDIC" hidden="1">"c6554"</definedName>
    <definedName name="IQ_OTHER_TRANSACTIONS_FDIC" hidden="1">"c6504"</definedName>
    <definedName name="IQ_OTHER_UNUSED_COMMITMENTS_FDIC" hidden="1">"c6530"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"c1022"</definedName>
    <definedName name="IQ_OUTSTANDING_FILING_DATE" hidden="1">"c1023"</definedName>
    <definedName name="IQ_OVER_FIFETEEN_YEAR_MORTGAGE_PASS_THROUGHS_FDIC" hidden="1">"c6416"</definedName>
    <definedName name="IQ_OVER_FIFTEEN_YEAR_FIXED_AND_FLOATING_RATE_FDIC" hidden="1">"c6424"</definedName>
    <definedName name="IQ_OVER_THREE_YEARS_FDIC" hidden="1">"c6418"</definedName>
    <definedName name="IQ_PART_TIME" hidden="1">"c1024"</definedName>
    <definedName name="IQ_PARTICIPATION_POOLS_RESIDENTIAL_MORTGAGES_FDIC" hidden="1">"c6403"</definedName>
    <definedName name="IQ_PAST_DUE_30_1_4_FAMILY_LOANS_FDIC" hidden="1">"c6693"</definedName>
    <definedName name="IQ_PAST_DUE_30_AUTO_LOANS_FDIC" hidden="1">"c6687"</definedName>
    <definedName name="IQ_PAST_DUE_30_CL_LOANS_FDIC" hidden="1">"c6688"</definedName>
    <definedName name="IQ_PAST_DUE_30_CREDIT_CARDS_RECEIVABLES_FDIC" hidden="1">"c6690"</definedName>
    <definedName name="IQ_PAST_DUE_30_HOME_EQUITY_LINES_FDIC" hidden="1">"c6691"</definedName>
    <definedName name="IQ_PAST_DUE_30_OTHER_CONSUMER_LOANS_FDIC" hidden="1">"c6689"</definedName>
    <definedName name="IQ_PAST_DUE_30_OTHER_LOANS_FDIC" hidden="1">"c6692"</definedName>
    <definedName name="IQ_PAST_DUE_90_1_4_FAMILY_LOANS_FDIC" hidden="1">"c6700"</definedName>
    <definedName name="IQ_PAST_DUE_90_AUTO_LOANS_FDIC" hidden="1">"c6694"</definedName>
    <definedName name="IQ_PAST_DUE_90_CL_LOANS_FDIC" hidden="1">"c6695"</definedName>
    <definedName name="IQ_PAST_DUE_90_CREDIT_CARDS_RECEIVABLES_FDIC" hidden="1">"c6697"</definedName>
    <definedName name="IQ_PAST_DUE_90_HOME_EQUITY_LINES_FDIC" hidden="1">"c6698"</definedName>
    <definedName name="IQ_PAST_DUE_90_OTHER_CONSUMER_LOANS_FDIC" hidden="1">"c6696"</definedName>
    <definedName name="IQ_PAST_DUE_90_OTHER_LOANS_FDIC" hidden="1">"c6699"</definedName>
    <definedName name="IQ_PAY_ACCRUED" hidden="1">"c8"</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RATIO" hidden="1">"c1610"</definedName>
    <definedName name="IQ_PENSION" hidden="1">"c1031"</definedName>
    <definedName name="IQ_PERCENT_INSURED_FDIC" hidden="1">"c6374"</definedName>
    <definedName name="IQ_PERIODDATE" hidden="1">"c1034"</definedName>
    <definedName name="IQ_PERIODDATE_BS" hidden="1">"c1032"</definedName>
    <definedName name="IQ_PERIODDATE_CF" hidden="1">"c1033"</definedName>
    <definedName name="IQ_PERIODDATE_FDIC" hidden="1">"c13646"</definedName>
    <definedName name="IQ_PERIODDATE_IS" hidden="1">"c1034"</definedName>
    <definedName name="IQ_PERIODLENGTH_CF" hidden="1">"c1502"</definedName>
    <definedName name="IQ_PERIODLENGTH_IS" hidden="1">"c1503"</definedName>
    <definedName name="IQ_PERTYPE" hidden="1">"c1611"</definedName>
    <definedName name="IQ_PLEDGED_SECURITIES_FDIC" hidden="1">"c6401"</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RE_OPEN_COST" hidden="1">"c1040"</definedName>
    <definedName name="IQ_PRE_TAX_INCOME_FDIC" hidden="1">"c6581"</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"c1052"</definedName>
    <definedName name="IQ_PREF_TOT" hidden="1">"c1044"</definedName>
    <definedName name="IQ_PREFERRED_FDIC" hidden="1">"c6349"</definedName>
    <definedName name="IQ_PREMISES_EQUIPMENT_FDIC" hidden="1">"c6577"</definedName>
    <definedName name="IQ_PREMIUMS_ANNUITY_REV" hidden="1">"c1067"</definedName>
    <definedName name="IQ_PREPAID_EXP" hidden="1">"c1068"</definedName>
    <definedName name="IQ_PREPAID_EXPEN" hidden="1">"c1068"</definedName>
    <definedName name="IQ_PRETAX_INC" hidden="1">"IQ_PRETAX_INC"</definedName>
    <definedName name="IQ_PRETAX_INC_10K" hidden="1">"IQ_PRETAX_INC_10K"</definedName>
    <definedName name="IQ_PRETAX_INC_10Q" hidden="1">"IQ_PRETAX_INC_10Q"</definedName>
    <definedName name="IQ_PRETAX_INC_10Q1" hidden="1">"IQ_PRETAX_INC_10Q1"</definedName>
    <definedName name="IQ_PRETAX_RETURN_ASSETS_FDIC" hidden="1">"c6731"</definedName>
    <definedName name="IQ_PRICE_OVER_BVPS" hidden="1">"c1026"</definedName>
    <definedName name="IQ_PRICE_OVER_EPS_EST" hidden="1">"IQ_PRICE_OVER_EPS_EST"</definedName>
    <definedName name="IQ_PRICE_OVER_EPS_EST_1" hidden="1">"IQ_PRICE_OVER_EPS_EST_1"</definedName>
    <definedName name="IQ_PRICE_OVER_LTM_EPS" hidden="1">"c1029"</definedName>
    <definedName name="IQ_PRICEDATE" hidden="1">"c1069"</definedName>
    <definedName name="IQ_PRICEDATETIME" hidden="1">"IQ_PRICEDATETIME"</definedName>
    <definedName name="IQ_PRICING_DATE" hidden="1">"c1613"</definedName>
    <definedName name="IQ_PRIMARY_INDUSTRY" hidden="1">"c1070"</definedName>
    <definedName name="IQ_PRIVATELY_ISSUED_MORTGAGE_BACKED_SECURITIES_FDIC" hidden="1">"c6407"</definedName>
    <definedName name="IQ_PRIVATELY_ISSUED_MORTGAGE_PASS_THROUGHS_FDIC" hidden="1">"c6405"</definedName>
    <definedName name="IQ_PRO_FORMA_BASIC_EPS" hidden="1">"c1614"</definedName>
    <definedName name="IQ_PRO_FORMA_DILUT_EPS" hidden="1">"c1615"</definedName>
    <definedName name="IQ_PRO_FORMA_NET_INC" hidden="1">"c795"</definedName>
    <definedName name="IQ_PROFESSIONAL" hidden="1">"c1071"</definedName>
    <definedName name="IQ_PROFESSIONAL_TITLE" hidden="1">"c1072"</definedName>
    <definedName name="IQ_PROPERTY_EXP" hidden="1">"c1073"</definedName>
    <definedName name="IQ_PROPERTY_GROSS" hidden="1">"c518"</definedName>
    <definedName name="IQ_PROPERTY_MGMT_FEE" hidden="1">"c1074"</definedName>
    <definedName name="IQ_PROPERTY_NET" hidden="1">"c829"</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RCHASE_FOREIGN_CURRENCIES_FDIC" hidden="1">"c6513"</definedName>
    <definedName name="IQ_PURCHASED_OPTION_CONTRACTS_FDIC" hidden="1">"c6510"</definedName>
    <definedName name="IQ_PURCHASED_OPTION_CONTRACTS_FX_RISK_FDIC" hidden="1">"c6515"</definedName>
    <definedName name="IQ_PURCHASED_OPTION_CONTRACTS_NON_FX_IR_FDIC" hidden="1">"c6520"</definedName>
    <definedName name="IQ_QTD" hidden="1">750000</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_FORECLOSURE_FDIC" hidden="1">"c6332"</definedName>
    <definedName name="IQ_RE_INVEST_FDIC" hidden="1">"c6331"</definedName>
    <definedName name="IQ_RE_LOANS_DOMESTIC_CHARGE_OFFS_FDIC" hidden="1">"c6589"</definedName>
    <definedName name="IQ_RE_LOANS_DOMESTIC_FDIC" hidden="1">"c6309"</definedName>
    <definedName name="IQ_RE_LOANS_DOMESTIC_NET_CHARGE_OFFS_FDIC" hidden="1">"c6627"</definedName>
    <definedName name="IQ_RE_LOANS_DOMESTIC_RECOVERIES_FDIC" hidden="1">"c6608"</definedName>
    <definedName name="IQ_RE_LOANS_FDIC" hidden="1">"c6308"</definedName>
    <definedName name="IQ_RE_LOANS_FOREIGN_CHARGE_OFFS_FDIC" hidden="1">"c6595"</definedName>
    <definedName name="IQ_RE_LOANS_FOREIGN_NET_CHARGE_OFFS_FDIC" hidden="1">"c6633"</definedName>
    <definedName name="IQ_RE_LOANS_FOREIGN_RECOVERIES_FDIC" hidden="1">"c6614"</definedName>
    <definedName name="IQ_REAL_ESTATE" hidden="1">"c1093"</definedName>
    <definedName name="IQ_REAL_ESTATE_ASSETS" hidden="1">"c1094"</definedName>
    <definedName name="IQ_RECOVERIES_1_4_FAMILY_LOANS_FDIC" hidden="1">"c6707"</definedName>
    <definedName name="IQ_RECOVERIES_AUTO_LOANS_FDIC" hidden="1">"c6701"</definedName>
    <definedName name="IQ_RECOVERIES_CL_LOANS_FDIC" hidden="1">"c6702"</definedName>
    <definedName name="IQ_RECOVERIES_CREDIT_CARDS_RECEIVABLES_FDIC" hidden="1">"c6704"</definedName>
    <definedName name="IQ_RECOVERIES_HOME_EQUITY_LINES_FDIC" hidden="1">"c6705"</definedName>
    <definedName name="IQ_RECOVERIES_OTHER_CONSUMER_LOANS_FDIC" hidden="1">"c6703"</definedName>
    <definedName name="IQ_RECOVERIES_OTHER_LOANS_FDIC" hidden="1">"c6706"</definedName>
    <definedName name="IQ_REDEEM_PREF_STOCK" hidden="1">"c1059"</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LATED_PLANS_FDIC" hidden="1">"c6320"</definedName>
    <definedName name="IQ_RENTAL_REV" hidden="1">"c1101"</definedName>
    <definedName name="IQ_RESEARCH_DEV" hidden="1">"c1090"</definedName>
    <definedName name="IQ_RESIDENTIAL_LOANS" hidden="1">"c1102"</definedName>
    <definedName name="IQ_RESTATEMENT_BS" hidden="1">"c1643"</definedName>
    <definedName name="IQ_RESTATEMENT_CF" hidden="1">"c1644"</definedName>
    <definedName name="IQ_RESTATEMENT_IS" hidden="1">"c1642"</definedName>
    <definedName name="IQ_RESTATEMENTS_NET_FDIC" hidden="1">"c6500"</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STRUCTURED_LOANS_1_4_RESIDENTIAL_FDIC" hidden="1">"c6378"</definedName>
    <definedName name="IQ_RESTRUCTURED_LOANS_LEASES_FDIC" hidden="1">"c6377"</definedName>
    <definedName name="IQ_RESTRUCTURED_LOANS_NON_1_4_FDIC" hidden="1">"c6379"</definedName>
    <definedName name="IQ_RETAIL_DEPOSITS_FDIC" hidden="1">"c6488"</definedName>
    <definedName name="IQ_RETAINED_EARN" hidden="1">"c1092"</definedName>
    <definedName name="IQ_RETAINED_EARNINGS_AVERAGE_EQUITY_FDIC" hidden="1">"c6733"</definedName>
    <definedName name="IQ_RETURN_ASSETS" hidden="1">"c1113"</definedName>
    <definedName name="IQ_RETURN_ASSETS_BANK" hidden="1">"c1114"</definedName>
    <definedName name="IQ_RETURN_ASSETS_BROK" hidden="1">"c1115"</definedName>
    <definedName name="IQ_RETURN_ASSETS_FDIC" hidden="1">"c6730"</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DIC" hidden="1">"c6732"</definedName>
    <definedName name="IQ_RETURN_EQUITY_FS" hidden="1">"c1121"</definedName>
    <definedName name="IQ_RETURN_INVESTMENT" hidden="1">"c1117"</definedName>
    <definedName name="IQ_REV" hidden="1">"c1122"</definedName>
    <definedName name="IQ_REV_BEFORE_LL" hidden="1">"c1123"</definedName>
    <definedName name="IQ_REV_STDDEV_EST" hidden="1">"c264"</definedName>
    <definedName name="IQ_REV_UTI" hidden="1">"c1125"</definedName>
    <definedName name="IQ_REVALUATION_GAINS_FDIC" hidden="1">"c6428"</definedName>
    <definedName name="IQ_REVALUATION_LOSSES_FDIC" hidden="1">"c6429"</definedName>
    <definedName name="IQ_REVENUE" hidden="1">"c1122"</definedName>
    <definedName name="IQ_REVENUE_10K" hidden="1">"IQ_REVENUE_10K"</definedName>
    <definedName name="IQ_REVENUE_10Q" hidden="1">"IQ_REVENUE_10Q"</definedName>
    <definedName name="IQ_REVENUE_10Q1" hidden="1">"IQ_REVENUE_10Q1"</definedName>
    <definedName name="IQ_REVENUE_EST" hidden="1">"c188"</definedName>
    <definedName name="IQ_REVENUE_EST_1" hidden="1">"IQ_REVENUE_EST_1"</definedName>
    <definedName name="IQ_REVENUE_GROWTH_1" hidden="1">"IQ_REVENUE_GROWTH_1"</definedName>
    <definedName name="IQ_REVENUE_GROWTH_2" hidden="1">"IQ_REVENUE_GROWTH_2"</definedName>
    <definedName name="IQ_REVENUE_HIGH_EST" hidden="1">"c261"</definedName>
    <definedName name="IQ_REVENUE_LOW_EST" hidden="1">"c262"</definedName>
    <definedName name="IQ_REVENUE_NUM_EST" hidden="1">"c263"</definedName>
    <definedName name="IQ_REVOLVING_SECURED_1_–4_NON_ACCRUAL_FFIEC" hidden="1">"c13314"</definedName>
    <definedName name="IQ_RISK_WEIGHTED_ASSETS_FDIC" hidden="1">"c6370"</definedName>
    <definedName name="IQ_SALARY" hidden="1">"c1130"</definedName>
    <definedName name="IQ_SALARY_FDIC" hidden="1">"c6576"</definedName>
    <definedName name="IQ_SALE_CONVERSION_RETIREMENT_STOCK_FDIC" hidden="1">"c6661"</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ME_STORE" hidden="1">"c1149"</definedName>
    <definedName name="IQ_SAVING_DEP" hidden="1">"c1150"</definedName>
    <definedName name="IQ_SECUR_RECEIV" hidden="1">"c1151"</definedName>
    <definedName name="IQ_SECURED_1_4_FAMILY_RESIDENTIAL_CHARGE_OFFS_FDIC" hidden="1">"c6590"</definedName>
    <definedName name="IQ_SECURED_1_4_FAMILY_RESIDENTIAL_NET_CHARGE_OFFS_FDIC" hidden="1">"c6628"</definedName>
    <definedName name="IQ_SECURED_1_4_FAMILY_RESIDENTIAL_RECOVERIES_FDIC" hidden="1">"c6609"</definedName>
    <definedName name="IQ_SECURED_FARMLAND_CHARGE_OFFS_FDIC" hidden="1">"c6593"</definedName>
    <definedName name="IQ_SECURED_FARMLAND_NET_CHARGE_OFFS_FDIC" hidden="1">"c6631"</definedName>
    <definedName name="IQ_SECURED_FARMLAND_RECOVERIES_FDIC" hidden="1">"c6612"</definedName>
    <definedName name="IQ_SECURED_MULTIFAMILY_RESIDENTIAL_CHARGE_OFFS_FDIC" hidden="1">"c6591"</definedName>
    <definedName name="IQ_SECURED_MULTIFAMILY_RESIDENTIAL_NET_CHARGE_OFFS_FDIC" hidden="1">"c6629"</definedName>
    <definedName name="IQ_SECURED_MULTIFAMILY_RESIDENTIAL_RECOVERIES_FDIC" hidden="1">"c6610"</definedName>
    <definedName name="IQ_SECURED_NONFARM_NONRESIDENTIAL_CHARGE_OFFS_FDIC" hidden="1">"c6592"</definedName>
    <definedName name="IQ_SECURED_NONFARM_NONRESIDENTIAL_NET_CHARGE_OFFS_FDIC" hidden="1">"c6630"</definedName>
    <definedName name="IQ_SECURED_NONFARM_NONRESIDENTIAL_RECOVERIES_FDIC" hidden="1">"c6611"</definedName>
    <definedName name="IQ_SECURITIES_GAINS_FDIC" hidden="1">"c6584"</definedName>
    <definedName name="IQ_SECURITIES_ISSUED_STATES_FDIC" hidden="1">"c6300"</definedName>
    <definedName name="IQ_SECURITIES_LENT_FDIC" hidden="1">"c6532"</definedName>
    <definedName name="IQ_SECURITIES_UNDERWRITING_FDIC" hidden="1">"c6529"</definedName>
    <definedName name="IQ_SECURITY_BORROW" hidden="1">"c1152"</definedName>
    <definedName name="IQ_SECURITY_OWN" hidden="1">"c1153"</definedName>
    <definedName name="IQ_SECURITY_RESELL" hidden="1">"c1154"</definedName>
    <definedName name="IQ_SEPARATE_ACCT_ASSETS" hidden="1">"c1155"</definedName>
    <definedName name="IQ_SEPARATE_ACCT_LIAB" hidden="1">"c1156"</definedName>
    <definedName name="IQ_SERV_CHARGE_DEPOSITS" hidden="1">"c1157"</definedName>
    <definedName name="IQ_SERVICE_CHARGES_FDIC" hidden="1">"c6572"</definedName>
    <definedName name="IQ_SGA" hidden="1">"c1158"</definedName>
    <definedName name="IQ_SGA_BNK" hidden="1">"c1159"</definedName>
    <definedName name="IQ_SGA_INS" hidden="1">"c1160"</definedName>
    <definedName name="IQ_SGA_REIT" hidden="1">"c1161"</definedName>
    <definedName name="IQ_SGA_SUPPL" hidden="1">"c1162"</definedName>
    <definedName name="IQ_SGA_UTI" hidden="1">"c1163"</definedName>
    <definedName name="IQ_SHAREOUTSTANDING" hidden="1">"c83"</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"c1197"</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ES_NONTRANSACTION_ACCOUNTS_FDIC" hidden="1">"c6547"</definedName>
    <definedName name="IQ_STATES_TOTAL_DEPOSITS_FDIC" hidden="1">"c6473"</definedName>
    <definedName name="IQ_STATES_TRANSACTION_ACCOUNTS_FDIC" hidden="1">"c6539"</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UB_DEBT_FDIC" hidden="1">"c6346"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URPLUS_FDIC" hidden="1">"c6351"</definedName>
    <definedName name="IQ_SVA" hidden="1">"c1214"</definedName>
    <definedName name="IQ_TAX_BENEFIT_OPTIONS" hidden="1">"c1215"</definedName>
    <definedName name="IQ_TAX_EQUIV_NET_INT_INC" hidden="1">"c1216"</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BITDA_FWD" hidden="1">"c1224"</definedName>
    <definedName name="IQ_TEV_EMPLOYEE_AVG" hidden="1">"c1225"</definedName>
    <definedName name="IQ_TEV_TOTAL_REV" hidden="1">"c1226"</definedName>
    <definedName name="IQ_TEV_TOTAL_REV_AVG" hidden="1">"c1227"</definedName>
    <definedName name="IQ_TEV_TOTAL_REV_FWD" hidden="1">"c1228"</definedName>
    <definedName name="IQ_THREE_MONTHS_FIXED_AND_FLOATING_FDIC" hidden="1">"c6419"</definedName>
    <definedName name="IQ_THREE_MONTHS_MORTGAGE_PASS_THROUGHS_FDIC" hidden="1">"c6411"</definedName>
    <definedName name="IQ_THREE_YEAR_FIXED_AND_FLOATING_RATE_FDIC" hidden="1">"c6421"</definedName>
    <definedName name="IQ_THREE_YEAR_MORTGAGE_PASS_THROUGHS_FDIC" hidden="1">"c6413"</definedName>
    <definedName name="IQ_THREE_YEARS_LESS_FDIC" hidden="1">"c6417"</definedName>
    <definedName name="IQ_TIER_1_RISK_BASED_CAPITAL_RATIO_FDIC" hidden="1">"c6746"</definedName>
    <definedName name="IQ_TIER_ONE_FDIC" hidden="1">"c6369"</definedName>
    <definedName name="IQ_TIER_ONE_RATIO" hidden="1">"c1229"</definedName>
    <definedName name="IQ_TIME_DEP" hidden="1">"c1230"</definedName>
    <definedName name="IQ_TIME_DEPOSITS_LESS_THAN_100K_FDIC" hidden="1">"c6465"</definedName>
    <definedName name="IQ_TIME_DEPOSITS_MORE_THAN_100K_FDIC" hidden="1">"c6470"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SSETS_FDIC" hidden="1">"c6339"</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"c1266"</definedName>
    <definedName name="IQ_TOTAL_CASH_FINAN" hidden="1">"c119"</definedName>
    <definedName name="IQ_TOTAL_CASH_INVEST" hidden="1">"c121"</definedName>
    <definedName name="IQ_TOTAL_CASH_OPER" hidden="1">"c122"</definedName>
    <definedName name="IQ_TOTAL_CHARGE_OFFS_FDIC" hidden="1">"c6603"</definedName>
    <definedName name="IQ_TOTAL_CL" hidden="1">"c1245"</definedName>
    <definedName name="IQ_TOTAL_COMMON" hidden="1">"c1022"</definedName>
    <definedName name="IQ_TOTAL_COMMON_EQUITY" hidden="1">"c1246"</definedName>
    <definedName name="IQ_TOTAL_CURRENT_ASSETS" hidden="1">"c1243"</definedName>
    <definedName name="IQ_TOTAL_CURRENT_LIAB" hidden="1">"c1245"</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"c1249"</definedName>
    <definedName name="IQ_TOTAL_DEBT_OVER_TOTAL_BV" hidden="1">"c1250"</definedName>
    <definedName name="IQ_TOTAL_DEBT_OVER_TOTAL_CAP" hidden="1">"c1248"</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BT_SECURITIES_FDIC" hidden="1">"c6410"</definedName>
    <definedName name="IQ_TOTAL_DEPOSITS" hidden="1">"c1265"</definedName>
    <definedName name="IQ_TOTAL_DEPOSITS_FDIC" hidden="1">"c6342"</definedName>
    <definedName name="IQ_TOTAL_DIV_PAID_CF" hidden="1">"c1266"</definedName>
    <definedName name="IQ_TOTAL_EMPLOYEE" hidden="1">"c1522"</definedName>
    <definedName name="IQ_TOTAL_EMPLOYEES_FDIC" hidden="1">"c6355"</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"c591"</definedName>
    <definedName name="IQ_TOTAL_INVENTORY" hidden="1">"c622"</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EQUITY_FDIC" hidden="1">"c6354"</definedName>
    <definedName name="IQ_TOTAL_LIAB_FIN" hidden="1">"c1280"</definedName>
    <definedName name="IQ_TOTAL_LIAB_INS" hidden="1">"c1281"</definedName>
    <definedName name="IQ_TOTAL_LIAB_REIT" hidden="1">"c1282"</definedName>
    <definedName name="IQ_TOTAL_LIAB_SHAREHOLD" hidden="1">"c1279"</definedName>
    <definedName name="IQ_TOTAL_LIAB_TOTAL_ASSETS" hidden="1">"c1283"</definedName>
    <definedName name="IQ_TOTAL_LIABILITIES_FDIC" hidden="1">"c6348"</definedName>
    <definedName name="IQ_TOTAL_LONG_DEBT" hidden="1">"c1617"</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PENSION_ASSETS" hidden="1">"c1290"</definedName>
    <definedName name="IQ_TOTAL_PENSION_EXP" hidden="1">"c1291"</definedName>
    <definedName name="IQ_TOTAL_PENSION_OBLIGATION" hidden="1">"c1292"</definedName>
    <definedName name="IQ_TOTAL_RECEIV" hidden="1">"c1293"</definedName>
    <definedName name="IQ_TOTAL_RECOVERIES_FDIC" hidden="1">"c6622"</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NK_FDIC" hidden="1">"c6786"</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UTI" hidden="1">"c1308"</definedName>
    <definedName name="IQ_TOTAL_REVENUE" hidden="1">"c1294"</definedName>
    <definedName name="IQ_TOTAL_RISK_BASED_CAPITAL_RATIO_FDIC" hidden="1">"c6747"</definedName>
    <definedName name="IQ_TOTAL_SECURITIES_FDIC" hidden="1">"c6306"</definedName>
    <definedName name="IQ_TOTAL_SPECIAL" hidden="1">"c1618"</definedName>
    <definedName name="IQ_TOTAL_ST_BORROW" hidden="1">"c1177"</definedName>
    <definedName name="IQ_TOTAL_TIME_DEPOSITS_FDIC" hidden="1">"c6497"</definedName>
    <definedName name="IQ_TOTAL_TIME_SAVINGS_DEPOSITS_FDIC" hidden="1">"c6498"</definedName>
    <definedName name="IQ_TOTAL_UNUSED_COMMITMENTS_FDIC" hidden="1">"c6536"</definedName>
    <definedName name="IQ_TOTAL_UNUSUAL" hidden="1">"c1508"</definedName>
    <definedName name="IQ_TOTAL_UNUSUAL_BR" hidden="1">"c5517"</definedName>
    <definedName name="IQ_TRADE_AR" hidden="1">"c40"</definedName>
    <definedName name="IQ_TRADE_PRINCIPAL" hidden="1">"c1309"</definedName>
    <definedName name="IQ_TRADING_ACCOUNT_GAINS_FEES_FDIC" hidden="1">"c6573"</definedName>
    <definedName name="IQ_TRADING_ASSETS" hidden="1">"c1310"</definedName>
    <definedName name="IQ_TRADING_ASSETS_FDIC" hidden="1">"c6328"</definedName>
    <definedName name="IQ_TRADING_LIABILITIES_FDIC" hidden="1">"c6344"</definedName>
    <definedName name="IQ_TRANSACTION_ACCOUNTS_FDIC" hidden="1">"c6544"</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"c1311"</definedName>
    <definedName name="IQ_TREASURY_STOCK_TRANSACTIONS_FDIC" hidden="1">"c6501"</definedName>
    <definedName name="IQ_TRUST_INC" hidden="1">"c1319"</definedName>
    <definedName name="IQ_TRUST_PREF" hidden="1">"c1320"</definedName>
    <definedName name="IQ_TWELVE_MONTHS_FIXED_AND_FLOATING_FDIC" hidden="1">"c6420"</definedName>
    <definedName name="IQ_TWELVE_MONTHS_MORTGAGE_PASS_THROUGHS_FDIC" hidden="1">"c6412"</definedName>
    <definedName name="IQ_UNDIVIDED_PROFITS_FDIC" hidden="1">"c6352"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EARNED_INCOME_FDIC" hidden="1">"c6324"</definedName>
    <definedName name="IQ_UNEARNED_INCOME_FOREIGN_FDIC" hidden="1">"c6385"</definedName>
    <definedName name="IQ_UNPAID_CLAIMS" hidden="1">"c1330"</definedName>
    <definedName name="IQ_UNPROFITABLE_INSTITUTIONS_FDIC" hidden="1">"c6722"</definedName>
    <definedName name="IQ_UNREALIZED_GAIN" hidden="1">"c1619"</definedName>
    <definedName name="IQ_UNUSED_LOAN_COMMITMENTS_FDIC" hidden="1">"c6368"</definedName>
    <definedName name="IQ_UNUSUAL_EXP" hidden="1">"c18"</definedName>
    <definedName name="IQ_US_BRANCHES_FOREIGN_BANK_LOANS_FDIC" hidden="1">"c6435"</definedName>
    <definedName name="IQ_US_BRANCHES_FOREIGN_BANKS_FDIC" hidden="1">"c6390"</definedName>
    <definedName name="IQ_US_GAAP" hidden="1">"c1331"</definedName>
    <definedName name="IQ_US_GOV_AGENCIES_FDIC" hidden="1">"c6395"</definedName>
    <definedName name="IQ_US_GOV_DEPOSITS_FDIC" hidden="1">"c6483"</definedName>
    <definedName name="IQ_US_GOV_ENTERPRISES_FDIC" hidden="1">"c6396"</definedName>
    <definedName name="IQ_US_GOV_NONCURRENT_LOANS_TOTAL_NONCURRENT_FDIC" hidden="1">"c6779"</definedName>
    <definedName name="IQ_US_GOV_NONTRANSACTION_ACCOUNTS_FDIC" hidden="1">"c6546"</definedName>
    <definedName name="IQ_US_GOV_OBLIGATIONS_FDIC" hidden="1">"c6299"</definedName>
    <definedName name="IQ_US_GOV_SECURITIES_FDIC" hidden="1">"c6297"</definedName>
    <definedName name="IQ_US_GOV_TOTAL_DEPOSITS_FDIC" hidden="1">"c6472"</definedName>
    <definedName name="IQ_US_GOV_TRANSACTION_ACCOUNTS_FDIC" hidden="1">"c6538"</definedName>
    <definedName name="IQ_US_TREASURY_SECURITIES_FDIC" hidden="1">"c6298"</definedName>
    <definedName name="IQ_UTIL_PPE_NET" hidden="1">"c1620"</definedName>
    <definedName name="IQ_UV_PENSION_LIAB" hidden="1">"c1332"</definedName>
    <definedName name="IQ_VALUATION_ALLOWANCES_FDIC" hidden="1">"c6400"</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C_REVENUE_FDIC" hidden="1">"c6667"</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ATILE_LIABILITIES_FDIC" hidden="1">"c6364"</definedName>
    <definedName name="IQ_VOLUME" hidden="1">"c1333"</definedName>
    <definedName name="IQ_WEEK" hidden="1">50000</definedName>
    <definedName name="IQ_WEIGHTED_AVG_PRICE" hidden="1">"c1334"</definedName>
    <definedName name="IQ_WIP_INV" hidden="1">"c1335"</definedName>
    <definedName name="IQ_WORKMEN_WRITTEN" hidden="1">"c1336"</definedName>
    <definedName name="IQ_WRITTEN_OPTION_CONTRACTS_FDIC" hidden="1">"c6509"</definedName>
    <definedName name="IQ_WRITTEN_OPTION_CONTRACTS_FX_RISK_FDIC" hidden="1">"c6514"</definedName>
    <definedName name="IQ_WRITTEN_OPTION_CONTRACTS_NON_FX_IR_FDIC" hidden="1">"c6519"</definedName>
    <definedName name="IQ_YEARHIGH" hidden="1">"c1337"</definedName>
    <definedName name="IQ_YEARLOW" hidden="1">"c1338"</definedName>
    <definedName name="IQ_YTD" hidden="1">3000</definedName>
    <definedName name="IQ_YTDMONTH" hidden="1">130000</definedName>
    <definedName name="IQ_Z_SCORE" hidden="1">"c1339"</definedName>
    <definedName name="j" localSheetId="4" hidden="1">{"EVA",#N/A,FALSE,"EVA";"WACC",#N/A,FALSE,"WACC"}</definedName>
    <definedName name="j" hidden="1">{"EVA",#N/A,FALSE,"EVA";"WACC",#N/A,FALSE,"WACC"}</definedName>
    <definedName name="Jour1" localSheetId="4">#REF!</definedName>
    <definedName name="Jour1">#REF!</definedName>
    <definedName name="Jour2" localSheetId="4">#REF!</definedName>
    <definedName name="Jour2">#REF!</definedName>
    <definedName name="k" localSheetId="4" hidden="1">{"DCF","UPSIDE CASE",FALSE,"Sheet1";"DCF","BASE CASE",FALSE,"Sheet1";"DCF","DOWNSIDE CASE",FALSE,"Sheet1"}</definedName>
    <definedName name="k" hidden="1">{"DCF","UPSIDE CASE",FALSE,"Sheet1";"DCF","BASE CASE",FALSE,"Sheet1";"DCF","DOWNSIDE CASE",FALSE,"Sheet1"}</definedName>
    <definedName name="KeyAssump" localSheetId="4" hidden="1">{#N/A,#N/A,FALSE,"Input";#N/A,#N/A,FALSE,"Assumptions";#N/A,#N/A,FALSE,"Valuation";#N/A,#N/A,FALSE,"Financial Alternatives";#N/A,#N/A,FALSE,"Cash Flow"}</definedName>
    <definedName name="KeyAssump" hidden="1">{#N/A,#N/A,FALSE,"Input";#N/A,#N/A,FALSE,"Assumptions";#N/A,#N/A,FALSE,"Valuation";#N/A,#N/A,FALSE,"Financial Alternatives";#N/A,#N/A,FALSE,"Cash Flow"}</definedName>
    <definedName name="ltc" localSheetId="4">#REF!</definedName>
    <definedName name="ltc">#REF!</definedName>
    <definedName name="M_PlaceofPath" hidden="1">"F:\MREGAN\win\EXL\CO\HVAC\WLV\WLV_vdf.xls"</definedName>
    <definedName name="me" localSheetId="4" hidden="1">{#N/A,#N/A,FALSE,"Input";#N/A,#N/A,FALSE,"Assumptions";#N/A,#N/A,FALSE,"Valuation";#N/A,#N/A,FALSE,"Financial Alternatives";#N/A,#N/A,FALSE,"Cash Flow"}</definedName>
    <definedName name="me" hidden="1">{#N/A,#N/A,FALSE,"Input";#N/A,#N/A,FALSE,"Assumptions";#N/A,#N/A,FALSE,"Valuation";#N/A,#N/A,FALSE,"Financial Alternatives";#N/A,#N/A,FALSE,"Cash Flow"}</definedName>
    <definedName name="MoisD" localSheetId="4">#REF!</definedName>
    <definedName name="MoisD">#REF!</definedName>
    <definedName name="MtEch" localSheetId="4">#REF!</definedName>
    <definedName name="MtEch">[2]TAM!$I$6</definedName>
    <definedName name="MtEmprunt" localSheetId="4">#REF!</definedName>
    <definedName name="MtEmprunt">[2]TAM!$D$5</definedName>
    <definedName name="NbDeci" localSheetId="4">#REF!</definedName>
    <definedName name="NbDeci">2</definedName>
    <definedName name="NbEch" localSheetId="4">#REF!</definedName>
    <definedName name="NbEch">[2]TAM!$I$11</definedName>
    <definedName name="NbEchAn" localSheetId="4">#REF!</definedName>
    <definedName name="NbEchAn">[2]TAM!$I$10</definedName>
    <definedName name="nhjythh" localSheetId="4" hidden="1">{"DCF","UPSIDE CASE",FALSE,"Sheet1";"DCF","BASE CASE",FALSE,"Sheet1";"DCF","DOWNSIDE CASE",FALSE,"Sheet1"}</definedName>
    <definedName name="nhjythh" hidden="1">{"DCF","UPSIDE CASE",FALSE,"Sheet1";"DCF","BASE CASE",FALSE,"Sheet1";"DCF","DOWNSIDE CASE",FALSE,"Sheet1"}</definedName>
    <definedName name="NoEchMaxi" localSheetId="4">#REF!</definedName>
    <definedName name="NoEchMaxi">#REF!</definedName>
    <definedName name="NoEchRemb" localSheetId="4">#REF!</definedName>
    <definedName name="NoEchRemb">#REF!</definedName>
    <definedName name="noi" localSheetId="4">#REF!</definedName>
    <definedName name="noi">#REF!</definedName>
    <definedName name="Nombre_échéances" localSheetId="4">#REF!</definedName>
    <definedName name="Nombre_échéances">#REF!</definedName>
    <definedName name="nounours" localSheetId="4">#REF!</definedName>
    <definedName name="nounours">#REF!</definedName>
    <definedName name="nSkip">15</definedName>
    <definedName name="per" localSheetId="4">#REF!</definedName>
    <definedName name="per">#REF!</definedName>
    <definedName name="periode" localSheetId="4">#REF!</definedName>
    <definedName name="periode">#REF!</definedName>
    <definedName name="Periodicite" localSheetId="4">#REF!</definedName>
    <definedName name="Periodicite">#REF!</definedName>
    <definedName name="ratio" localSheetId="4">#REF!</definedName>
    <definedName name="ratio">#REF!</definedName>
    <definedName name="ratio1" localSheetId="4">#REF!</definedName>
    <definedName name="ratio1">#REF!</definedName>
    <definedName name="ratio2" localSheetId="4">#REF!</definedName>
    <definedName name="ratio2">#REF!</definedName>
    <definedName name="RVDebit" localSheetId="4">#REF!</definedName>
    <definedName name="RVDebit">#REF!</definedName>
    <definedName name="sadd" localSheetId="4" hidden="1">{"DCF","UPSIDE CASE",FALSE,"Sheet1";"DCF","BASE CASE",FALSE,"Sheet1";"DCF","DOWNSIDE CASE",FALSE,"Sheet1"}</definedName>
    <definedName name="sadd" hidden="1">{"DCF","UPSIDE CASE",FALSE,"Sheet1";"DCF","BASE CASE",FALSE,"Sheet1";"DCF","DOWNSIDE CASE",FALSE,"Sheet1"}</definedName>
    <definedName name="SAPBEXrevision" hidden="1">2</definedName>
    <definedName name="SAPBEXsysID" hidden="1">"EFW"</definedName>
    <definedName name="SAPBEXwbID" hidden="1">"3RR8IAJVHLH9NP8M0N2ZFKJDS"</definedName>
    <definedName name="sdasd" localSheetId="4" hidden="1">{"EVA",#N/A,FALSE,"EVA";"WACC",#N/A,FALSE,"WACC"}</definedName>
    <definedName name="sdasd" hidden="1">{"EVA",#N/A,FALSE,"EVA";"WACC",#N/A,FALSE,"WACC"}</definedName>
    <definedName name="segfsdvgfsd" localSheetId="4" hidden="1">{"page1",#N/A,FALSE,"BHCOMPC5";"page2",#N/A,FALSE,"BHCOMPC5";"page3",#N/A,FALSE,"BHCOMPC5";"page4",#N/A,FALSE,"BHCOMPC5"}</definedName>
    <definedName name="segfsdvgfsd" hidden="1">{"page1",#N/A,FALSE,"BHCOMPC5";"page2",#N/A,FALSE,"BHCOMPC5";"page3",#N/A,FALSE,"BHCOMPC5";"page4",#N/A,FALSE,"BHCOMPC5"}</definedName>
    <definedName name="sfads" localSheetId="4" hidden="1">{"EVA",#N/A,FALSE,"EVA";"WACC",#N/A,FALSE,"WACC"}</definedName>
    <definedName name="sfads" hidden="1">{"EVA",#N/A,FALSE,"EVA";"WACC",#N/A,FALSE,"WACC"}</definedName>
    <definedName name="sgag" localSheetId="4" hidden="1">{"page1",#N/A,FALSE,"BHCOMPC5";"page2",#N/A,FALSE,"BHCOMPC5";"page3",#N/A,FALSE,"BHCOMPC5";"page4",#N/A,FALSE,"BHCOMPC5"}</definedName>
    <definedName name="sgag" hidden="1">{"page1",#N/A,FALSE,"BHCOMPC5";"page2",#N/A,FALSE,"BHCOMPC5";"page3",#N/A,FALSE,"BHCOMPC5";"page4",#N/A,FALSE,"BHCOMPC5"}</definedName>
    <definedName name="ss" localSheetId="4" hidden="1">{"DCF1",#N/A,FALSE,"SIERRA DCF";"MATRIX1",#N/A,FALSE,"SIERRA DCF"}</definedName>
    <definedName name="ss" hidden="1">{"DCF1",#N/A,FALSE,"SIERRA DCF";"MATRIX1",#N/A,FALSE,"SIERRA DCF"}</definedName>
    <definedName name="start" localSheetId="4">#REF!</definedName>
    <definedName name="start">#REF!</definedName>
    <definedName name="surface" localSheetId="4">#REF!</definedName>
    <definedName name="surface">#REF!</definedName>
    <definedName name="TauxActuariel" localSheetId="4">#REF!</definedName>
    <definedName name="TauxActuariel">#REF!</definedName>
    <definedName name="terrain" localSheetId="4">#REF!</definedName>
    <definedName name="terrain">#REF!</definedName>
    <definedName name="Total_Capital" localSheetId="4">#REF!</definedName>
    <definedName name="Total_Capital">#REF!</definedName>
    <definedName name="Total_Frais" localSheetId="4">#REF!</definedName>
    <definedName name="Total_Frais">#REF!</definedName>
    <definedName name="Total_Intérêts" localSheetId="4">#REF!</definedName>
    <definedName name="Total_Intérêts">#REF!</definedName>
    <definedName name="travaux" localSheetId="4">#REF!</definedName>
    <definedName name="travaux">#REF!</definedName>
    <definedName name="tri" localSheetId="4">#REF!</definedName>
    <definedName name="tri">#REF!</definedName>
    <definedName name="TRI_trim" localSheetId="4">#REF!</definedName>
    <definedName name="TRI_trim">#REF!</definedName>
    <definedName name="TVDebit" localSheetId="4">#REF!</definedName>
    <definedName name="TVDebit">#REF!</definedName>
    <definedName name="tx" localSheetId="4">#REF!</definedName>
    <definedName name="tx">#REF!</definedName>
    <definedName name="tx_cap" localSheetId="4">#REF!</definedName>
    <definedName name="tx_cap">#REF!</definedName>
    <definedName name="tx_int" localSheetId="4">#REF!</definedName>
    <definedName name="tx_int">#REF!</definedName>
    <definedName name="TxPer" localSheetId="4">#REF!</definedName>
    <definedName name="TxPer">[2]TAM!$I$8</definedName>
    <definedName name="type_int" localSheetId="4">#REF!</definedName>
    <definedName name="type_int">#REF!</definedName>
    <definedName name="vacant" localSheetId="4">#REF!</definedName>
    <definedName name="vacant">#REF!</definedName>
    <definedName name="valeur" localSheetId="4">#REF!</definedName>
    <definedName name="valeur">#REF!</definedName>
    <definedName name="value1" localSheetId="4" hidden="1">{#N/A,#N/A,FALSE,"Cashflow Analysis";#N/A,#N/A,FALSE,"Sensitivity Analysis";#N/A,#N/A,FALSE,"PV";#N/A,#N/A,FALSE,"Pro Forma"}</definedName>
    <definedName name="value1" hidden="1">{#N/A,#N/A,FALSE,"Cashflow Analysis";#N/A,#N/A,FALSE,"Sensitivity Analysis";#N/A,#N/A,FALSE,"PV";#N/A,#N/A,FALSE,"Pro Forma"}</definedName>
    <definedName name="vente" localSheetId="4">#REF!</definedName>
    <definedName name="vente">#REF!</definedName>
    <definedName name="w" localSheetId="4" hidden="1">{"DCF1",#N/A,FALSE,"SIERRA DCF";"MATRIX1",#N/A,FALSE,"SIERRA DCF"}</definedName>
    <definedName name="w" hidden="1">{"DCF1",#N/A,FALSE,"SIERRA DCF";"MATRIX1",#N/A,FALSE,"SIERRA DCF"}</definedName>
    <definedName name="WACC3" localSheetId="4" hidden="1">{"adj95mult",#N/A,FALSE,"COMPCO";"adj95est",#N/A,FALSE,"COMPCO"}</definedName>
    <definedName name="WACC3" hidden="1">{"adj95mult",#N/A,FALSE,"COMPCO";"adj95est",#N/A,FALSE,"COMPCO"}</definedName>
    <definedName name="wrn.Acquisition_matrix." localSheetId="4" hidden="1">{"Acq_matrix",#N/A,FALSE,"Acquisition Matrix"}</definedName>
    <definedName name="wrn.Acquisition_matrix." hidden="1">{"Acq_matrix",#N/A,FALSE,"Acquisition Matrix"}</definedName>
    <definedName name="wrn.adj95." localSheetId="4" hidden="1">{"adj95mult",#N/A,FALSE,"COMPCO";"adj95est",#N/A,FALSE,"COMPCO"}</definedName>
    <definedName name="wrn.adj95." hidden="1">{"adj95mult",#N/A,FALSE,"COMPCO";"adj95est",#N/A,FALSE,"COMPCO"}</definedName>
    <definedName name="wrn.All." localSheetId="4" hidden="1">{"Matrix",#N/A,FALSE,"ACQMTRX";"Fees",#N/A,FALSE,"ACQMTRX"}</definedName>
    <definedName name="wrn.All." hidden="1">{"Matrix",#N/A,FALSE,"ACQMTRX";"Fees",#N/A,FALSE,"ACQMTRX"}</definedName>
    <definedName name="wrn.AQUIROR._.DCF." localSheetId="4" hidden="1">{"AQUIRORDCF",#N/A,FALSE,"Merger consequences";"Acquirorassns",#N/A,FALSE,"Merger consequences"}</definedName>
    <definedName name="wrn.AQUIROR._.DCF." hidden="1">{"AQUIRORDCF",#N/A,FALSE,"Merger consequences";"Acquirorassns",#N/A,FALSE,"Merger consequences"}</definedName>
    <definedName name="wrn.backup." localSheetId="4" hidden="1">{"background",#N/A,FALSE,"CS First Boston Merger Model";"inputs",#N/A,FALSE,"CS First Boston Merger Model"}</definedName>
    <definedName name="wrn.backup." hidden="1">{"background",#N/A,FALSE,"CS First Boston Merger Model";"inputs",#N/A,FALSE,"CS First Boston Merger Model"}</definedName>
    <definedName name="wrn.compco." localSheetId="4" hidden="1">{"mult96",#N/A,FALSE,"PETCOMP";"est96",#N/A,FALSE,"PETCOMP";"mult95",#N/A,FALSE,"PETCOMP";"est95",#N/A,FALSE,"PETCOMP";"multltm",#N/A,FALSE,"PETCOMP";"resultltm",#N/A,FALSE,"PETCOMP"}</definedName>
    <definedName name="wrn.compco." hidden="1">{"mult96",#N/A,FALSE,"PETCOMP";"est96",#N/A,FALSE,"PETCOMP";"mult95",#N/A,FALSE,"PETCOMP";"est95",#N/A,FALSE,"PETCOMP";"multltm",#N/A,FALSE,"PETCOMP";"resultltm",#N/A,FALSE,"PETCOMP"}</definedName>
    <definedName name="wrn.compco2" localSheetId="4" hidden="1">{"page1",#N/A,FALSE,"BHCOMPC5";"page2",#N/A,FALSE,"BHCOMPC5";"page3",#N/A,FALSE,"BHCOMPC5";"page4",#N/A,FALSE,"BHCOMPC5"}</definedName>
    <definedName name="wrn.compco2" hidden="1">{"page1",#N/A,FALSE,"BHCOMPC5";"page2",#N/A,FALSE,"BHCOMPC5";"page3",#N/A,FALSE,"BHCOMPC5";"page4",#N/A,FALSE,"BHCOMPC5"}</definedName>
    <definedName name="wrn.DCF_Terminal_Value_qchm." localSheetId="4" hidden="1">{"qchm_dcf",#N/A,FALSE,"QCHMDCF2";"qchm_terminal",#N/A,FALSE,"QCHMDCF2"}</definedName>
    <definedName name="wrn.DCF_Terminal_Value_qchm." hidden="1">{"qchm_dcf",#N/A,FALSE,"QCHMDCF2";"qchm_terminal",#N/A,FALSE,"QCHMDCF2"}</definedName>
    <definedName name="wrn.DCF." localSheetId="4" hidden="1">{"DCF1",#N/A,FALSE,"SIERRA DCF";"MATRIX1",#N/A,FALSE,"SIERRA DCF"}</definedName>
    <definedName name="wrn.DCF." hidden="1">{"DCF1",#N/A,FALSE,"SIERRA DCF";"MATRIX1",#N/A,FALSE,"SIERRA DCF"}</definedName>
    <definedName name="wrn.dcf2" localSheetId="4" hidden="1">{"DCF1",#N/A,FALSE,"SIERRA DCF";"MATRIX1",#N/A,FALSE,"SIERRA DCF"}</definedName>
    <definedName name="wrn.dcf2" hidden="1">{"DCF1",#N/A,FALSE,"SIERRA DCF";"MATRIX1",#N/A,FALSE,"SIERRA DCF"}</definedName>
    <definedName name="wrn.Development._.Model." localSheetId="4" hidden="1">{#N/A,#N/A,FALSE,"Input";#N/A,#N/A,FALSE,"Assumptions";#N/A,#N/A,FALSE,"Valuation";#N/A,#N/A,FALSE,"Financial Alternatives";#N/A,#N/A,FALSE,"Cash Flow"}</definedName>
    <definedName name="wrn.Development._.Model." hidden="1">{#N/A,#N/A,FALSE,"Input";#N/A,#N/A,FALSE,"Assumptions";#N/A,#N/A,FALSE,"Valuation";#N/A,#N/A,FALSE,"Financial Alternatives";#N/A,#N/A,FALSE,"Cash Flow"}</definedName>
    <definedName name="wrn.Economic._.Value._.Added._.Analysis." localSheetId="4" hidden="1">{"EVA",#N/A,FALSE,"EVA";"WACC",#N/A,FALSE,"WACC"}</definedName>
    <definedName name="wrn.Economic._.Value._.Added._.Analysis." hidden="1">{"EVA",#N/A,FALSE,"EVA";"WACC",#N/A,FALSE,"WACC"}</definedName>
    <definedName name="wrn.Ferro." localSheetId="4" hidden="1">{"matt","zero",FALSE,"CS First Boston Merger Model";"matt","twenty",FALSE,"CS First Boston Merger Model";"matt","forty",FALSE,"CS First Boston Merger Model";"matt","sixty",FALSE,"CS First Boston Merger Model";"matt","eighty",FALSE,"CS First Boston Merger Model";"matt","hundred",FALSE,"CS First Boston Merger Model"}</definedName>
    <definedName name="wrn.Ferro." hidden="1">{"matt","zero",FALSE,"CS First Boston Merger Model";"matt","twenty",FALSE,"CS First Boston Merger Model";"matt","forty",FALSE,"CS First Boston Merger Model";"matt","sixty",FALSE,"CS First Boston Merger Model";"matt","eighty",FALSE,"CS First Boston Merger Model";"matt","hundred",FALSE,"CS First Boston Merger Model"}</definedName>
    <definedName name="wrn.FOUR._.CASES." localSheetId="4" hidden="1">{"MODEL","ALL STOCK",FALSE,"CS First Boston Merger Model";"MODEL","ALL CASH",FALSE,"CS First Boston Merger Model";"MODEL","ALL CASH WITH EQUITY OFFERING",FALSE,"CS First Boston Merger Model";"MODEL","HALF CASH/HALF STOCK",FALSE,"CS First Boston Merger Model"}</definedName>
    <definedName name="wrn.FOUR._.CASES." hidden="1">{"MODEL","ALL STOCK",FALSE,"CS First Boston Merger Model";"MODEL","ALL CASH",FALSE,"CS First Boston Merger Model";"MODEL","ALL CASH WITH EQUITY OFFERING",FALSE,"CS First Boston Merger Model";"MODEL","HALF CASH/HALF STOCK",FALSE,"CS First Boston Merger Model"}</definedName>
    <definedName name="wrn.Full." localSheetId="4" hidden="1">{"Comp1",#N/A,FALSE,"COMP";"Comp2",#N/A,FALSE,"COMP";"Comp3",#N/A,FALSE,"COMP";"Comp4",#N/A,FALSE,"COMP"}</definedName>
    <definedName name="wrn.Full." hidden="1">{"Comp1",#N/A,FALSE,"COMP";"Comp2",#N/A,FALSE,"COMP";"Comp3",#N/A,FALSE,"COMP";"Comp4",#N/A,FALSE,"COMP"}</definedName>
    <definedName name="wrn.full._.report." localSheetId="4"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wrn.full._.report."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wrn.newoutput" localSheetId="4" hidden="1">{"DCF","UPSIDE CASE",FALSE,"Sheet1";"DCF","BASE CASE",FALSE,"Sheet1";"DCF","DOWNSIDE CASE",FALSE,"Sheet1"}</definedName>
    <definedName name="wrn.newoutput" hidden="1">{"DCF","UPSIDE CASE",FALSE,"Sheet1";"DCF","BASE CASE",FALSE,"Sheet1";"DCF","DOWNSIDE CASE",FALSE,"Sheet1"}</definedName>
    <definedName name="wrn.OUTPUT." localSheetId="4" hidden="1">{"DCF","UPSIDE CASE",FALSE,"Sheet1";"DCF","BASE CASE",FALSE,"Sheet1";"DCF","DOWNSIDE CASE",FALSE,"Sheet1"}</definedName>
    <definedName name="wrn.OUTPUT." hidden="1">{"DCF","UPSIDE CASE",FALSE,"Sheet1";"DCF","BASE CASE",FALSE,"Sheet1";"DCF","DOWNSIDE CASE",FALSE,"Sheet1"}</definedName>
    <definedName name="wrn.sales." localSheetId="4" hidden="1">{"sales",#N/A,FALSE,"Sales";"sales existing",#N/A,FALSE,"Sales";"sales rd1",#N/A,FALSE,"Sales";"sales rd2",#N/A,FALSE,"Sales"}</definedName>
    <definedName name="wrn.sales." hidden="1">{"sales",#N/A,FALSE,"Sales";"sales existing",#N/A,FALSE,"Sales";"sales rd1",#N/A,FALSE,"Sales";"sales rd2",#N/A,FALSE,"Sales"}</definedName>
    <definedName name="wrn.TARGET._.DCF." localSheetId="4" hidden="1">{"targetdcf",#N/A,FALSE,"Merger consequences";"TARGETASSU",#N/A,FALSE,"Merger consequences";"TERMINAL VALUE",#N/A,FALSE,"Merger consequences"}</definedName>
    <definedName name="wrn.TARGET._.DCF." hidden="1">{"targetdcf",#N/A,FALSE,"Merger consequences";"TARGETASSU",#N/A,FALSE,"Merger consequences";"TERMINAL VALUE",#N/A,FALSE,"Merger consequences"}</definedName>
    <definedName name="wrn.Textron." localSheetId="4" hidden="1">{#N/A,#N/A,FALSE,"IS";#N/A,#N/A,FALSE,"SG";#N/A,#N/A,FALSE,"FF";#N/A,#N/A,FALSE,"BS";#N/A,#N/A,FALSE,"DCF";#N/A,#N/A,FALSE,"EVA";#N/A,#N/A,FALSE,"Air";#N/A,#N/A,FALSE,"Car";#N/A,#N/A,FALSE,"Ind";#N/A,#N/A,FALSE,"Sys";#N/A,#N/A,FALSE,"Fin";#N/A,#N/A,FALSE,"Ces";#N/A,#N/A,FALSE,"Bell"}</definedName>
    <definedName name="wrn.Textron." hidden="1">{#N/A,#N/A,FALSE,"IS";#N/A,#N/A,FALSE,"SG";#N/A,#N/A,FALSE,"FF";#N/A,#N/A,FALSE,"BS";#N/A,#N/A,FALSE,"DCF";#N/A,#N/A,FALSE,"EVA";#N/A,#N/A,FALSE,"Air";#N/A,#N/A,FALSE,"Car";#N/A,#N/A,FALSE,"Ind";#N/A,#N/A,FALSE,"Sys";#N/A,#N/A,FALSE,"Fin";#N/A,#N/A,FALSE,"Ces";#N/A,#N/A,FALSE,"Bell"}</definedName>
    <definedName name="wrn.three" localSheetId="4" hidden="1">{"EVA",#N/A,FALSE,"EVA";"WACC",#N/A,FALSE,"WACC"}</definedName>
    <definedName name="wrn.three" hidden="1">{"EVA",#N/A,FALSE,"EVA";"WACC",#N/A,FALSE,"WACC"}</definedName>
    <definedName name="wrn.Value." localSheetId="4" hidden="1">{#N/A,#N/A,FALSE,"Cashflow Analysis";#N/A,#N/A,FALSE,"Sensitivity Analysis";#N/A,#N/A,FALSE,"PV";#N/A,#N/A,FALSE,"Pro Forma"}</definedName>
    <definedName name="wrn.Value." hidden="1">{#N/A,#N/A,FALSE,"Cashflow Analysis";#N/A,#N/A,FALSE,"Sensitivity Analysis";#N/A,#N/A,FALSE,"PV";#N/A,#N/A,FALSE,"Pro Forma"}</definedName>
    <definedName name="wsqm" localSheetId="4">#REF!</definedName>
    <definedName name="wsqm">#REF!</definedName>
    <definedName name="x" localSheetId="4" hidden="1">{#N/A,#N/A,FALSE,"Cashflow Analysis";#N/A,#N/A,FALSE,"Sensitivity Analysis";#N/A,#N/A,FALSE,"PV";#N/A,#N/A,FALSE,"Pro Forma"}</definedName>
    <definedName name="x" hidden="1">{#N/A,#N/A,FALSE,"Cashflow Analysis";#N/A,#N/A,FALSE,"Sensitivity Analysis";#N/A,#N/A,FALSE,"PV";#N/A,#N/A,FALSE,"Pro Forma"}</definedName>
    <definedName name="Yes" localSheetId="4" hidden="1">{"adj95mult",#N/A,FALSE,"COMPCO";"adj95est",#N/A,FALSE,"COMPCO"}</definedName>
    <definedName name="Yes" hidden="1">{"adj95mult",#N/A,FALSE,"COMPCO";"adj95est",#N/A,FALSE,"COMPCO"}</definedName>
    <definedName name="z" localSheetId="4" hidden="1">{"EVA",#N/A,FALSE,"EVA";"WACC",#N/A,FALSE,"WACC"}</definedName>
    <definedName name="z" hidden="1">{"EVA",#N/A,FALSE,"EVA";"WACC",#N/A,FALSE,"WACC"}</definedName>
    <definedName name="_xlnm.Print_Area" localSheetId="4">'TAM Refi '!$A$2:$H$40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5" i="16" l="1"/>
  <c r="G4" i="16"/>
  <c r="G7" i="16"/>
  <c r="G9" i="16" s="1"/>
  <c r="G375" i="16" l="1"/>
  <c r="E374" i="16"/>
  <c r="G373" i="16"/>
  <c r="E372" i="16"/>
  <c r="G371" i="16"/>
  <c r="E370" i="16"/>
  <c r="G369" i="16"/>
  <c r="E368" i="16"/>
  <c r="G367" i="16"/>
  <c r="E366" i="16"/>
  <c r="G365" i="16"/>
  <c r="E364" i="16"/>
  <c r="G363" i="16"/>
  <c r="E362" i="16"/>
  <c r="G361" i="16"/>
  <c r="E360" i="16"/>
  <c r="G359" i="16"/>
  <c r="E358" i="16"/>
  <c r="G357" i="16"/>
  <c r="E356" i="16"/>
  <c r="G355" i="16"/>
  <c r="E354" i="16"/>
  <c r="G353" i="16"/>
  <c r="E352" i="16"/>
  <c r="G351" i="16"/>
  <c r="E350" i="16"/>
  <c r="G349" i="16"/>
  <c r="E348" i="16"/>
  <c r="G347" i="16"/>
  <c r="E346" i="16"/>
  <c r="G345" i="16"/>
  <c r="E344" i="16"/>
  <c r="G343" i="16"/>
  <c r="E342" i="16"/>
  <c r="G341" i="16"/>
  <c r="E340" i="16"/>
  <c r="G339" i="16"/>
  <c r="E338" i="16"/>
  <c r="G337" i="16"/>
  <c r="E336" i="16"/>
  <c r="G335" i="16"/>
  <c r="E334" i="16"/>
  <c r="G333" i="16"/>
  <c r="E332" i="16"/>
  <c r="G331" i="16"/>
  <c r="E330" i="16"/>
  <c r="G329" i="16"/>
  <c r="E328" i="16"/>
  <c r="G327" i="16"/>
  <c r="E326" i="16"/>
  <c r="G325" i="16"/>
  <c r="F375" i="16"/>
  <c r="B375" i="16"/>
  <c r="C375" i="16" s="1"/>
  <c r="D374" i="16"/>
  <c r="F373" i="16"/>
  <c r="B373" i="16"/>
  <c r="C373" i="16" s="1"/>
  <c r="D372" i="16"/>
  <c r="F371" i="16"/>
  <c r="B371" i="16"/>
  <c r="C371" i="16" s="1"/>
  <c r="D370" i="16"/>
  <c r="F369" i="16"/>
  <c r="B369" i="16"/>
  <c r="C369" i="16" s="1"/>
  <c r="D368" i="16"/>
  <c r="F367" i="16"/>
  <c r="B367" i="16"/>
  <c r="C367" i="16" s="1"/>
  <c r="D366" i="16"/>
  <c r="F365" i="16"/>
  <c r="B365" i="16"/>
  <c r="C365" i="16" s="1"/>
  <c r="D364" i="16"/>
  <c r="F363" i="16"/>
  <c r="B363" i="16"/>
  <c r="C363" i="16" s="1"/>
  <c r="D362" i="16"/>
  <c r="F361" i="16"/>
  <c r="B361" i="16"/>
  <c r="C361" i="16" s="1"/>
  <c r="D360" i="16"/>
  <c r="F359" i="16"/>
  <c r="B359" i="16"/>
  <c r="C359" i="16" s="1"/>
  <c r="D358" i="16"/>
  <c r="F357" i="16"/>
  <c r="B357" i="16"/>
  <c r="C357" i="16" s="1"/>
  <c r="D356" i="16"/>
  <c r="F355" i="16"/>
  <c r="B355" i="16"/>
  <c r="C355" i="16" s="1"/>
  <c r="D354" i="16"/>
  <c r="F353" i="16"/>
  <c r="B353" i="16"/>
  <c r="C353" i="16" s="1"/>
  <c r="D352" i="16"/>
  <c r="F351" i="16"/>
  <c r="B351" i="16"/>
  <c r="C351" i="16" s="1"/>
  <c r="D350" i="16"/>
  <c r="F349" i="16"/>
  <c r="B349" i="16"/>
  <c r="C349" i="16" s="1"/>
  <c r="D348" i="16"/>
  <c r="F347" i="16"/>
  <c r="B347" i="16"/>
  <c r="C347" i="16" s="1"/>
  <c r="D346" i="16"/>
  <c r="F345" i="16"/>
  <c r="B345" i="16"/>
  <c r="C345" i="16" s="1"/>
  <c r="D344" i="16"/>
  <c r="F343" i="16"/>
  <c r="B343" i="16"/>
  <c r="C343" i="16" s="1"/>
  <c r="D342" i="16"/>
  <c r="F341" i="16"/>
  <c r="B341" i="16"/>
  <c r="C341" i="16" s="1"/>
  <c r="D340" i="16"/>
  <c r="F339" i="16"/>
  <c r="B339" i="16"/>
  <c r="C339" i="16" s="1"/>
  <c r="D338" i="16"/>
  <c r="F337" i="16"/>
  <c r="B337" i="16"/>
  <c r="C337" i="16" s="1"/>
  <c r="D336" i="16"/>
  <c r="F335" i="16"/>
  <c r="B335" i="16"/>
  <c r="C335" i="16" s="1"/>
  <c r="D334" i="16"/>
  <c r="F333" i="16"/>
  <c r="B333" i="16"/>
  <c r="C333" i="16" s="1"/>
  <c r="D332" i="16"/>
  <c r="F331" i="16"/>
  <c r="B331" i="16"/>
  <c r="C331" i="16" s="1"/>
  <c r="D330" i="16"/>
  <c r="F329" i="16"/>
  <c r="B329" i="16"/>
  <c r="C329" i="16" s="1"/>
  <c r="D328" i="16"/>
  <c r="F327" i="16"/>
  <c r="B327" i="16"/>
  <c r="C327" i="16" s="1"/>
  <c r="D326" i="16"/>
  <c r="F325" i="16"/>
  <c r="B325" i="16"/>
  <c r="C325" i="16" s="1"/>
  <c r="D324" i="16"/>
  <c r="F323" i="16"/>
  <c r="B323" i="16"/>
  <c r="C323" i="16" s="1"/>
  <c r="D322" i="16"/>
  <c r="F321" i="16"/>
  <c r="B321" i="16"/>
  <c r="C321" i="16" s="1"/>
  <c r="D320" i="16"/>
  <c r="F319" i="16"/>
  <c r="E375" i="16"/>
  <c r="G372" i="16"/>
  <c r="E371" i="16"/>
  <c r="G368" i="16"/>
  <c r="E367" i="16"/>
  <c r="G364" i="16"/>
  <c r="E363" i="16"/>
  <c r="G360" i="16"/>
  <c r="E359" i="16"/>
  <c r="G356" i="16"/>
  <c r="E355" i="16"/>
  <c r="G352" i="16"/>
  <c r="E351" i="16"/>
  <c r="G348" i="16"/>
  <c r="E347" i="16"/>
  <c r="G344" i="16"/>
  <c r="E343" i="16"/>
  <c r="G340" i="16"/>
  <c r="E339" i="16"/>
  <c r="G336" i="16"/>
  <c r="E335" i="16"/>
  <c r="G332" i="16"/>
  <c r="E331" i="16"/>
  <c r="G328" i="16"/>
  <c r="E327" i="16"/>
  <c r="G324" i="16"/>
  <c r="B324" i="16"/>
  <c r="C324" i="16" s="1"/>
  <c r="D321" i="16"/>
  <c r="E320" i="16"/>
  <c r="E319" i="16"/>
  <c r="G318" i="16"/>
  <c r="E317" i="16"/>
  <c r="G316" i="16"/>
  <c r="E315" i="16"/>
  <c r="G314" i="16"/>
  <c r="E313" i="16"/>
  <c r="G312" i="16"/>
  <c r="E311" i="16"/>
  <c r="G310" i="16"/>
  <c r="E309" i="16"/>
  <c r="G308" i="16"/>
  <c r="E307" i="16"/>
  <c r="G306" i="16"/>
  <c r="E305" i="16"/>
  <c r="G304" i="16"/>
  <c r="E303" i="16"/>
  <c r="G302" i="16"/>
  <c r="E301" i="16"/>
  <c r="G300" i="16"/>
  <c r="E299" i="16"/>
  <c r="G298" i="16"/>
  <c r="E297" i="16"/>
  <c r="G296" i="16"/>
  <c r="E295" i="16"/>
  <c r="G294" i="16"/>
  <c r="E293" i="16"/>
  <c r="G292" i="16"/>
  <c r="D375" i="16"/>
  <c r="B374" i="16"/>
  <c r="C374" i="16" s="1"/>
  <c r="F372" i="16"/>
  <c r="D371" i="16"/>
  <c r="B370" i="16"/>
  <c r="C370" i="16" s="1"/>
  <c r="F368" i="16"/>
  <c r="D367" i="16"/>
  <c r="B366" i="16"/>
  <c r="C366" i="16" s="1"/>
  <c r="F364" i="16"/>
  <c r="D363" i="16"/>
  <c r="B362" i="16"/>
  <c r="C362" i="16" s="1"/>
  <c r="F360" i="16"/>
  <c r="D359" i="16"/>
  <c r="B358" i="16"/>
  <c r="C358" i="16" s="1"/>
  <c r="F356" i="16"/>
  <c r="D355" i="16"/>
  <c r="B354" i="16"/>
  <c r="C354" i="16" s="1"/>
  <c r="F352" i="16"/>
  <c r="D351" i="16"/>
  <c r="B350" i="16"/>
  <c r="C350" i="16" s="1"/>
  <c r="F348" i="16"/>
  <c r="D347" i="16"/>
  <c r="B346" i="16"/>
  <c r="C346" i="16" s="1"/>
  <c r="F344" i="16"/>
  <c r="D343" i="16"/>
  <c r="B342" i="16"/>
  <c r="C342" i="16" s="1"/>
  <c r="F340" i="16"/>
  <c r="D339" i="16"/>
  <c r="B338" i="16"/>
  <c r="C338" i="16" s="1"/>
  <c r="F336" i="16"/>
  <c r="D335" i="16"/>
  <c r="B334" i="16"/>
  <c r="C334" i="16" s="1"/>
  <c r="F332" i="16"/>
  <c r="D331" i="16"/>
  <c r="B330" i="16"/>
  <c r="C330" i="16" s="1"/>
  <c r="F328" i="16"/>
  <c r="D327" i="16"/>
  <c r="B326" i="16"/>
  <c r="C326" i="16" s="1"/>
  <c r="F324" i="16"/>
  <c r="G323" i="16"/>
  <c r="G322" i="16"/>
  <c r="B322" i="16"/>
  <c r="C322" i="16" s="1"/>
  <c r="D319" i="16"/>
  <c r="F318" i="16"/>
  <c r="B318" i="16"/>
  <c r="C318" i="16" s="1"/>
  <c r="D317" i="16"/>
  <c r="F316" i="16"/>
  <c r="B316" i="16"/>
  <c r="C316" i="16" s="1"/>
  <c r="D315" i="16"/>
  <c r="F314" i="16"/>
  <c r="B314" i="16"/>
  <c r="C314" i="16" s="1"/>
  <c r="D313" i="16"/>
  <c r="F312" i="16"/>
  <c r="B312" i="16"/>
  <c r="C312" i="16" s="1"/>
  <c r="D311" i="16"/>
  <c r="F310" i="16"/>
  <c r="B310" i="16"/>
  <c r="C310" i="16" s="1"/>
  <c r="D309" i="16"/>
  <c r="F308" i="16"/>
  <c r="B308" i="16"/>
  <c r="C308" i="16" s="1"/>
  <c r="D307" i="16"/>
  <c r="F306" i="16"/>
  <c r="B306" i="16"/>
  <c r="C306" i="16" s="1"/>
  <c r="D305" i="16"/>
  <c r="F304" i="16"/>
  <c r="B304" i="16"/>
  <c r="C304" i="16" s="1"/>
  <c r="D303" i="16"/>
  <c r="F302" i="16"/>
  <c r="B302" i="16"/>
  <c r="C302" i="16" s="1"/>
  <c r="D301" i="16"/>
  <c r="F300" i="16"/>
  <c r="B300" i="16"/>
  <c r="C300" i="16" s="1"/>
  <c r="D299" i="16"/>
  <c r="F298" i="16"/>
  <c r="B298" i="16"/>
  <c r="C298" i="16" s="1"/>
  <c r="D297" i="16"/>
  <c r="F296" i="16"/>
  <c r="B296" i="16"/>
  <c r="C296" i="16" s="1"/>
  <c r="D295" i="16"/>
  <c r="F294" i="16"/>
  <c r="B294" i="16"/>
  <c r="C294" i="16" s="1"/>
  <c r="D293" i="16"/>
  <c r="F292" i="16"/>
  <c r="B292" i="16"/>
  <c r="C292" i="16" s="1"/>
  <c r="D291" i="16"/>
  <c r="F290" i="16"/>
  <c r="B290" i="16"/>
  <c r="C290" i="16" s="1"/>
  <c r="D289" i="16"/>
  <c r="F288" i="16"/>
  <c r="B288" i="16"/>
  <c r="C288" i="16" s="1"/>
  <c r="G374" i="16"/>
  <c r="F374" i="16"/>
  <c r="B372" i="16"/>
  <c r="C372" i="16" s="1"/>
  <c r="D369" i="16"/>
  <c r="F366" i="16"/>
  <c r="B364" i="16"/>
  <c r="C364" i="16" s="1"/>
  <c r="D361" i="16"/>
  <c r="F358" i="16"/>
  <c r="B356" i="16"/>
  <c r="C356" i="16" s="1"/>
  <c r="D353" i="16"/>
  <c r="F350" i="16"/>
  <c r="B348" i="16"/>
  <c r="C348" i="16" s="1"/>
  <c r="D345" i="16"/>
  <c r="F342" i="16"/>
  <c r="B340" i="16"/>
  <c r="C340" i="16" s="1"/>
  <c r="D337" i="16"/>
  <c r="F334" i="16"/>
  <c r="B332" i="16"/>
  <c r="C332" i="16" s="1"/>
  <c r="D329" i="16"/>
  <c r="F326" i="16"/>
  <c r="E322" i="16"/>
  <c r="F320" i="16"/>
  <c r="B319" i="16"/>
  <c r="C319" i="16" s="1"/>
  <c r="F317" i="16"/>
  <c r="D316" i="16"/>
  <c r="B315" i="16"/>
  <c r="C315" i="16" s="1"/>
  <c r="F313" i="16"/>
  <c r="D312" i="16"/>
  <c r="B311" i="16"/>
  <c r="C311" i="16" s="1"/>
  <c r="F309" i="16"/>
  <c r="D308" i="16"/>
  <c r="B307" i="16"/>
  <c r="C307" i="16" s="1"/>
  <c r="F305" i="16"/>
  <c r="D304" i="16"/>
  <c r="B303" i="16"/>
  <c r="C303" i="16" s="1"/>
  <c r="F301" i="16"/>
  <c r="D300" i="16"/>
  <c r="B299" i="16"/>
  <c r="C299" i="16" s="1"/>
  <c r="F297" i="16"/>
  <c r="D296" i="16"/>
  <c r="B295" i="16"/>
  <c r="C295" i="16" s="1"/>
  <c r="F293" i="16"/>
  <c r="D292" i="16"/>
  <c r="E291" i="16"/>
  <c r="E290" i="16"/>
  <c r="F289" i="16"/>
  <c r="G288" i="16"/>
  <c r="G287" i="16"/>
  <c r="E286" i="16"/>
  <c r="G285" i="16"/>
  <c r="E284" i="16"/>
  <c r="G283" i="16"/>
  <c r="E282" i="16"/>
  <c r="G281" i="16"/>
  <c r="E280" i="16"/>
  <c r="G279" i="16"/>
  <c r="E278" i="16"/>
  <c r="G277" i="16"/>
  <c r="E276" i="16"/>
  <c r="G275" i="16"/>
  <c r="E274" i="16"/>
  <c r="G273" i="16"/>
  <c r="E272" i="16"/>
  <c r="G271" i="16"/>
  <c r="E270" i="16"/>
  <c r="G269" i="16"/>
  <c r="E268" i="16"/>
  <c r="G267" i="16"/>
  <c r="E266" i="16"/>
  <c r="G265" i="16"/>
  <c r="E264" i="16"/>
  <c r="G263" i="16"/>
  <c r="E262" i="16"/>
  <c r="G261" i="16"/>
  <c r="E260" i="16"/>
  <c r="G259" i="16"/>
  <c r="E258" i="16"/>
  <c r="G257" i="16"/>
  <c r="E256" i="16"/>
  <c r="G255" i="16"/>
  <c r="E254" i="16"/>
  <c r="G253" i="16"/>
  <c r="E252" i="16"/>
  <c r="G251" i="16"/>
  <c r="E250" i="16"/>
  <c r="G249" i="16"/>
  <c r="E248" i="16"/>
  <c r="G247" i="16"/>
  <c r="E246" i="16"/>
  <c r="G245" i="16"/>
  <c r="D373" i="16"/>
  <c r="F370" i="16"/>
  <c r="B368" i="16"/>
  <c r="C368" i="16" s="1"/>
  <c r="D365" i="16"/>
  <c r="F362" i="16"/>
  <c r="B360" i="16"/>
  <c r="C360" i="16" s="1"/>
  <c r="D357" i="16"/>
  <c r="F354" i="16"/>
  <c r="B352" i="16"/>
  <c r="C352" i="16" s="1"/>
  <c r="D349" i="16"/>
  <c r="F346" i="16"/>
  <c r="B344" i="16"/>
  <c r="C344" i="16" s="1"/>
  <c r="D341" i="16"/>
  <c r="F338" i="16"/>
  <c r="B336" i="16"/>
  <c r="C336" i="16" s="1"/>
  <c r="D333" i="16"/>
  <c r="F330" i="16"/>
  <c r="B328" i="16"/>
  <c r="C328" i="16" s="1"/>
  <c r="D325" i="16"/>
  <c r="D323" i="16"/>
  <c r="E321" i="16"/>
  <c r="G319" i="16"/>
  <c r="D318" i="16"/>
  <c r="B317" i="16"/>
  <c r="C317" i="16" s="1"/>
  <c r="F315" i="16"/>
  <c r="D314" i="16"/>
  <c r="B313" i="16"/>
  <c r="C313" i="16" s="1"/>
  <c r="F311" i="16"/>
  <c r="D310" i="16"/>
  <c r="B309" i="16"/>
  <c r="C309" i="16" s="1"/>
  <c r="F307" i="16"/>
  <c r="D306" i="16"/>
  <c r="B305" i="16"/>
  <c r="C305" i="16" s="1"/>
  <c r="F303" i="16"/>
  <c r="D302" i="16"/>
  <c r="B301" i="16"/>
  <c r="C301" i="16" s="1"/>
  <c r="F299" i="16"/>
  <c r="D298" i="16"/>
  <c r="B297" i="16"/>
  <c r="C297" i="16" s="1"/>
  <c r="F295" i="16"/>
  <c r="D294" i="16"/>
  <c r="B293" i="16"/>
  <c r="C293" i="16" s="1"/>
  <c r="G291" i="16"/>
  <c r="B291" i="16"/>
  <c r="C291" i="16" s="1"/>
  <c r="D288" i="16"/>
  <c r="E287" i="16"/>
  <c r="G286" i="16"/>
  <c r="E285" i="16"/>
  <c r="G284" i="16"/>
  <c r="E283" i="16"/>
  <c r="G282" i="16"/>
  <c r="E281" i="16"/>
  <c r="G280" i="16"/>
  <c r="E279" i="16"/>
  <c r="G278" i="16"/>
  <c r="E277" i="16"/>
  <c r="G276" i="16"/>
  <c r="E275" i="16"/>
  <c r="G274" i="16"/>
  <c r="E273" i="16"/>
  <c r="G272" i="16"/>
  <c r="E271" i="16"/>
  <c r="G270" i="16"/>
  <c r="E269" i="16"/>
  <c r="G268" i="16"/>
  <c r="E267" i="16"/>
  <c r="G266" i="16"/>
  <c r="E265" i="16"/>
  <c r="G264" i="16"/>
  <c r="E263" i="16"/>
  <c r="G262" i="16"/>
  <c r="E261" i="16"/>
  <c r="G260" i="16"/>
  <c r="E259" i="16"/>
  <c r="G258" i="16"/>
  <c r="E257" i="16"/>
  <c r="G256" i="16"/>
  <c r="E255" i="16"/>
  <c r="G254" i="16"/>
  <c r="E253" i="16"/>
  <c r="G252" i="16"/>
  <c r="E251" i="16"/>
  <c r="G250" i="16"/>
  <c r="E249" i="16"/>
  <c r="G248" i="16"/>
  <c r="E247" i="16"/>
  <c r="G246" i="16"/>
  <c r="E245" i="16"/>
  <c r="G244" i="16"/>
  <c r="E243" i="16"/>
  <c r="G242" i="16"/>
  <c r="E241" i="16"/>
  <c r="G240" i="16"/>
  <c r="E239" i="16"/>
  <c r="G238" i="16"/>
  <c r="E237" i="16"/>
  <c r="G236" i="16"/>
  <c r="E235" i="16"/>
  <c r="G234" i="16"/>
  <c r="E233" i="16"/>
  <c r="G232" i="16"/>
  <c r="E231" i="16"/>
  <c r="G230" i="16"/>
  <c r="E369" i="16"/>
  <c r="G366" i="16"/>
  <c r="E361" i="16"/>
  <c r="G358" i="16"/>
  <c r="E353" i="16"/>
  <c r="G350" i="16"/>
  <c r="E345" i="16"/>
  <c r="G342" i="16"/>
  <c r="E337" i="16"/>
  <c r="G334" i="16"/>
  <c r="E329" i="16"/>
  <c r="G326" i="16"/>
  <c r="E324" i="16"/>
  <c r="F322" i="16"/>
  <c r="G320" i="16"/>
  <c r="G317" i="16"/>
  <c r="E316" i="16"/>
  <c r="G313" i="16"/>
  <c r="E312" i="16"/>
  <c r="G309" i="16"/>
  <c r="E308" i="16"/>
  <c r="G305" i="16"/>
  <c r="E304" i="16"/>
  <c r="G301" i="16"/>
  <c r="E300" i="16"/>
  <c r="G297" i="16"/>
  <c r="E296" i="16"/>
  <c r="G293" i="16"/>
  <c r="E292" i="16"/>
  <c r="F291" i="16"/>
  <c r="G290" i="16"/>
  <c r="G289" i="16"/>
  <c r="B289" i="16"/>
  <c r="C289" i="16" s="1"/>
  <c r="D287" i="16"/>
  <c r="F286" i="16"/>
  <c r="B286" i="16"/>
  <c r="C286" i="16" s="1"/>
  <c r="D285" i="16"/>
  <c r="F284" i="16"/>
  <c r="B284" i="16"/>
  <c r="C284" i="16" s="1"/>
  <c r="D283" i="16"/>
  <c r="F282" i="16"/>
  <c r="B282" i="16"/>
  <c r="C282" i="16" s="1"/>
  <c r="D281" i="16"/>
  <c r="F280" i="16"/>
  <c r="B280" i="16"/>
  <c r="C280" i="16" s="1"/>
  <c r="D279" i="16"/>
  <c r="F278" i="16"/>
  <c r="B278" i="16"/>
  <c r="C278" i="16" s="1"/>
  <c r="D277" i="16"/>
  <c r="F276" i="16"/>
  <c r="B276" i="16"/>
  <c r="C276" i="16" s="1"/>
  <c r="D275" i="16"/>
  <c r="F274" i="16"/>
  <c r="B274" i="16"/>
  <c r="C274" i="16" s="1"/>
  <c r="D273" i="16"/>
  <c r="F272" i="16"/>
  <c r="B272" i="16"/>
  <c r="C272" i="16" s="1"/>
  <c r="D271" i="16"/>
  <c r="F270" i="16"/>
  <c r="B270" i="16"/>
  <c r="C270" i="16" s="1"/>
  <c r="D269" i="16"/>
  <c r="F268" i="16"/>
  <c r="B268" i="16"/>
  <c r="C268" i="16" s="1"/>
  <c r="D267" i="16"/>
  <c r="F266" i="16"/>
  <c r="B266" i="16"/>
  <c r="C266" i="16" s="1"/>
  <c r="D265" i="16"/>
  <c r="F264" i="16"/>
  <c r="B264" i="16"/>
  <c r="C264" i="16" s="1"/>
  <c r="D263" i="16"/>
  <c r="F262" i="16"/>
  <c r="E373" i="16"/>
  <c r="G362" i="16"/>
  <c r="E341" i="16"/>
  <c r="G330" i="16"/>
  <c r="G321" i="16"/>
  <c r="G315" i="16"/>
  <c r="E310" i="16"/>
  <c r="G299" i="16"/>
  <c r="E294" i="16"/>
  <c r="D290" i="16"/>
  <c r="B287" i="16"/>
  <c r="C287" i="16" s="1"/>
  <c r="D284" i="16"/>
  <c r="F281" i="16"/>
  <c r="B279" i="16"/>
  <c r="C279" i="16" s="1"/>
  <c r="D276" i="16"/>
  <c r="F273" i="16"/>
  <c r="B271" i="16"/>
  <c r="C271" i="16" s="1"/>
  <c r="D268" i="16"/>
  <c r="F265" i="16"/>
  <c r="B263" i="16"/>
  <c r="C263" i="16" s="1"/>
  <c r="D261" i="16"/>
  <c r="B260" i="16"/>
  <c r="C260" i="16" s="1"/>
  <c r="F258" i="16"/>
  <c r="D257" i="16"/>
  <c r="B256" i="16"/>
  <c r="C256" i="16" s="1"/>
  <c r="F254" i="16"/>
  <c r="D253" i="16"/>
  <c r="B252" i="16"/>
  <c r="C252" i="16" s="1"/>
  <c r="F250" i="16"/>
  <c r="D249" i="16"/>
  <c r="B248" i="16"/>
  <c r="C248" i="16" s="1"/>
  <c r="F246" i="16"/>
  <c r="D245" i="16"/>
  <c r="D244" i="16"/>
  <c r="D243" i="16"/>
  <c r="E242" i="16"/>
  <c r="F241" i="16"/>
  <c r="F240" i="16"/>
  <c r="G239" i="16"/>
  <c r="B239" i="16"/>
  <c r="C239" i="16" s="1"/>
  <c r="B238" i="16"/>
  <c r="C238" i="16" s="1"/>
  <c r="D236" i="16"/>
  <c r="D235" i="16"/>
  <c r="E234" i="16"/>
  <c r="F233" i="16"/>
  <c r="F232" i="16"/>
  <c r="G231" i="16"/>
  <c r="B231" i="16"/>
  <c r="C231" i="16" s="1"/>
  <c r="B230" i="16"/>
  <c r="C230" i="16" s="1"/>
  <c r="D229" i="16"/>
  <c r="F228" i="16"/>
  <c r="B228" i="16"/>
  <c r="C228" i="16" s="1"/>
  <c r="D227" i="16"/>
  <c r="F226" i="16"/>
  <c r="B226" i="16"/>
  <c r="C226" i="16" s="1"/>
  <c r="D225" i="16"/>
  <c r="F224" i="16"/>
  <c r="B224" i="16"/>
  <c r="C224" i="16" s="1"/>
  <c r="D223" i="16"/>
  <c r="F222" i="16"/>
  <c r="B222" i="16"/>
  <c r="C222" i="16" s="1"/>
  <c r="D221" i="16"/>
  <c r="F220" i="16"/>
  <c r="B220" i="16"/>
  <c r="C220" i="16" s="1"/>
  <c r="D219" i="16"/>
  <c r="F218" i="16"/>
  <c r="B218" i="16"/>
  <c r="C218" i="16" s="1"/>
  <c r="D217" i="16"/>
  <c r="F216" i="16"/>
  <c r="B216" i="16"/>
  <c r="C216" i="16" s="1"/>
  <c r="D215" i="16"/>
  <c r="F214" i="16"/>
  <c r="B214" i="16"/>
  <c r="C214" i="16" s="1"/>
  <c r="D213" i="16"/>
  <c r="F212" i="16"/>
  <c r="B212" i="16"/>
  <c r="C212" i="16" s="1"/>
  <c r="D211" i="16"/>
  <c r="F210" i="16"/>
  <c r="B210" i="16"/>
  <c r="C210" i="16" s="1"/>
  <c r="D209" i="16"/>
  <c r="F208" i="16"/>
  <c r="B208" i="16"/>
  <c r="C208" i="16" s="1"/>
  <c r="D207" i="16"/>
  <c r="F206" i="16"/>
  <c r="B206" i="16"/>
  <c r="C206" i="16" s="1"/>
  <c r="D205" i="16"/>
  <c r="F204" i="16"/>
  <c r="B204" i="16"/>
  <c r="C204" i="16" s="1"/>
  <c r="D203" i="16"/>
  <c r="F202" i="16"/>
  <c r="B202" i="16"/>
  <c r="C202" i="16" s="1"/>
  <c r="D201" i="16"/>
  <c r="F200" i="16"/>
  <c r="B200" i="16"/>
  <c r="C200" i="16" s="1"/>
  <c r="D199" i="16"/>
  <c r="F198" i="16"/>
  <c r="B198" i="16"/>
  <c r="C198" i="16" s="1"/>
  <c r="D197" i="16"/>
  <c r="F196" i="16"/>
  <c r="B196" i="16"/>
  <c r="C196" i="16" s="1"/>
  <c r="D195" i="16"/>
  <c r="F194" i="16"/>
  <c r="B194" i="16"/>
  <c r="C194" i="16" s="1"/>
  <c r="D193" i="16"/>
  <c r="F192" i="16"/>
  <c r="B192" i="16"/>
  <c r="C192" i="16" s="1"/>
  <c r="D191" i="16"/>
  <c r="F190" i="16"/>
  <c r="B190" i="16"/>
  <c r="C190" i="16" s="1"/>
  <c r="D189" i="16"/>
  <c r="F188" i="16"/>
  <c r="B188" i="16"/>
  <c r="C188" i="16" s="1"/>
  <c r="D187" i="16"/>
  <c r="F186" i="16"/>
  <c r="B186" i="16"/>
  <c r="C186" i="16" s="1"/>
  <c r="D185" i="16"/>
  <c r="F184" i="16"/>
  <c r="B184" i="16"/>
  <c r="C184" i="16" s="1"/>
  <c r="D183" i="16"/>
  <c r="F182" i="16"/>
  <c r="B182" i="16"/>
  <c r="C182" i="16" s="1"/>
  <c r="D181" i="16"/>
  <c r="F180" i="16"/>
  <c r="B180" i="16"/>
  <c r="C180" i="16" s="1"/>
  <c r="D179" i="16"/>
  <c r="F178" i="16"/>
  <c r="B178" i="16"/>
  <c r="C178" i="16" s="1"/>
  <c r="D177" i="16"/>
  <c r="F176" i="16"/>
  <c r="B176" i="16"/>
  <c r="C176" i="16" s="1"/>
  <c r="D175" i="16"/>
  <c r="F174" i="16"/>
  <c r="B174" i="16"/>
  <c r="C174" i="16" s="1"/>
  <c r="D173" i="16"/>
  <c r="F172" i="16"/>
  <c r="B172" i="16"/>
  <c r="C172" i="16" s="1"/>
  <c r="D171" i="16"/>
  <c r="F170" i="16"/>
  <c r="B170" i="16"/>
  <c r="C170" i="16" s="1"/>
  <c r="D169" i="16"/>
  <c r="F168" i="16"/>
  <c r="B168" i="16"/>
  <c r="C168" i="16" s="1"/>
  <c r="D167" i="16"/>
  <c r="F166" i="16"/>
  <c r="B166" i="16"/>
  <c r="C166" i="16" s="1"/>
  <c r="D165" i="16"/>
  <c r="F164" i="16"/>
  <c r="B164" i="16"/>
  <c r="C164" i="16" s="1"/>
  <c r="D163" i="16"/>
  <c r="F162" i="16"/>
  <c r="B162" i="16"/>
  <c r="C162" i="16" s="1"/>
  <c r="D161" i="16"/>
  <c r="F160" i="16"/>
  <c r="B160" i="16"/>
  <c r="C160" i="16" s="1"/>
  <c r="D159" i="16"/>
  <c r="F158" i="16"/>
  <c r="B158" i="16"/>
  <c r="C158" i="16" s="1"/>
  <c r="D157" i="16"/>
  <c r="F156" i="16"/>
  <c r="B156" i="16"/>
  <c r="C156" i="16" s="1"/>
  <c r="D155" i="16"/>
  <c r="F154" i="16"/>
  <c r="B154" i="16"/>
  <c r="C154" i="16" s="1"/>
  <c r="D153" i="16"/>
  <c r="F152" i="16"/>
  <c r="B152" i="16"/>
  <c r="C152" i="16" s="1"/>
  <c r="D151" i="16"/>
  <c r="G370" i="16"/>
  <c r="E349" i="16"/>
  <c r="G338" i="16"/>
  <c r="B320" i="16"/>
  <c r="C320" i="16" s="1"/>
  <c r="E314" i="16"/>
  <c r="G303" i="16"/>
  <c r="E298" i="16"/>
  <c r="E289" i="16"/>
  <c r="D286" i="16"/>
  <c r="F283" i="16"/>
  <c r="B281" i="16"/>
  <c r="C281" i="16" s="1"/>
  <c r="D278" i="16"/>
  <c r="F275" i="16"/>
  <c r="B273" i="16"/>
  <c r="C273" i="16" s="1"/>
  <c r="D270" i="16"/>
  <c r="F267" i="16"/>
  <c r="B265" i="16"/>
  <c r="C265" i="16" s="1"/>
  <c r="D262" i="16"/>
  <c r="B261" i="16"/>
  <c r="C261" i="16" s="1"/>
  <c r="F259" i="16"/>
  <c r="D258" i="16"/>
  <c r="B257" i="16"/>
  <c r="C257" i="16" s="1"/>
  <c r="F255" i="16"/>
  <c r="D254" i="16"/>
  <c r="B253" i="16"/>
  <c r="C253" i="16" s="1"/>
  <c r="F251" i="16"/>
  <c r="D250" i="16"/>
  <c r="B249" i="16"/>
  <c r="C249" i="16" s="1"/>
  <c r="F247" i="16"/>
  <c r="D246" i="16"/>
  <c r="B245" i="16"/>
  <c r="C245" i="16" s="1"/>
  <c r="B244" i="16"/>
  <c r="C244" i="16" s="1"/>
  <c r="D242" i="16"/>
  <c r="D241" i="16"/>
  <c r="E240" i="16"/>
  <c r="F239" i="16"/>
  <c r="F238" i="16"/>
  <c r="G237" i="16"/>
  <c r="B237" i="16"/>
  <c r="C237" i="16" s="1"/>
  <c r="B236" i="16"/>
  <c r="C236" i="16" s="1"/>
  <c r="D234" i="16"/>
  <c r="D233" i="16"/>
  <c r="E232" i="16"/>
  <c r="F231" i="16"/>
  <c r="F230" i="16"/>
  <c r="G229" i="16"/>
  <c r="E228" i="16"/>
  <c r="G227" i="16"/>
  <c r="E226" i="16"/>
  <c r="G225" i="16"/>
  <c r="E224" i="16"/>
  <c r="G223" i="16"/>
  <c r="E222" i="16"/>
  <c r="G221" i="16"/>
  <c r="E220" i="16"/>
  <c r="G219" i="16"/>
  <c r="E218" i="16"/>
  <c r="G217" i="16"/>
  <c r="E216" i="16"/>
  <c r="G215" i="16"/>
  <c r="E214" i="16"/>
  <c r="G213" i="16"/>
  <c r="E212" i="16"/>
  <c r="G211" i="16"/>
  <c r="E210" i="16"/>
  <c r="G209" i="16"/>
  <c r="E208" i="16"/>
  <c r="G207" i="16"/>
  <c r="E206" i="16"/>
  <c r="G205" i="16"/>
  <c r="E204" i="16"/>
  <c r="G203" i="16"/>
  <c r="E202" i="16"/>
  <c r="G201" i="16"/>
  <c r="E200" i="16"/>
  <c r="G199" i="16"/>
  <c r="E198" i="16"/>
  <c r="G197" i="16"/>
  <c r="E196" i="16"/>
  <c r="G195" i="16"/>
  <c r="E194" i="16"/>
  <c r="G193" i="16"/>
  <c r="E192" i="16"/>
  <c r="G191" i="16"/>
  <c r="E190" i="16"/>
  <c r="G189" i="16"/>
  <c r="E188" i="16"/>
  <c r="G187" i="16"/>
  <c r="E186" i="16"/>
  <c r="G185" i="16"/>
  <c r="E184" i="16"/>
  <c r="G183" i="16"/>
  <c r="E182" i="16"/>
  <c r="G181" i="16"/>
  <c r="E180" i="16"/>
  <c r="G179" i="16"/>
  <c r="E178" i="16"/>
  <c r="G177" i="16"/>
  <c r="E176" i="16"/>
  <c r="G175" i="16"/>
  <c r="E174" i="16"/>
  <c r="G173" i="16"/>
  <c r="E172" i="16"/>
  <c r="G171" i="16"/>
  <c r="E170" i="16"/>
  <c r="G169" i="16"/>
  <c r="E168" i="16"/>
  <c r="G167" i="16"/>
  <c r="E166" i="16"/>
  <c r="G165" i="16"/>
  <c r="E164" i="16"/>
  <c r="G163" i="16"/>
  <c r="E162" i="16"/>
  <c r="G161" i="16"/>
  <c r="E160" i="16"/>
  <c r="G159" i="16"/>
  <c r="E357" i="16"/>
  <c r="G346" i="16"/>
  <c r="E325" i="16"/>
  <c r="E318" i="16"/>
  <c r="G307" i="16"/>
  <c r="E302" i="16"/>
  <c r="E288" i="16"/>
  <c r="F285" i="16"/>
  <c r="B283" i="16"/>
  <c r="C283" i="16" s="1"/>
  <c r="D280" i="16"/>
  <c r="F277" i="16"/>
  <c r="B275" i="16"/>
  <c r="C275" i="16" s="1"/>
  <c r="D272" i="16"/>
  <c r="F269" i="16"/>
  <c r="B267" i="16"/>
  <c r="C267" i="16" s="1"/>
  <c r="D264" i="16"/>
  <c r="B262" i="16"/>
  <c r="C262" i="16" s="1"/>
  <c r="F260" i="16"/>
  <c r="D259" i="16"/>
  <c r="B258" i="16"/>
  <c r="C258" i="16" s="1"/>
  <c r="F256" i="16"/>
  <c r="D255" i="16"/>
  <c r="B254" i="16"/>
  <c r="C254" i="16" s="1"/>
  <c r="F252" i="16"/>
  <c r="D251" i="16"/>
  <c r="B250" i="16"/>
  <c r="C250" i="16" s="1"/>
  <c r="F248" i="16"/>
  <c r="D247" i="16"/>
  <c r="B246" i="16"/>
  <c r="C246" i="16" s="1"/>
  <c r="F244" i="16"/>
  <c r="G243" i="16"/>
  <c r="B243" i="16"/>
  <c r="C243" i="16" s="1"/>
  <c r="B242" i="16"/>
  <c r="C242" i="16" s="1"/>
  <c r="D240" i="16"/>
  <c r="D239" i="16"/>
  <c r="E238" i="16"/>
  <c r="F237" i="16"/>
  <c r="F236" i="16"/>
  <c r="G235" i="16"/>
  <c r="B235" i="16"/>
  <c r="C235" i="16" s="1"/>
  <c r="B234" i="16"/>
  <c r="C234" i="16" s="1"/>
  <c r="D232" i="16"/>
  <c r="D231" i="16"/>
  <c r="E230" i="16"/>
  <c r="F229" i="16"/>
  <c r="B229" i="16"/>
  <c r="C229" i="16" s="1"/>
  <c r="D228" i="16"/>
  <c r="F227" i="16"/>
  <c r="B227" i="16"/>
  <c r="C227" i="16" s="1"/>
  <c r="D226" i="16"/>
  <c r="F225" i="16"/>
  <c r="B225" i="16"/>
  <c r="C225" i="16" s="1"/>
  <c r="D224" i="16"/>
  <c r="F223" i="16"/>
  <c r="B223" i="16"/>
  <c r="C223" i="16" s="1"/>
  <c r="D222" i="16"/>
  <c r="F221" i="16"/>
  <c r="B221" i="16"/>
  <c r="C221" i="16" s="1"/>
  <c r="D220" i="16"/>
  <c r="F219" i="16"/>
  <c r="B219" i="16"/>
  <c r="C219" i="16" s="1"/>
  <c r="D218" i="16"/>
  <c r="F217" i="16"/>
  <c r="B217" i="16"/>
  <c r="C217" i="16" s="1"/>
  <c r="D216" i="16"/>
  <c r="F215" i="16"/>
  <c r="B215" i="16"/>
  <c r="C215" i="16" s="1"/>
  <c r="D214" i="16"/>
  <c r="F213" i="16"/>
  <c r="B213" i="16"/>
  <c r="C213" i="16" s="1"/>
  <c r="D212" i="16"/>
  <c r="F211" i="16"/>
  <c r="B211" i="16"/>
  <c r="C211" i="16" s="1"/>
  <c r="D210" i="16"/>
  <c r="F209" i="16"/>
  <c r="B209" i="16"/>
  <c r="C209" i="16" s="1"/>
  <c r="D208" i="16"/>
  <c r="F207" i="16"/>
  <c r="B207" i="16"/>
  <c r="C207" i="16" s="1"/>
  <c r="D206" i="16"/>
  <c r="F205" i="16"/>
  <c r="B205" i="16"/>
  <c r="C205" i="16" s="1"/>
  <c r="D204" i="16"/>
  <c r="F203" i="16"/>
  <c r="B203" i="16"/>
  <c r="C203" i="16" s="1"/>
  <c r="D202" i="16"/>
  <c r="F201" i="16"/>
  <c r="B201" i="16"/>
  <c r="C201" i="16" s="1"/>
  <c r="D200" i="16"/>
  <c r="F199" i="16"/>
  <c r="B199" i="16"/>
  <c r="C199" i="16" s="1"/>
  <c r="D198" i="16"/>
  <c r="F197" i="16"/>
  <c r="B197" i="16"/>
  <c r="C197" i="16" s="1"/>
  <c r="D196" i="16"/>
  <c r="E365" i="16"/>
  <c r="E323" i="16"/>
  <c r="B285" i="16"/>
  <c r="C285" i="16" s="1"/>
  <c r="D274" i="16"/>
  <c r="F263" i="16"/>
  <c r="F257" i="16"/>
  <c r="D252" i="16"/>
  <c r="B247" i="16"/>
  <c r="C247" i="16" s="1"/>
  <c r="F242" i="16"/>
  <c r="F235" i="16"/>
  <c r="B232" i="16"/>
  <c r="C232" i="16" s="1"/>
  <c r="G228" i="16"/>
  <c r="E223" i="16"/>
  <c r="G220" i="16"/>
  <c r="E215" i="16"/>
  <c r="G212" i="16"/>
  <c r="E207" i="16"/>
  <c r="G204" i="16"/>
  <c r="E199" i="16"/>
  <c r="G196" i="16"/>
  <c r="B195" i="16"/>
  <c r="C195" i="16" s="1"/>
  <c r="F193" i="16"/>
  <c r="D192" i="16"/>
  <c r="B191" i="16"/>
  <c r="C191" i="16" s="1"/>
  <c r="F189" i="16"/>
  <c r="D188" i="16"/>
  <c r="B187" i="16"/>
  <c r="C187" i="16" s="1"/>
  <c r="F185" i="16"/>
  <c r="D184" i="16"/>
  <c r="B183" i="16"/>
  <c r="C183" i="16" s="1"/>
  <c r="F181" i="16"/>
  <c r="D180" i="16"/>
  <c r="B179" i="16"/>
  <c r="C179" i="16" s="1"/>
  <c r="F177" i="16"/>
  <c r="D176" i="16"/>
  <c r="B175" i="16"/>
  <c r="C175" i="16" s="1"/>
  <c r="F173" i="16"/>
  <c r="D172" i="16"/>
  <c r="B171" i="16"/>
  <c r="C171" i="16" s="1"/>
  <c r="F169" i="16"/>
  <c r="D168" i="16"/>
  <c r="B167" i="16"/>
  <c r="C167" i="16" s="1"/>
  <c r="F165" i="16"/>
  <c r="D164" i="16"/>
  <c r="B163" i="16"/>
  <c r="C163" i="16" s="1"/>
  <c r="F161" i="16"/>
  <c r="D160" i="16"/>
  <c r="D158" i="16"/>
  <c r="E157" i="16"/>
  <c r="E156" i="16"/>
  <c r="F155" i="16"/>
  <c r="G154" i="16"/>
  <c r="G153" i="16"/>
  <c r="B153" i="16"/>
  <c r="C153" i="16" s="1"/>
  <c r="E150" i="16"/>
  <c r="G149" i="16"/>
  <c r="E148" i="16"/>
  <c r="G147" i="16"/>
  <c r="E146" i="16"/>
  <c r="G145" i="16"/>
  <c r="E144" i="16"/>
  <c r="G143" i="16"/>
  <c r="E142" i="16"/>
  <c r="G141" i="16"/>
  <c r="E140" i="16"/>
  <c r="G139" i="16"/>
  <c r="E138" i="16"/>
  <c r="G137" i="16"/>
  <c r="E136" i="16"/>
  <c r="G135" i="16"/>
  <c r="E134" i="16"/>
  <c r="G133" i="16"/>
  <c r="E132" i="16"/>
  <c r="G131" i="16"/>
  <c r="E130" i="16"/>
  <c r="G129" i="16"/>
  <c r="E128" i="16"/>
  <c r="G127" i="16"/>
  <c r="E126" i="16"/>
  <c r="G125" i="16"/>
  <c r="E124" i="16"/>
  <c r="G123" i="16"/>
  <c r="E122" i="16"/>
  <c r="G121" i="16"/>
  <c r="E120" i="16"/>
  <c r="G119" i="16"/>
  <c r="E118" i="16"/>
  <c r="G117" i="16"/>
  <c r="E116" i="16"/>
  <c r="G115" i="16"/>
  <c r="E114" i="16"/>
  <c r="G113" i="16"/>
  <c r="E112" i="16"/>
  <c r="G111" i="16"/>
  <c r="E110" i="16"/>
  <c r="G109" i="16"/>
  <c r="E108" i="16"/>
  <c r="G107" i="16"/>
  <c r="E106" i="16"/>
  <c r="G105" i="16"/>
  <c r="E104" i="16"/>
  <c r="G103" i="16"/>
  <c r="E102" i="16"/>
  <c r="G101" i="16"/>
  <c r="E100" i="16"/>
  <c r="G99" i="16"/>
  <c r="E98" i="16"/>
  <c r="G97" i="16"/>
  <c r="E96" i="16"/>
  <c r="G95" i="16"/>
  <c r="E94" i="16"/>
  <c r="G93" i="16"/>
  <c r="E92" i="16"/>
  <c r="G91" i="16"/>
  <c r="E90" i="16"/>
  <c r="G89" i="16"/>
  <c r="E88" i="16"/>
  <c r="G87" i="16"/>
  <c r="E86" i="16"/>
  <c r="G85" i="16"/>
  <c r="E84" i="16"/>
  <c r="G83" i="16"/>
  <c r="G354" i="16"/>
  <c r="G295" i="16"/>
  <c r="D282" i="16"/>
  <c r="F271" i="16"/>
  <c r="F261" i="16"/>
  <c r="D256" i="16"/>
  <c r="B251" i="16"/>
  <c r="C251" i="16" s="1"/>
  <c r="F245" i="16"/>
  <c r="G241" i="16"/>
  <c r="D238" i="16"/>
  <c r="F234" i="16"/>
  <c r="E225" i="16"/>
  <c r="G222" i="16"/>
  <c r="E217" i="16"/>
  <c r="G214" i="16"/>
  <c r="E209" i="16"/>
  <c r="G206" i="16"/>
  <c r="E201" i="16"/>
  <c r="G198" i="16"/>
  <c r="G194" i="16"/>
  <c r="E193" i="16"/>
  <c r="G190" i="16"/>
  <c r="E189" i="16"/>
  <c r="G186" i="16"/>
  <c r="E185" i="16"/>
  <c r="G182" i="16"/>
  <c r="E181" i="16"/>
  <c r="G178" i="16"/>
  <c r="E177" i="16"/>
  <c r="G174" i="16"/>
  <c r="E173" i="16"/>
  <c r="G170" i="16"/>
  <c r="E169" i="16"/>
  <c r="G166" i="16"/>
  <c r="E165" i="16"/>
  <c r="G162" i="16"/>
  <c r="E161" i="16"/>
  <c r="B159" i="16"/>
  <c r="C159" i="16" s="1"/>
  <c r="D156" i="16"/>
  <c r="E155" i="16"/>
  <c r="E154" i="16"/>
  <c r="F153" i="16"/>
  <c r="G152" i="16"/>
  <c r="G151" i="16"/>
  <c r="B151" i="16"/>
  <c r="C151" i="16" s="1"/>
  <c r="D150" i="16"/>
  <c r="F149" i="16"/>
  <c r="B149" i="16"/>
  <c r="C149" i="16" s="1"/>
  <c r="D148" i="16"/>
  <c r="F147" i="16"/>
  <c r="B147" i="16"/>
  <c r="C147" i="16" s="1"/>
  <c r="D146" i="16"/>
  <c r="F145" i="16"/>
  <c r="B145" i="16"/>
  <c r="C145" i="16" s="1"/>
  <c r="D144" i="16"/>
  <c r="F143" i="16"/>
  <c r="B143" i="16"/>
  <c r="C143" i="16" s="1"/>
  <c r="D142" i="16"/>
  <c r="F141" i="16"/>
  <c r="B141" i="16"/>
  <c r="C141" i="16" s="1"/>
  <c r="D140" i="16"/>
  <c r="F139" i="16"/>
  <c r="B139" i="16"/>
  <c r="C139" i="16" s="1"/>
  <c r="D138" i="16"/>
  <c r="F137" i="16"/>
  <c r="B137" i="16"/>
  <c r="C137" i="16" s="1"/>
  <c r="D136" i="16"/>
  <c r="F135" i="16"/>
  <c r="B135" i="16"/>
  <c r="C135" i="16" s="1"/>
  <c r="D134" i="16"/>
  <c r="F133" i="16"/>
  <c r="B133" i="16"/>
  <c r="C133" i="16" s="1"/>
  <c r="D132" i="16"/>
  <c r="F131" i="16"/>
  <c r="B131" i="16"/>
  <c r="C131" i="16" s="1"/>
  <c r="D130" i="16"/>
  <c r="F129" i="16"/>
  <c r="B129" i="16"/>
  <c r="C129" i="16" s="1"/>
  <c r="D128" i="16"/>
  <c r="F127" i="16"/>
  <c r="B127" i="16"/>
  <c r="C127" i="16" s="1"/>
  <c r="D126" i="16"/>
  <c r="F125" i="16"/>
  <c r="B125" i="16"/>
  <c r="C125" i="16" s="1"/>
  <c r="D124" i="16"/>
  <c r="F123" i="16"/>
  <c r="B123" i="16"/>
  <c r="C123" i="16" s="1"/>
  <c r="D122" i="16"/>
  <c r="F121" i="16"/>
  <c r="B121" i="16"/>
  <c r="C121" i="16" s="1"/>
  <c r="D120" i="16"/>
  <c r="F119" i="16"/>
  <c r="B119" i="16"/>
  <c r="C119" i="16" s="1"/>
  <c r="D118" i="16"/>
  <c r="F117" i="16"/>
  <c r="B117" i="16"/>
  <c r="C117" i="16" s="1"/>
  <c r="D116" i="16"/>
  <c r="F115" i="16"/>
  <c r="B115" i="16"/>
  <c r="C115" i="16" s="1"/>
  <c r="D114" i="16"/>
  <c r="F113" i="16"/>
  <c r="B113" i="16"/>
  <c r="C113" i="16" s="1"/>
  <c r="D112" i="16"/>
  <c r="F111" i="16"/>
  <c r="B111" i="16"/>
  <c r="C111" i="16" s="1"/>
  <c r="D110" i="16"/>
  <c r="F109" i="16"/>
  <c r="B109" i="16"/>
  <c r="C109" i="16" s="1"/>
  <c r="D108" i="16"/>
  <c r="F107" i="16"/>
  <c r="B107" i="16"/>
  <c r="C107" i="16" s="1"/>
  <c r="D106" i="16"/>
  <c r="F105" i="16"/>
  <c r="B105" i="16"/>
  <c r="C105" i="16" s="1"/>
  <c r="D104" i="16"/>
  <c r="F103" i="16"/>
  <c r="B103" i="16"/>
  <c r="C103" i="16" s="1"/>
  <c r="D102" i="16"/>
  <c r="F101" i="16"/>
  <c r="B101" i="16"/>
  <c r="C101" i="16" s="1"/>
  <c r="D100" i="16"/>
  <c r="F99" i="16"/>
  <c r="B99" i="16"/>
  <c r="C99" i="16" s="1"/>
  <c r="D98" i="16"/>
  <c r="F97" i="16"/>
  <c r="B97" i="16"/>
  <c r="C97" i="16" s="1"/>
  <c r="D96" i="16"/>
  <c r="F95" i="16"/>
  <c r="B95" i="16"/>
  <c r="C95" i="16" s="1"/>
  <c r="D94" i="16"/>
  <c r="F93" i="16"/>
  <c r="B93" i="16"/>
  <c r="C93" i="16" s="1"/>
  <c r="D92" i="16"/>
  <c r="F91" i="16"/>
  <c r="B91" i="16"/>
  <c r="C91" i="16" s="1"/>
  <c r="D90" i="16"/>
  <c r="F89" i="16"/>
  <c r="B89" i="16"/>
  <c r="C89" i="16" s="1"/>
  <c r="D88" i="16"/>
  <c r="F87" i="16"/>
  <c r="B87" i="16"/>
  <c r="C87" i="16" s="1"/>
  <c r="D86" i="16"/>
  <c r="F85" i="16"/>
  <c r="B85" i="16"/>
  <c r="C85" i="16" s="1"/>
  <c r="D84" i="16"/>
  <c r="F83" i="16"/>
  <c r="B83" i="16"/>
  <c r="C83" i="16" s="1"/>
  <c r="D82" i="16"/>
  <c r="F81" i="16"/>
  <c r="B81" i="16"/>
  <c r="C81" i="16" s="1"/>
  <c r="D80" i="16"/>
  <c r="F79" i="16"/>
  <c r="G311" i="16"/>
  <c r="F279" i="16"/>
  <c r="B269" i="16"/>
  <c r="C269" i="16" s="1"/>
  <c r="D260" i="16"/>
  <c r="B255" i="16"/>
  <c r="C255" i="16" s="1"/>
  <c r="F249" i="16"/>
  <c r="E244" i="16"/>
  <c r="B241" i="16"/>
  <c r="C241" i="16" s="1"/>
  <c r="D237" i="16"/>
  <c r="G233" i="16"/>
  <c r="D230" i="16"/>
  <c r="E227" i="16"/>
  <c r="G224" i="16"/>
  <c r="E219" i="16"/>
  <c r="G216" i="16"/>
  <c r="E211" i="16"/>
  <c r="G208" i="16"/>
  <c r="E203" i="16"/>
  <c r="G200" i="16"/>
  <c r="F195" i="16"/>
  <c r="D194" i="16"/>
  <c r="B193" i="16"/>
  <c r="C193" i="16" s="1"/>
  <c r="F191" i="16"/>
  <c r="D190" i="16"/>
  <c r="B189" i="16"/>
  <c r="C189" i="16" s="1"/>
  <c r="F187" i="16"/>
  <c r="D186" i="16"/>
  <c r="B185" i="16"/>
  <c r="C185" i="16" s="1"/>
  <c r="F183" i="16"/>
  <c r="D182" i="16"/>
  <c r="B181" i="16"/>
  <c r="C181" i="16" s="1"/>
  <c r="F179" i="16"/>
  <c r="D178" i="16"/>
  <c r="B177" i="16"/>
  <c r="C177" i="16" s="1"/>
  <c r="F175" i="16"/>
  <c r="D174" i="16"/>
  <c r="B173" i="16"/>
  <c r="C173" i="16" s="1"/>
  <c r="F171" i="16"/>
  <c r="D170" i="16"/>
  <c r="B169" i="16"/>
  <c r="C169" i="16" s="1"/>
  <c r="F167" i="16"/>
  <c r="D166" i="16"/>
  <c r="B165" i="16"/>
  <c r="C165" i="16" s="1"/>
  <c r="F163" i="16"/>
  <c r="D162" i="16"/>
  <c r="B161" i="16"/>
  <c r="C161" i="16" s="1"/>
  <c r="F159" i="16"/>
  <c r="G158" i="16"/>
  <c r="G157" i="16"/>
  <c r="B157" i="16"/>
  <c r="C157" i="16" s="1"/>
  <c r="D154" i="16"/>
  <c r="E153" i="16"/>
  <c r="E152" i="16"/>
  <c r="F151" i="16"/>
  <c r="G150" i="16"/>
  <c r="E149" i="16"/>
  <c r="G148" i="16"/>
  <c r="E147" i="16"/>
  <c r="G146" i="16"/>
  <c r="E145" i="16"/>
  <c r="G144" i="16"/>
  <c r="E143" i="16"/>
  <c r="G142" i="16"/>
  <c r="E141" i="16"/>
  <c r="G140" i="16"/>
  <c r="E139" i="16"/>
  <c r="G138" i="16"/>
  <c r="E137" i="16"/>
  <c r="G136" i="16"/>
  <c r="E135" i="16"/>
  <c r="G134" i="16"/>
  <c r="E133" i="16"/>
  <c r="G132" i="16"/>
  <c r="E131" i="16"/>
  <c r="G130" i="16"/>
  <c r="E129" i="16"/>
  <c r="G128" i="16"/>
  <c r="E127" i="16"/>
  <c r="G126" i="16"/>
  <c r="E125" i="16"/>
  <c r="G124" i="16"/>
  <c r="E123" i="16"/>
  <c r="G122" i="16"/>
  <c r="E121" i="16"/>
  <c r="G120" i="16"/>
  <c r="E119" i="16"/>
  <c r="G118" i="16"/>
  <c r="E117" i="16"/>
  <c r="G116" i="16"/>
  <c r="E115" i="16"/>
  <c r="G114" i="16"/>
  <c r="E113" i="16"/>
  <c r="G112" i="16"/>
  <c r="E111" i="16"/>
  <c r="G110" i="16"/>
  <c r="E109" i="16"/>
  <c r="G108" i="16"/>
  <c r="E107" i="16"/>
  <c r="G106" i="16"/>
  <c r="E105" i="16"/>
  <c r="G104" i="16"/>
  <c r="E103" i="16"/>
  <c r="G102" i="16"/>
  <c r="E101" i="16"/>
  <c r="G100" i="16"/>
  <c r="E99" i="16"/>
  <c r="G98" i="16"/>
  <c r="E97" i="16"/>
  <c r="G96" i="16"/>
  <c r="E95" i="16"/>
  <c r="G94" i="16"/>
  <c r="E93" i="16"/>
  <c r="G92" i="16"/>
  <c r="E91" i="16"/>
  <c r="G90" i="16"/>
  <c r="E89" i="16"/>
  <c r="G88" i="16"/>
  <c r="E87" i="16"/>
  <c r="G86" i="16"/>
  <c r="E85" i="16"/>
  <c r="G84" i="16"/>
  <c r="E333" i="16"/>
  <c r="D266" i="16"/>
  <c r="F243" i="16"/>
  <c r="E229" i="16"/>
  <c r="G218" i="16"/>
  <c r="E197" i="16"/>
  <c r="E191" i="16"/>
  <c r="G180" i="16"/>
  <c r="E175" i="16"/>
  <c r="G164" i="16"/>
  <c r="E159" i="16"/>
  <c r="G155" i="16"/>
  <c r="D152" i="16"/>
  <c r="D149" i="16"/>
  <c r="F146" i="16"/>
  <c r="B144" i="16"/>
  <c r="C144" i="16" s="1"/>
  <c r="D141" i="16"/>
  <c r="F138" i="16"/>
  <c r="B136" i="16"/>
  <c r="C136" i="16" s="1"/>
  <c r="D133" i="16"/>
  <c r="F130" i="16"/>
  <c r="B128" i="16"/>
  <c r="C128" i="16" s="1"/>
  <c r="D125" i="16"/>
  <c r="F122" i="16"/>
  <c r="B120" i="16"/>
  <c r="C120" i="16" s="1"/>
  <c r="D117" i="16"/>
  <c r="F114" i="16"/>
  <c r="B112" i="16"/>
  <c r="C112" i="16" s="1"/>
  <c r="D109" i="16"/>
  <c r="F106" i="16"/>
  <c r="B104" i="16"/>
  <c r="C104" i="16" s="1"/>
  <c r="D101" i="16"/>
  <c r="F98" i="16"/>
  <c r="B96" i="16"/>
  <c r="C96" i="16" s="1"/>
  <c r="D93" i="16"/>
  <c r="F90" i="16"/>
  <c r="B88" i="16"/>
  <c r="C88" i="16" s="1"/>
  <c r="D85" i="16"/>
  <c r="D83" i="16"/>
  <c r="E82" i="16"/>
  <c r="E81" i="16"/>
  <c r="F80" i="16"/>
  <c r="G79" i="16"/>
  <c r="B79" i="16"/>
  <c r="C79" i="16" s="1"/>
  <c r="D78" i="16"/>
  <c r="F77" i="16"/>
  <c r="B77" i="16"/>
  <c r="C77" i="16" s="1"/>
  <c r="D76" i="16"/>
  <c r="F75" i="16"/>
  <c r="B75" i="16"/>
  <c r="C75" i="16" s="1"/>
  <c r="D74" i="16"/>
  <c r="F73" i="16"/>
  <c r="B73" i="16"/>
  <c r="C73" i="16" s="1"/>
  <c r="D72" i="16"/>
  <c r="F71" i="16"/>
  <c r="B71" i="16"/>
  <c r="C71" i="16" s="1"/>
  <c r="D70" i="16"/>
  <c r="F69" i="16"/>
  <c r="B69" i="16"/>
  <c r="C69" i="16" s="1"/>
  <c r="D68" i="16"/>
  <c r="F67" i="16"/>
  <c r="B67" i="16"/>
  <c r="C67" i="16" s="1"/>
  <c r="D66" i="16"/>
  <c r="F65" i="16"/>
  <c r="B65" i="16"/>
  <c r="C65" i="16" s="1"/>
  <c r="D64" i="16"/>
  <c r="F63" i="16"/>
  <c r="B63" i="16"/>
  <c r="C63" i="16" s="1"/>
  <c r="D62" i="16"/>
  <c r="F61" i="16"/>
  <c r="B61" i="16"/>
  <c r="C61" i="16" s="1"/>
  <c r="D60" i="16"/>
  <c r="F59" i="16"/>
  <c r="B59" i="16"/>
  <c r="C59" i="16" s="1"/>
  <c r="D58" i="16"/>
  <c r="F57" i="16"/>
  <c r="B57" i="16"/>
  <c r="C57" i="16" s="1"/>
  <c r="D55" i="16"/>
  <c r="F54" i="16"/>
  <c r="G53" i="16"/>
  <c r="B53" i="16"/>
  <c r="C53" i="16" s="1"/>
  <c r="D51" i="16"/>
  <c r="F50" i="16"/>
  <c r="G49" i="16"/>
  <c r="B49" i="16"/>
  <c r="C49" i="16" s="1"/>
  <c r="D47" i="16"/>
  <c r="F46" i="16"/>
  <c r="G45" i="16"/>
  <c r="B45" i="16"/>
  <c r="C45" i="16" s="1"/>
  <c r="D43" i="16"/>
  <c r="B41" i="16"/>
  <c r="C41" i="16" s="1"/>
  <c r="B39" i="16"/>
  <c r="C39" i="16" s="1"/>
  <c r="B37" i="16"/>
  <c r="C37" i="16" s="1"/>
  <c r="B35" i="16"/>
  <c r="C35" i="16" s="1"/>
  <c r="B33" i="16"/>
  <c r="C33" i="16" s="1"/>
  <c r="B31" i="16"/>
  <c r="C31" i="16" s="1"/>
  <c r="B27" i="16"/>
  <c r="C27" i="16" s="1"/>
  <c r="B23" i="16"/>
  <c r="C23" i="16" s="1"/>
  <c r="B19" i="16"/>
  <c r="C19" i="16" s="1"/>
  <c r="E306" i="16"/>
  <c r="B259" i="16"/>
  <c r="C259" i="16" s="1"/>
  <c r="B240" i="16"/>
  <c r="C240" i="16" s="1"/>
  <c r="G226" i="16"/>
  <c r="E205" i="16"/>
  <c r="E195" i="16"/>
  <c r="G184" i="16"/>
  <c r="E179" i="16"/>
  <c r="G168" i="16"/>
  <c r="E163" i="16"/>
  <c r="E158" i="16"/>
  <c r="B155" i="16"/>
  <c r="C155" i="16" s="1"/>
  <c r="E151" i="16"/>
  <c r="F148" i="16"/>
  <c r="B146" i="16"/>
  <c r="C146" i="16" s="1"/>
  <c r="D143" i="16"/>
  <c r="F140" i="16"/>
  <c r="B138" i="16"/>
  <c r="C138" i="16" s="1"/>
  <c r="D135" i="16"/>
  <c r="F132" i="16"/>
  <c r="B130" i="16"/>
  <c r="C130" i="16" s="1"/>
  <c r="D127" i="16"/>
  <c r="F124" i="16"/>
  <c r="B122" i="16"/>
  <c r="C122" i="16" s="1"/>
  <c r="D119" i="16"/>
  <c r="F116" i="16"/>
  <c r="B114" i="16"/>
  <c r="C114" i="16" s="1"/>
  <c r="D111" i="16"/>
  <c r="F108" i="16"/>
  <c r="B106" i="16"/>
  <c r="C106" i="16" s="1"/>
  <c r="D103" i="16"/>
  <c r="F100" i="16"/>
  <c r="B98" i="16"/>
  <c r="C98" i="16" s="1"/>
  <c r="D95" i="16"/>
  <c r="F92" i="16"/>
  <c r="B90" i="16"/>
  <c r="C90" i="16" s="1"/>
  <c r="D87" i="16"/>
  <c r="F84" i="16"/>
  <c r="D81" i="16"/>
  <c r="E80" i="16"/>
  <c r="E79" i="16"/>
  <c r="G78" i="16"/>
  <c r="E77" i="16"/>
  <c r="G76" i="16"/>
  <c r="E75" i="16"/>
  <c r="G74" i="16"/>
  <c r="E73" i="16"/>
  <c r="G72" i="16"/>
  <c r="E71" i="16"/>
  <c r="G70" i="16"/>
  <c r="E69" i="16"/>
  <c r="G68" i="16"/>
  <c r="E67" i="16"/>
  <c r="G66" i="16"/>
  <c r="E65" i="16"/>
  <c r="G64" i="16"/>
  <c r="E63" i="16"/>
  <c r="G62" i="16"/>
  <c r="E61" i="16"/>
  <c r="G60" i="16"/>
  <c r="E59" i="16"/>
  <c r="G58" i="16"/>
  <c r="E57" i="16"/>
  <c r="G56" i="16"/>
  <c r="B56" i="16"/>
  <c r="C56" i="16" s="1"/>
  <c r="D54" i="16"/>
  <c r="F53" i="16"/>
  <c r="G52" i="16"/>
  <c r="B52" i="16"/>
  <c r="C52" i="16" s="1"/>
  <c r="D50" i="16"/>
  <c r="F49" i="16"/>
  <c r="G48" i="16"/>
  <c r="B48" i="16"/>
  <c r="C48" i="16" s="1"/>
  <c r="D46" i="16"/>
  <c r="F45" i="16"/>
  <c r="G44" i="16"/>
  <c r="B44" i="16"/>
  <c r="C44" i="16" s="1"/>
  <c r="B28" i="16"/>
  <c r="C28" i="16" s="1"/>
  <c r="B24" i="16"/>
  <c r="C24" i="16" s="1"/>
  <c r="B20" i="16"/>
  <c r="C20" i="16" s="1"/>
  <c r="B16" i="16"/>
  <c r="C16" i="16" s="1"/>
  <c r="F287" i="16"/>
  <c r="F253" i="16"/>
  <c r="E236" i="16"/>
  <c r="E213" i="16"/>
  <c r="G202" i="16"/>
  <c r="G188" i="16"/>
  <c r="E183" i="16"/>
  <c r="G172" i="16"/>
  <c r="E167" i="16"/>
  <c r="F157" i="16"/>
  <c r="F150" i="16"/>
  <c r="B148" i="16"/>
  <c r="C148" i="16" s="1"/>
  <c r="D145" i="16"/>
  <c r="F142" i="16"/>
  <c r="B140" i="16"/>
  <c r="C140" i="16" s="1"/>
  <c r="D137" i="16"/>
  <c r="F134" i="16"/>
  <c r="B132" i="16"/>
  <c r="C132" i="16" s="1"/>
  <c r="D129" i="16"/>
  <c r="F126" i="16"/>
  <c r="B124" i="16"/>
  <c r="C124" i="16" s="1"/>
  <c r="D121" i="16"/>
  <c r="F118" i="16"/>
  <c r="B116" i="16"/>
  <c r="C116" i="16" s="1"/>
  <c r="D113" i="16"/>
  <c r="F110" i="16"/>
  <c r="B108" i="16"/>
  <c r="C108" i="16" s="1"/>
  <c r="D105" i="16"/>
  <c r="F102" i="16"/>
  <c r="B100" i="16"/>
  <c r="C100" i="16" s="1"/>
  <c r="D97" i="16"/>
  <c r="F94" i="16"/>
  <c r="B92" i="16"/>
  <c r="C92" i="16" s="1"/>
  <c r="D89" i="16"/>
  <c r="F86" i="16"/>
  <c r="B84" i="16"/>
  <c r="C84" i="16" s="1"/>
  <c r="G82" i="16"/>
  <c r="B82" i="16"/>
  <c r="C82" i="16" s="1"/>
  <c r="D79" i="16"/>
  <c r="F78" i="16"/>
  <c r="B78" i="16"/>
  <c r="C78" i="16" s="1"/>
  <c r="D77" i="16"/>
  <c r="F76" i="16"/>
  <c r="B76" i="16"/>
  <c r="C76" i="16" s="1"/>
  <c r="D75" i="16"/>
  <c r="F74" i="16"/>
  <c r="B74" i="16"/>
  <c r="C74" i="16" s="1"/>
  <c r="D73" i="16"/>
  <c r="F72" i="16"/>
  <c r="B72" i="16"/>
  <c r="C72" i="16" s="1"/>
  <c r="D71" i="16"/>
  <c r="F70" i="16"/>
  <c r="B70" i="16"/>
  <c r="C70" i="16" s="1"/>
  <c r="D69" i="16"/>
  <c r="F68" i="16"/>
  <c r="B68" i="16"/>
  <c r="C68" i="16" s="1"/>
  <c r="D67" i="16"/>
  <c r="F66" i="16"/>
  <c r="B66" i="16"/>
  <c r="C66" i="16" s="1"/>
  <c r="D65" i="16"/>
  <c r="F64" i="16"/>
  <c r="B64" i="16"/>
  <c r="C64" i="16" s="1"/>
  <c r="D63" i="16"/>
  <c r="F62" i="16"/>
  <c r="B62" i="16"/>
  <c r="C62" i="16" s="1"/>
  <c r="D61" i="16"/>
  <c r="F60" i="16"/>
  <c r="B60" i="16"/>
  <c r="C60" i="16" s="1"/>
  <c r="D59" i="16"/>
  <c r="F58" i="16"/>
  <c r="B58" i="16"/>
  <c r="C58" i="16" s="1"/>
  <c r="D57" i="16"/>
  <c r="F56" i="16"/>
  <c r="G55" i="16"/>
  <c r="B55" i="16"/>
  <c r="C55" i="16" s="1"/>
  <c r="D53" i="16"/>
  <c r="F52" i="16"/>
  <c r="G51" i="16"/>
  <c r="B51" i="16"/>
  <c r="C51" i="16" s="1"/>
  <c r="D49" i="16"/>
  <c r="F48" i="16"/>
  <c r="G47" i="16"/>
  <c r="B47" i="16"/>
  <c r="C47" i="16" s="1"/>
  <c r="D45" i="16"/>
  <c r="F44" i="16"/>
  <c r="G43" i="16"/>
  <c r="B43" i="16"/>
  <c r="C43" i="16" s="1"/>
  <c r="B40" i="16"/>
  <c r="C40" i="16" s="1"/>
  <c r="B38" i="16"/>
  <c r="C38" i="16" s="1"/>
  <c r="B36" i="16"/>
  <c r="C36" i="16" s="1"/>
  <c r="B34" i="16"/>
  <c r="C34" i="16" s="1"/>
  <c r="B32" i="16"/>
  <c r="C32" i="16" s="1"/>
  <c r="B29" i="16"/>
  <c r="C29" i="16" s="1"/>
  <c r="B25" i="16"/>
  <c r="C25" i="16" s="1"/>
  <c r="B21" i="16"/>
  <c r="C21" i="16" s="1"/>
  <c r="B17" i="16"/>
  <c r="C17" i="16" s="1"/>
  <c r="B277" i="16"/>
  <c r="C277" i="16" s="1"/>
  <c r="D248" i="16"/>
  <c r="B233" i="16"/>
  <c r="C233" i="16" s="1"/>
  <c r="E221" i="16"/>
  <c r="G210" i="16"/>
  <c r="G192" i="16"/>
  <c r="E187" i="16"/>
  <c r="G176" i="16"/>
  <c r="E171" i="16"/>
  <c r="G160" i="16"/>
  <c r="G156" i="16"/>
  <c r="B150" i="16"/>
  <c r="C150" i="16" s="1"/>
  <c r="D147" i="16"/>
  <c r="F144" i="16"/>
  <c r="B142" i="16"/>
  <c r="C142" i="16" s="1"/>
  <c r="D139" i="16"/>
  <c r="F136" i="16"/>
  <c r="B134" i="16"/>
  <c r="C134" i="16" s="1"/>
  <c r="D131" i="16"/>
  <c r="F128" i="16"/>
  <c r="B126" i="16"/>
  <c r="C126" i="16" s="1"/>
  <c r="D123" i="16"/>
  <c r="F120" i="16"/>
  <c r="B118" i="16"/>
  <c r="C118" i="16" s="1"/>
  <c r="D115" i="16"/>
  <c r="F112" i="16"/>
  <c r="B110" i="16"/>
  <c r="C110" i="16" s="1"/>
  <c r="D107" i="16"/>
  <c r="F104" i="16"/>
  <c r="B102" i="16"/>
  <c r="C102" i="16" s="1"/>
  <c r="D99" i="16"/>
  <c r="F96" i="16"/>
  <c r="B94" i="16"/>
  <c r="C94" i="16" s="1"/>
  <c r="D91" i="16"/>
  <c r="F88" i="16"/>
  <c r="B86" i="16"/>
  <c r="C86" i="16" s="1"/>
  <c r="E83" i="16"/>
  <c r="F82" i="16"/>
  <c r="G81" i="16"/>
  <c r="G80" i="16"/>
  <c r="B80" i="16"/>
  <c r="C80" i="16" s="1"/>
  <c r="E78" i="16"/>
  <c r="G77" i="16"/>
  <c r="E76" i="16"/>
  <c r="G75" i="16"/>
  <c r="E74" i="16"/>
  <c r="G73" i="16"/>
  <c r="E72" i="16"/>
  <c r="G71" i="16"/>
  <c r="E70" i="16"/>
  <c r="G69" i="16"/>
  <c r="E68" i="16"/>
  <c r="G67" i="16"/>
  <c r="E66" i="16"/>
  <c r="G65" i="16"/>
  <c r="E64" i="16"/>
  <c r="G63" i="16"/>
  <c r="E62" i="16"/>
  <c r="G61" i="16"/>
  <c r="E60" i="16"/>
  <c r="G59" i="16"/>
  <c r="E58" i="16"/>
  <c r="G57" i="16"/>
  <c r="D56" i="16"/>
  <c r="F55" i="16"/>
  <c r="G54" i="16"/>
  <c r="B54" i="16"/>
  <c r="C54" i="16" s="1"/>
  <c r="D52" i="16"/>
  <c r="F51" i="16"/>
  <c r="G50" i="16"/>
  <c r="B50" i="16"/>
  <c r="C50" i="16" s="1"/>
  <c r="D48" i="16"/>
  <c r="F47" i="16"/>
  <c r="G46" i="16"/>
  <c r="B46" i="16"/>
  <c r="C46" i="16" s="1"/>
  <c r="D44" i="16"/>
  <c r="F43" i="16"/>
  <c r="B42" i="16"/>
  <c r="C42" i="16" s="1"/>
  <c r="B30" i="16"/>
  <c r="C30" i="16" s="1"/>
  <c r="B26" i="16"/>
  <c r="C26" i="16" s="1"/>
  <c r="B22" i="16"/>
  <c r="C22" i="16" s="1"/>
  <c r="B18" i="16"/>
  <c r="C18" i="16" s="1"/>
  <c r="H14" i="16"/>
  <c r="G11" i="16"/>
  <c r="G13" i="16" s="1"/>
  <c r="G12" i="16" s="1"/>
  <c r="E40" i="16" l="1"/>
  <c r="AC37" i="1" s="1"/>
  <c r="E31" i="16"/>
  <c r="T37" i="1" s="1"/>
  <c r="E20" i="16"/>
  <c r="I37" i="1" s="1"/>
  <c r="E32" i="16"/>
  <c r="U37" i="1" s="1"/>
  <c r="E42" i="16"/>
  <c r="AE37" i="1" s="1"/>
  <c r="E41" i="16"/>
  <c r="AD37" i="1" s="1"/>
  <c r="E19" i="16"/>
  <c r="H37" i="1" s="1"/>
  <c r="E34" i="16"/>
  <c r="W37" i="1" s="1"/>
  <c r="D42" i="16"/>
  <c r="AE36" i="1" s="1"/>
  <c r="E17" i="16"/>
  <c r="F37" i="1" s="1"/>
  <c r="D19" i="16"/>
  <c r="H36" i="1" s="1"/>
  <c r="D37" i="16"/>
  <c r="Z36" i="1" s="1"/>
  <c r="E37" i="16"/>
  <c r="Z37" i="1" s="1"/>
  <c r="D33" i="16"/>
  <c r="V36" i="1" s="1"/>
  <c r="E21" i="16"/>
  <c r="J37" i="1" s="1"/>
  <c r="D20" i="16"/>
  <c r="I36" i="1" s="1"/>
  <c r="E29" i="16"/>
  <c r="R37" i="1" s="1"/>
  <c r="D28" i="16"/>
  <c r="Q36" i="1" s="1"/>
  <c r="E28" i="16"/>
  <c r="Q37" i="1" s="1"/>
  <c r="E38" i="16"/>
  <c r="AA37" i="1" s="1"/>
  <c r="D35" i="16"/>
  <c r="X36" i="1" s="1"/>
  <c r="E23" i="16"/>
  <c r="L37" i="1" s="1"/>
  <c r="E33" i="16"/>
  <c r="V37" i="1" s="1"/>
  <c r="D23" i="16"/>
  <c r="L36" i="1" s="1"/>
  <c r="D41" i="16"/>
  <c r="AD36" i="1" s="1"/>
  <c r="E35" i="16"/>
  <c r="X37" i="1" s="1"/>
  <c r="D27" i="16"/>
  <c r="P36" i="1" s="1"/>
  <c r="D39" i="16"/>
  <c r="AB36" i="1" s="1"/>
  <c r="E27" i="16"/>
  <c r="P37" i="1" s="1"/>
  <c r="E39" i="16"/>
  <c r="AB37" i="1" s="1"/>
  <c r="D36" i="16"/>
  <c r="Y36" i="1" s="1"/>
  <c r="D24" i="16"/>
  <c r="M36" i="1" s="1"/>
  <c r="E36" i="16"/>
  <c r="Y37" i="1" s="1"/>
  <c r="D40" i="16"/>
  <c r="AC36" i="1" s="1"/>
  <c r="E25" i="16"/>
  <c r="N37" i="1" s="1"/>
  <c r="E24" i="16"/>
  <c r="M37" i="1" s="1"/>
  <c r="D38" i="16"/>
  <c r="AA36" i="1" s="1"/>
  <c r="D31" i="16"/>
  <c r="T36" i="1" s="1"/>
  <c r="D34" i="16"/>
  <c r="W36" i="1" s="1"/>
  <c r="D32" i="16"/>
  <c r="U36" i="1" s="1"/>
  <c r="D22" i="16"/>
  <c r="K36" i="1" s="1"/>
  <c r="D18" i="16"/>
  <c r="G36" i="1" s="1"/>
  <c r="E22" i="16"/>
  <c r="K37" i="1" s="1"/>
  <c r="D25" i="16"/>
  <c r="N36" i="1" s="1"/>
  <c r="E26" i="16"/>
  <c r="O37" i="1" s="1"/>
  <c r="D29" i="16"/>
  <c r="R36" i="1" s="1"/>
  <c r="D26" i="16"/>
  <c r="O36" i="1" s="1"/>
  <c r="D17" i="16"/>
  <c r="F36" i="1" s="1"/>
  <c r="E30" i="16"/>
  <c r="S37" i="1" s="1"/>
  <c r="D16" i="16"/>
  <c r="E16" i="16"/>
  <c r="D30" i="16"/>
  <c r="S36" i="1" s="1"/>
  <c r="E18" i="16"/>
  <c r="G37" i="1" s="1"/>
  <c r="D21" i="16"/>
  <c r="J36" i="1" s="1"/>
  <c r="F16" i="16" l="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E37" i="1"/>
  <c r="G16" i="16"/>
  <c r="G17" i="16" s="1"/>
  <c r="E36" i="1"/>
  <c r="H15" i="16" l="1"/>
  <c r="G18" i="16"/>
  <c r="H16" i="16"/>
  <c r="G19" i="16" l="1"/>
  <c r="H17" i="16"/>
  <c r="G20" i="16" l="1"/>
  <c r="H18" i="16"/>
  <c r="H19" i="16" l="1"/>
  <c r="G21" i="16"/>
  <c r="G22" i="16" l="1"/>
  <c r="H20" i="16"/>
  <c r="H21" i="16" l="1"/>
  <c r="G23" i="16"/>
  <c r="G24" i="16" l="1"/>
  <c r="H22" i="16"/>
  <c r="G25" i="16" l="1"/>
  <c r="H23" i="16"/>
  <c r="H24" i="16" l="1"/>
  <c r="G26" i="16"/>
  <c r="H25" i="16" l="1"/>
  <c r="G27" i="16"/>
  <c r="H26" i="16" l="1"/>
  <c r="G28" i="16"/>
  <c r="H27" i="16" l="1"/>
  <c r="G29" i="16"/>
  <c r="H28" i="16" l="1"/>
  <c r="G30" i="16"/>
  <c r="H29" i="16" l="1"/>
  <c r="G31" i="16"/>
  <c r="O8" i="1"/>
  <c r="H30" i="16" l="1"/>
  <c r="G32" i="16"/>
  <c r="G33" i="16" s="1"/>
  <c r="G34" i="16" s="1"/>
  <c r="G35" i="16" s="1"/>
  <c r="G36" i="16" s="1"/>
  <c r="G37" i="16" s="1"/>
  <c r="G38" i="16" s="1"/>
  <c r="G39" i="16" s="1"/>
  <c r="G40" i="16" s="1"/>
  <c r="G41" i="16" s="1"/>
  <c r="G42" i="16" s="1"/>
  <c r="O12" i="1"/>
  <c r="E47" i="1" s="1"/>
  <c r="F16" i="1"/>
  <c r="G16" i="1" s="1"/>
  <c r="H16" i="1" s="1"/>
  <c r="I16" i="1" s="1"/>
  <c r="O14" i="1"/>
  <c r="K8" i="1"/>
  <c r="R9" i="1"/>
  <c r="O15" i="1"/>
  <c r="O13" i="1"/>
  <c r="B38" i="1"/>
  <c r="B24" i="1"/>
  <c r="E24" i="1"/>
  <c r="B25" i="1"/>
  <c r="E25" i="1"/>
  <c r="J44" i="1"/>
  <c r="K44" i="1"/>
  <c r="L44" i="1"/>
  <c r="M44" i="1"/>
  <c r="N44" i="1"/>
  <c r="N18" i="1"/>
  <c r="B26" i="1"/>
  <c r="P44" i="1"/>
  <c r="Q44" i="1"/>
  <c r="R44" i="1"/>
  <c r="S44" i="1"/>
  <c r="T44" i="1"/>
  <c r="U44" i="1"/>
  <c r="V44" i="1"/>
  <c r="W44" i="1"/>
  <c r="X44" i="1"/>
  <c r="Y44" i="1"/>
  <c r="Z44" i="1"/>
  <c r="AA44" i="1"/>
  <c r="AB44" i="1"/>
  <c r="AC44" i="1"/>
  <c r="AD44" i="1"/>
  <c r="AE44" i="1"/>
  <c r="F6" i="2"/>
  <c r="D22" i="1"/>
  <c r="D24" i="1" s="1"/>
  <c r="B23" i="1"/>
  <c r="G23" i="1" s="1"/>
  <c r="A23" i="1" s="1"/>
  <c r="D23" i="1"/>
  <c r="D27" i="1"/>
  <c r="F18" i="1"/>
  <c r="G18" i="1"/>
  <c r="H18" i="1"/>
  <c r="H23" i="1"/>
  <c r="I18" i="1"/>
  <c r="I23" i="1"/>
  <c r="J18" i="1"/>
  <c r="K18" i="1"/>
  <c r="L18" i="1"/>
  <c r="M18" i="1"/>
  <c r="O18" i="1"/>
  <c r="P18" i="1"/>
  <c r="Q18" i="1"/>
  <c r="R38" i="1"/>
  <c r="R18" i="1"/>
  <c r="S38" i="1"/>
  <c r="S18" i="1"/>
  <c r="T38" i="1"/>
  <c r="T18" i="1"/>
  <c r="U38" i="1"/>
  <c r="U18" i="1"/>
  <c r="V18" i="1"/>
  <c r="W18" i="1"/>
  <c r="X18" i="1"/>
  <c r="Y18" i="1"/>
  <c r="Z18" i="1"/>
  <c r="AA18" i="1"/>
  <c r="AB18" i="1"/>
  <c r="AC18" i="1"/>
  <c r="AD18" i="1"/>
  <c r="AE18" i="1"/>
  <c r="B46" i="1"/>
  <c r="LF36" i="1"/>
  <c r="LE36" i="1"/>
  <c r="LD36" i="1"/>
  <c r="LC36" i="1"/>
  <c r="LB36" i="1"/>
  <c r="LA36" i="1"/>
  <c r="KZ36" i="1"/>
  <c r="KY36" i="1"/>
  <c r="KX36" i="1"/>
  <c r="KW36" i="1"/>
  <c r="KV36" i="1"/>
  <c r="KU36" i="1"/>
  <c r="KT36" i="1"/>
  <c r="KS36" i="1"/>
  <c r="KR36" i="1"/>
  <c r="KQ36" i="1"/>
  <c r="KP36" i="1"/>
  <c r="KO36" i="1"/>
  <c r="KN36" i="1"/>
  <c r="KM36" i="1"/>
  <c r="KL36" i="1"/>
  <c r="KK36" i="1"/>
  <c r="KJ36" i="1"/>
  <c r="KI36" i="1"/>
  <c r="KH36" i="1"/>
  <c r="KG36" i="1"/>
  <c r="KF36" i="1"/>
  <c r="KE36" i="1"/>
  <c r="KD36" i="1"/>
  <c r="KC36" i="1"/>
  <c r="KB36" i="1"/>
  <c r="KA36" i="1"/>
  <c r="JZ36" i="1"/>
  <c r="JY36" i="1"/>
  <c r="JX36" i="1"/>
  <c r="JW36" i="1"/>
  <c r="JV36" i="1"/>
  <c r="JU36" i="1"/>
  <c r="JT36" i="1"/>
  <c r="JS36" i="1"/>
  <c r="JR36" i="1"/>
  <c r="JQ36" i="1"/>
  <c r="JP36" i="1"/>
  <c r="JO36" i="1"/>
  <c r="JN36" i="1"/>
  <c r="JM36" i="1"/>
  <c r="JL36" i="1"/>
  <c r="JK36" i="1"/>
  <c r="JJ36" i="1"/>
  <c r="JI36" i="1"/>
  <c r="JH36" i="1"/>
  <c r="JG36" i="1"/>
  <c r="JF36" i="1"/>
  <c r="JE36" i="1"/>
  <c r="JD36" i="1"/>
  <c r="JC36" i="1"/>
  <c r="JB36" i="1"/>
  <c r="JA36" i="1"/>
  <c r="IZ36" i="1"/>
  <c r="IY36" i="1"/>
  <c r="IX36" i="1"/>
  <c r="IW36" i="1"/>
  <c r="IV36" i="1"/>
  <c r="IU36" i="1"/>
  <c r="IT36" i="1"/>
  <c r="IS36" i="1"/>
  <c r="IR36" i="1"/>
  <c r="IQ36" i="1"/>
  <c r="IP36" i="1"/>
  <c r="IO36" i="1"/>
  <c r="IN36" i="1"/>
  <c r="IM36" i="1"/>
  <c r="IL36" i="1"/>
  <c r="IK36" i="1"/>
  <c r="IJ36" i="1"/>
  <c r="II36" i="1"/>
  <c r="IH36" i="1"/>
  <c r="IG36" i="1"/>
  <c r="IF36" i="1"/>
  <c r="IE36" i="1"/>
  <c r="ID36" i="1"/>
  <c r="IC36" i="1"/>
  <c r="IB36" i="1"/>
  <c r="IA36" i="1"/>
  <c r="HZ36" i="1"/>
  <c r="HY36" i="1"/>
  <c r="HX36" i="1"/>
  <c r="HW36" i="1"/>
  <c r="HV36" i="1"/>
  <c r="HU36" i="1"/>
  <c r="HT36" i="1"/>
  <c r="HS36" i="1"/>
  <c r="HR36" i="1"/>
  <c r="HQ36" i="1"/>
  <c r="HP36" i="1"/>
  <c r="HO36" i="1"/>
  <c r="HN36" i="1"/>
  <c r="HM36" i="1"/>
  <c r="HL36" i="1"/>
  <c r="HK36" i="1"/>
  <c r="HJ36" i="1"/>
  <c r="HI36" i="1"/>
  <c r="HH36" i="1"/>
  <c r="HG36" i="1"/>
  <c r="HF36" i="1"/>
  <c r="HE36" i="1"/>
  <c r="HD36" i="1"/>
  <c r="HC36" i="1"/>
  <c r="HB36" i="1"/>
  <c r="HA36" i="1"/>
  <c r="GZ36" i="1"/>
  <c r="GY36" i="1"/>
  <c r="GX36" i="1"/>
  <c r="GW36" i="1"/>
  <c r="GV36" i="1"/>
  <c r="GU36" i="1"/>
  <c r="GT36" i="1"/>
  <c r="GS36" i="1"/>
  <c r="GR36" i="1"/>
  <c r="GQ36" i="1"/>
  <c r="GP36" i="1"/>
  <c r="GO36" i="1"/>
  <c r="GN36" i="1"/>
  <c r="GM36" i="1"/>
  <c r="GL36" i="1"/>
  <c r="GK36" i="1"/>
  <c r="GJ36" i="1"/>
  <c r="GI36" i="1"/>
  <c r="GH36" i="1"/>
  <c r="GG36" i="1"/>
  <c r="GF36" i="1"/>
  <c r="GE36" i="1"/>
  <c r="GD36" i="1"/>
  <c r="GC36" i="1"/>
  <c r="GB36" i="1"/>
  <c r="GA36" i="1"/>
  <c r="FZ36" i="1"/>
  <c r="FY36" i="1"/>
  <c r="FX36" i="1"/>
  <c r="FW36" i="1"/>
  <c r="FV36" i="1"/>
  <c r="FU36" i="1"/>
  <c r="FT36" i="1"/>
  <c r="FS36" i="1"/>
  <c r="FR36" i="1"/>
  <c r="FQ36" i="1"/>
  <c r="FP36" i="1"/>
  <c r="FO36" i="1"/>
  <c r="FN36" i="1"/>
  <c r="FM36" i="1"/>
  <c r="FL36" i="1"/>
  <c r="FK36" i="1"/>
  <c r="FJ36" i="1"/>
  <c r="FI36" i="1"/>
  <c r="FH36" i="1"/>
  <c r="FG36" i="1"/>
  <c r="FF36" i="1"/>
  <c r="FE36" i="1"/>
  <c r="FD36" i="1"/>
  <c r="FC36" i="1"/>
  <c r="FB36" i="1"/>
  <c r="FA36" i="1"/>
  <c r="EZ36" i="1"/>
  <c r="EY36" i="1"/>
  <c r="EX36" i="1"/>
  <c r="EW36" i="1"/>
  <c r="EV36" i="1"/>
  <c r="EU36" i="1"/>
  <c r="ET36" i="1"/>
  <c r="ES36" i="1"/>
  <c r="ER36" i="1"/>
  <c r="EQ36" i="1"/>
  <c r="EP36" i="1"/>
  <c r="EO36" i="1"/>
  <c r="EN36" i="1"/>
  <c r="EM36" i="1"/>
  <c r="EL36" i="1"/>
  <c r="EK36" i="1"/>
  <c r="EJ36" i="1"/>
  <c r="EI36" i="1"/>
  <c r="EH36" i="1"/>
  <c r="EG36" i="1"/>
  <c r="EF36" i="1"/>
  <c r="EE36" i="1"/>
  <c r="ED36" i="1"/>
  <c r="LL36" i="1"/>
  <c r="LK36" i="1"/>
  <c r="LJ36" i="1"/>
  <c r="LI36" i="1"/>
  <c r="LH36" i="1"/>
  <c r="LG36" i="1"/>
  <c r="V38" i="1"/>
  <c r="W38" i="1"/>
  <c r="X38" i="1"/>
  <c r="Y38" i="1"/>
  <c r="Z38" i="1"/>
  <c r="AA38" i="1"/>
  <c r="AB38" i="1"/>
  <c r="AC38" i="1"/>
  <c r="AD38" i="1"/>
  <c r="G45" i="1"/>
  <c r="I45" i="1"/>
  <c r="J45" i="1"/>
  <c r="S45" i="1"/>
  <c r="T45" i="1"/>
  <c r="L8" i="3"/>
  <c r="M8" i="3"/>
  <c r="R13" i="1"/>
  <c r="B37" i="1"/>
  <c r="AE38" i="1"/>
  <c r="W45" i="1"/>
  <c r="X45" i="1"/>
  <c r="Y45" i="1"/>
  <c r="AA45" i="1"/>
  <c r="AB45" i="1"/>
  <c r="AC45" i="1"/>
  <c r="AD45" i="1"/>
  <c r="G50" i="1"/>
  <c r="N14" i="3"/>
  <c r="O14" i="3"/>
  <c r="P14" i="3"/>
  <c r="Q14" i="3"/>
  <c r="R14" i="3"/>
  <c r="S14" i="3"/>
  <c r="T14" i="3"/>
  <c r="U14" i="3"/>
  <c r="V14" i="3"/>
  <c r="W14" i="3"/>
  <c r="X14" i="3"/>
  <c r="Y14" i="3"/>
  <c r="Z14" i="3"/>
  <c r="AA14" i="3"/>
  <c r="AB14" i="3"/>
  <c r="AC14" i="3"/>
  <c r="AD14" i="3"/>
  <c r="AE14" i="3"/>
  <c r="D6" i="3"/>
  <c r="E6" i="3"/>
  <c r="F6" i="3" s="1"/>
  <c r="G6" i="3" s="1"/>
  <c r="H6" i="3" s="1"/>
  <c r="I6" i="3" s="1"/>
  <c r="A24" i="1"/>
  <c r="A8" i="3"/>
  <c r="A9" i="3"/>
  <c r="A10" i="3"/>
  <c r="A11" i="3"/>
  <c r="A7" i="3"/>
  <c r="M9" i="4"/>
  <c r="B10" i="3" s="1"/>
  <c r="I10" i="3" s="1"/>
  <c r="J10" i="3" s="1"/>
  <c r="K10" i="3" s="1"/>
  <c r="L10" i="3" s="1"/>
  <c r="M10" i="3" s="1"/>
  <c r="M10" i="4"/>
  <c r="B11" i="3" s="1"/>
  <c r="B12" i="3"/>
  <c r="B13" i="3"/>
  <c r="E29" i="4"/>
  <c r="M7" i="4"/>
  <c r="B8" i="3" s="1"/>
  <c r="D8" i="3" s="1"/>
  <c r="M8" i="4"/>
  <c r="B9" i="3" s="1"/>
  <c r="M11" i="4"/>
  <c r="M12" i="4"/>
  <c r="M13" i="4"/>
  <c r="C28" i="4"/>
  <c r="E28" i="4" s="1"/>
  <c r="C27" i="4"/>
  <c r="E27" i="4" s="1"/>
  <c r="B14" i="4"/>
  <c r="B18" i="4"/>
  <c r="M6" i="4"/>
  <c r="B7" i="3" s="1"/>
  <c r="F7" i="4"/>
  <c r="G7" i="4"/>
  <c r="E6" i="4"/>
  <c r="B16" i="4" s="1"/>
  <c r="M14" i="4"/>
  <c r="R11" i="1"/>
  <c r="B31" i="1"/>
  <c r="G34" i="4"/>
  <c r="G33" i="4"/>
  <c r="F33" i="4"/>
  <c r="L20" i="4"/>
  <c r="K20" i="4"/>
  <c r="J20" i="4"/>
  <c r="I20" i="4"/>
  <c r="H20" i="4"/>
  <c r="G20" i="4"/>
  <c r="F20" i="4"/>
  <c r="E20" i="4"/>
  <c r="D20" i="4"/>
  <c r="C20" i="4"/>
  <c r="M1" i="4"/>
  <c r="G1" i="3"/>
  <c r="C28" i="2"/>
  <c r="G17" i="2"/>
  <c r="G14" i="2"/>
  <c r="B14" i="2"/>
  <c r="O9" i="1" s="1"/>
  <c r="B17" i="2"/>
  <c r="O10" i="1" s="1"/>
  <c r="I1" i="2"/>
  <c r="B3" i="1"/>
  <c r="A22" i="1"/>
  <c r="K9" i="1"/>
  <c r="J6" i="3" l="1"/>
  <c r="I7" i="3"/>
  <c r="C7" i="3"/>
  <c r="J7" i="3" s="1"/>
  <c r="B14" i="3"/>
  <c r="G9" i="3"/>
  <c r="F9" i="3"/>
  <c r="I9" i="3"/>
  <c r="E9" i="3"/>
  <c r="H9" i="3"/>
  <c r="J9" i="3"/>
  <c r="D9" i="3"/>
  <c r="L9" i="3"/>
  <c r="M9" i="3"/>
  <c r="K9" i="3"/>
  <c r="C26" i="4"/>
  <c r="E26" i="4" s="1"/>
  <c r="E30" i="4" s="1"/>
  <c r="B20" i="4"/>
  <c r="B4" i="2"/>
  <c r="F8" i="3"/>
  <c r="I8" i="3"/>
  <c r="E8" i="3"/>
  <c r="H8" i="3"/>
  <c r="G8" i="3"/>
  <c r="J8" i="3"/>
  <c r="K8" i="3"/>
  <c r="P9" i="1"/>
  <c r="D41" i="1"/>
  <c r="F47" i="1"/>
  <c r="G40" i="1"/>
  <c r="F45" i="1"/>
  <c r="G47" i="1"/>
  <c r="H40" i="1"/>
  <c r="J16" i="1"/>
  <c r="I40" i="1"/>
  <c r="I47" i="1"/>
  <c r="I14" i="3" l="1"/>
  <c r="K17" i="1" s="1"/>
  <c r="L17" i="1" s="1"/>
  <c r="M17" i="1" s="1"/>
  <c r="N17" i="1" s="1"/>
  <c r="O17" i="1" s="1"/>
  <c r="P17" i="1" s="1"/>
  <c r="Q17" i="1" s="1"/>
  <c r="R17" i="1" s="1"/>
  <c r="R21" i="1" s="1"/>
  <c r="R26" i="1" s="1"/>
  <c r="D7" i="3"/>
  <c r="G6" i="2"/>
  <c r="G4" i="2"/>
  <c r="D8" i="1"/>
  <c r="C4" i="2"/>
  <c r="J15" i="3"/>
  <c r="K6" i="3"/>
  <c r="E31" i="4"/>
  <c r="E35" i="4" s="1"/>
  <c r="E32" i="4"/>
  <c r="J14" i="3"/>
  <c r="I15" i="3"/>
  <c r="O45" i="1"/>
  <c r="M45" i="1"/>
  <c r="N45" i="1"/>
  <c r="L45" i="1"/>
  <c r="K16" i="1"/>
  <c r="J40" i="1"/>
  <c r="J47" i="1"/>
  <c r="S17" i="1" l="1"/>
  <c r="T17" i="1" s="1"/>
  <c r="L21" i="1"/>
  <c r="L25" i="1" s="1"/>
  <c r="O21" i="1"/>
  <c r="O26" i="1" s="1"/>
  <c r="M21" i="1"/>
  <c r="M25" i="1" s="1"/>
  <c r="Q21" i="1"/>
  <c r="Q25" i="1" s="1"/>
  <c r="P21" i="1"/>
  <c r="P25" i="1" s="1"/>
  <c r="K21" i="1"/>
  <c r="K25" i="1" s="1"/>
  <c r="N21" i="1"/>
  <c r="R25" i="1"/>
  <c r="P26" i="1"/>
  <c r="F7" i="2"/>
  <c r="F35" i="4"/>
  <c r="G35" i="4"/>
  <c r="L6" i="3"/>
  <c r="H6" i="2"/>
  <c r="H4" i="2"/>
  <c r="L9" i="1"/>
  <c r="L8" i="1"/>
  <c r="E7" i="3"/>
  <c r="D14" i="3"/>
  <c r="K7" i="3"/>
  <c r="K14" i="3" s="1"/>
  <c r="M7" i="3"/>
  <c r="M14" i="3" s="1"/>
  <c r="I22" i="3" s="1"/>
  <c r="L16" i="1"/>
  <c r="K40" i="1"/>
  <c r="Q26" i="1" l="1"/>
  <c r="S21" i="1"/>
  <c r="S26" i="1" s="1"/>
  <c r="K26" i="1"/>
  <c r="L26" i="1"/>
  <c r="O25" i="1"/>
  <c r="M26" i="1"/>
  <c r="N25" i="1"/>
  <c r="N26" i="1"/>
  <c r="U17" i="1"/>
  <c r="T21" i="1"/>
  <c r="F17" i="1"/>
  <c r="B40" i="2"/>
  <c r="M6" i="3"/>
  <c r="E14" i="3"/>
  <c r="G17" i="1" s="1"/>
  <c r="F7" i="3"/>
  <c r="L7" i="3"/>
  <c r="L14" i="3" s="1"/>
  <c r="E15" i="3"/>
  <c r="K15" i="3"/>
  <c r="K11" i="1"/>
  <c r="C17" i="2"/>
  <c r="E20" i="1" s="1"/>
  <c r="C16" i="2"/>
  <c r="H7" i="2"/>
  <c r="G7" i="2"/>
  <c r="H17" i="2"/>
  <c r="F5" i="2" s="1"/>
  <c r="H16" i="2"/>
  <c r="L40" i="1"/>
  <c r="M16" i="1"/>
  <c r="N16" i="1" s="1"/>
  <c r="O16" i="1" s="1"/>
  <c r="P16" i="1" s="1"/>
  <c r="L47" i="1"/>
  <c r="S25" i="1" l="1"/>
  <c r="U21" i="1"/>
  <c r="U25" i="1" s="1"/>
  <c r="V17" i="1"/>
  <c r="G21" i="1"/>
  <c r="G26" i="1" s="1"/>
  <c r="T26" i="1"/>
  <c r="T25" i="1"/>
  <c r="N6" i="3"/>
  <c r="M15" i="3"/>
  <c r="C14" i="2"/>
  <c r="H13" i="2"/>
  <c r="H14" i="2"/>
  <c r="H18" i="2" s="1"/>
  <c r="C13" i="2"/>
  <c r="H5" i="2"/>
  <c r="G5" i="2"/>
  <c r="F8" i="2"/>
  <c r="E21" i="1"/>
  <c r="A20" i="1"/>
  <c r="L15" i="3"/>
  <c r="P10" i="1"/>
  <c r="L11" i="1"/>
  <c r="E28" i="1"/>
  <c r="A28" i="1" s="1"/>
  <c r="F14" i="3"/>
  <c r="H17" i="1" s="1"/>
  <c r="H21" i="1" s="1"/>
  <c r="G7" i="3"/>
  <c r="F15" i="3"/>
  <c r="F21" i="1"/>
  <c r="Q16" i="1"/>
  <c r="P40" i="1"/>
  <c r="O47" i="1"/>
  <c r="O40" i="1"/>
  <c r="N40" i="1"/>
  <c r="N47" i="1"/>
  <c r="M40" i="1"/>
  <c r="M47" i="1"/>
  <c r="G25" i="1" l="1"/>
  <c r="U26" i="1"/>
  <c r="W17" i="1"/>
  <c r="V21" i="1"/>
  <c r="D19" i="1"/>
  <c r="C18" i="2"/>
  <c r="H26" i="1"/>
  <c r="H25" i="1"/>
  <c r="F25" i="1"/>
  <c r="F26" i="1"/>
  <c r="G14" i="3"/>
  <c r="I17" i="1" s="1"/>
  <c r="I21" i="1" s="1"/>
  <c r="H7" i="3"/>
  <c r="G15" i="3"/>
  <c r="P14" i="1"/>
  <c r="P15" i="1"/>
  <c r="H8" i="2"/>
  <c r="G8" i="2"/>
  <c r="O6" i="3"/>
  <c r="P6" i="3" s="1"/>
  <c r="Q6" i="3" s="1"/>
  <c r="R6" i="3" s="1"/>
  <c r="S6" i="3" s="1"/>
  <c r="T6" i="3" s="1"/>
  <c r="U6" i="3" s="1"/>
  <c r="V6" i="3" s="1"/>
  <c r="W6" i="3" s="1"/>
  <c r="X6" i="3" s="1"/>
  <c r="Y6" i="3" s="1"/>
  <c r="Z6" i="3" s="1"/>
  <c r="AA6" i="3" s="1"/>
  <c r="AB6" i="3" s="1"/>
  <c r="AC6" i="3" s="1"/>
  <c r="AD6" i="3" s="1"/>
  <c r="AE6" i="3" s="1"/>
  <c r="N15" i="3"/>
  <c r="R16" i="1"/>
  <c r="S16" i="1" s="1"/>
  <c r="Q40" i="1"/>
  <c r="V26" i="1" l="1"/>
  <c r="V25" i="1"/>
  <c r="X17" i="1"/>
  <c r="W21" i="1"/>
  <c r="T16" i="1"/>
  <c r="S40" i="1"/>
  <c r="S47" i="1"/>
  <c r="H14" i="3"/>
  <c r="J17" i="1" s="1"/>
  <c r="J21" i="1" s="1"/>
  <c r="H15" i="3"/>
  <c r="I26" i="1"/>
  <c r="I25" i="1"/>
  <c r="D21" i="1"/>
  <c r="A19" i="1"/>
  <c r="J38" i="1"/>
  <c r="I38" i="1"/>
  <c r="L38" i="1"/>
  <c r="O38" i="1"/>
  <c r="N38" i="1"/>
  <c r="F38" i="1"/>
  <c r="H38" i="1"/>
  <c r="K38" i="1"/>
  <c r="Q38" i="1"/>
  <c r="E38" i="1"/>
  <c r="G38" i="1"/>
  <c r="M38" i="1"/>
  <c r="P38" i="1"/>
  <c r="R40" i="1"/>
  <c r="W26" i="1" l="1"/>
  <c r="W25" i="1"/>
  <c r="Y17" i="1"/>
  <c r="X21" i="1"/>
  <c r="U16" i="1"/>
  <c r="V16" i="1" s="1"/>
  <c r="W16" i="1" s="1"/>
  <c r="T40" i="1"/>
  <c r="T47" i="1"/>
  <c r="A38" i="1"/>
  <c r="K12" i="1" s="1"/>
  <c r="L12" i="1" s="1"/>
  <c r="D48" i="1"/>
  <c r="D49" i="1" s="1"/>
  <c r="J26" i="1"/>
  <c r="J25" i="1"/>
  <c r="X26" i="1" l="1"/>
  <c r="X25" i="1"/>
  <c r="Z17" i="1"/>
  <c r="AA17" i="1" s="1"/>
  <c r="Y21" i="1"/>
  <c r="X16" i="1"/>
  <c r="W40" i="1"/>
  <c r="W47" i="1"/>
  <c r="V45" i="1"/>
  <c r="V40" i="1"/>
  <c r="R45" i="1"/>
  <c r="K45" i="1"/>
  <c r="U40" i="1"/>
  <c r="Q45" i="1"/>
  <c r="AB17" i="1" l="1"/>
  <c r="AA21" i="1"/>
  <c r="Z21" i="1"/>
  <c r="Y25" i="1"/>
  <c r="Y26" i="1"/>
  <c r="Y16" i="1"/>
  <c r="X40" i="1"/>
  <c r="X47" i="1"/>
  <c r="Q47" i="1"/>
  <c r="K47" i="1"/>
  <c r="AA25" i="1" l="1"/>
  <c r="AA26" i="1"/>
  <c r="AC17" i="1"/>
  <c r="AB21" i="1"/>
  <c r="Z25" i="1"/>
  <c r="Z26" i="1"/>
  <c r="Z16" i="1"/>
  <c r="AA16" i="1" s="1"/>
  <c r="Y47" i="1"/>
  <c r="Y40" i="1"/>
  <c r="R47" i="1"/>
  <c r="E39" i="1"/>
  <c r="E41" i="1" s="1"/>
  <c r="AB26" i="1" l="1"/>
  <c r="AB25" i="1"/>
  <c r="AD17" i="1"/>
  <c r="AC21" i="1"/>
  <c r="AB16" i="1"/>
  <c r="AA40" i="1"/>
  <c r="AA47" i="1"/>
  <c r="Z40" i="1"/>
  <c r="E42" i="1"/>
  <c r="E43" i="1"/>
  <c r="E44" i="1" s="1"/>
  <c r="E48" i="1"/>
  <c r="E49" i="1" s="1"/>
  <c r="AE17" i="1" l="1"/>
  <c r="AE21" i="1" s="1"/>
  <c r="AD21" i="1"/>
  <c r="AC25" i="1"/>
  <c r="AC26" i="1"/>
  <c r="AC16" i="1"/>
  <c r="AB40" i="1"/>
  <c r="AB47" i="1"/>
  <c r="AE26" i="1" l="1"/>
  <c r="AE25" i="1"/>
  <c r="A17" i="1"/>
  <c r="AD26" i="1"/>
  <c r="AD25" i="1"/>
  <c r="F14" i="1"/>
  <c r="A21" i="1"/>
  <c r="AD16" i="1"/>
  <c r="AC40" i="1"/>
  <c r="AC47" i="1"/>
  <c r="P45" i="1" l="1"/>
  <c r="U45" i="1"/>
  <c r="AE45" i="1"/>
  <c r="H45" i="1"/>
  <c r="A26" i="1"/>
  <c r="A25" i="1"/>
  <c r="K10" i="1" s="1"/>
  <c r="K13" i="1" s="1"/>
  <c r="L13" i="1" s="1"/>
  <c r="Z45" i="1"/>
  <c r="F8" i="1"/>
  <c r="AE16" i="1"/>
  <c r="AD40" i="1"/>
  <c r="AD47" i="1"/>
  <c r="F39" i="1"/>
  <c r="F41" i="1" s="1"/>
  <c r="L10" i="1" l="1"/>
  <c r="A45" i="1"/>
  <c r="V47" i="1"/>
  <c r="Z47" i="1"/>
  <c r="K14" i="1"/>
  <c r="AE40" i="1"/>
  <c r="A40" i="1" s="1"/>
  <c r="F48" i="1"/>
  <c r="F49" i="1" s="1"/>
  <c r="F42" i="1"/>
  <c r="F43" i="1"/>
  <c r="F44" i="1" s="1"/>
  <c r="AE47" i="1" l="1"/>
  <c r="U47" i="1"/>
  <c r="H47" i="1"/>
  <c r="P47" i="1"/>
  <c r="G39" i="1"/>
  <c r="G41" i="1" s="1"/>
  <c r="A47" i="1" l="1"/>
  <c r="G48" i="1"/>
  <c r="G49" i="1" s="1"/>
  <c r="G43" i="1"/>
  <c r="G44" i="1" s="1"/>
  <c r="G42" i="1"/>
  <c r="H39" i="1" l="1"/>
  <c r="H41" i="1" s="1"/>
  <c r="H42" i="1" l="1"/>
  <c r="H48" i="1"/>
  <c r="H49" i="1" s="1"/>
  <c r="H43" i="1"/>
  <c r="H44" i="1" s="1"/>
  <c r="I39" i="1" l="1"/>
  <c r="I41" i="1" s="1"/>
  <c r="I48" i="1" l="1"/>
  <c r="I49" i="1" s="1"/>
  <c r="I42" i="1"/>
  <c r="I43" i="1"/>
  <c r="I44" i="1" s="1"/>
  <c r="J39" i="1" l="1"/>
  <c r="J41" i="1" s="1"/>
  <c r="J48" i="1" s="1"/>
  <c r="J49" i="1" s="1"/>
  <c r="L50" i="1"/>
  <c r="K39" i="1" l="1"/>
  <c r="K41" i="1" s="1"/>
  <c r="K48" i="1" s="1"/>
  <c r="K49" i="1" s="1"/>
  <c r="L39" i="1" l="1"/>
  <c r="L41" i="1" s="1"/>
  <c r="L48" i="1" s="1"/>
  <c r="L49" i="1" s="1"/>
  <c r="M39" i="1" l="1"/>
  <c r="M41" i="1" l="1"/>
  <c r="M48" i="1" s="1"/>
  <c r="M49" i="1" s="1"/>
  <c r="N39" i="1" l="1"/>
  <c r="O43" i="1" s="1"/>
  <c r="O44" i="1" s="1"/>
  <c r="N41" i="1" l="1"/>
  <c r="N48" i="1" s="1"/>
  <c r="N49" i="1" s="1"/>
  <c r="O39" i="1" l="1"/>
  <c r="O41" i="1" s="1"/>
  <c r="O48" i="1" s="1"/>
  <c r="O49" i="1" s="1"/>
  <c r="P39" i="1" l="1"/>
  <c r="P41" i="1" s="1"/>
  <c r="P48" i="1" s="1"/>
  <c r="P49" i="1" l="1"/>
  <c r="Q39" i="1" l="1"/>
  <c r="Q41" i="1" s="1"/>
  <c r="Q48" i="1" s="1"/>
  <c r="Q49" i="1" l="1"/>
  <c r="R39" i="1" l="1"/>
  <c r="R41" i="1" s="1"/>
  <c r="R48" i="1" l="1"/>
  <c r="R49" i="1" l="1"/>
  <c r="S39" i="1" l="1"/>
  <c r="S41" i="1" s="1"/>
  <c r="S48" i="1" l="1"/>
  <c r="S49" i="1" l="1"/>
  <c r="T39" i="1" l="1"/>
  <c r="T41" i="1" s="1"/>
  <c r="T48" i="1" l="1"/>
  <c r="T49" i="1" l="1"/>
  <c r="U39" i="1" l="1"/>
  <c r="U41" i="1" s="1"/>
  <c r="U48" i="1" l="1"/>
  <c r="U49" i="1" l="1"/>
  <c r="V39" i="1" l="1"/>
  <c r="V41" i="1" s="1"/>
  <c r="V48" i="1" l="1"/>
  <c r="V49" i="1" l="1"/>
  <c r="W39" i="1" l="1"/>
  <c r="W41" i="1" s="1"/>
  <c r="W48" i="1" l="1"/>
  <c r="W49" i="1" l="1"/>
  <c r="X39" i="1" l="1"/>
  <c r="X41" i="1" s="1"/>
  <c r="X48" i="1" l="1"/>
  <c r="X49" i="1" l="1"/>
  <c r="Y39" i="1" l="1"/>
  <c r="Y41" i="1" s="1"/>
  <c r="Y48" i="1" l="1"/>
  <c r="Y49" i="1" l="1"/>
  <c r="Z39" i="1"/>
  <c r="Z41" i="1" l="1"/>
  <c r="Z48" i="1" l="1"/>
  <c r="Z49" i="1" l="1"/>
  <c r="AA39" i="1" l="1"/>
  <c r="AA41" i="1" s="1"/>
  <c r="AA48" i="1" l="1"/>
  <c r="AA49" i="1" l="1"/>
  <c r="AB39" i="1" l="1"/>
  <c r="AB41" i="1" s="1"/>
  <c r="AB48" i="1" l="1"/>
  <c r="AB49" i="1" l="1"/>
  <c r="AC39" i="1"/>
  <c r="AC41" i="1" l="1"/>
  <c r="AC48" i="1" l="1"/>
  <c r="AC49" i="1" l="1"/>
  <c r="AD39" i="1" l="1"/>
  <c r="AD41" i="1" s="1"/>
  <c r="AD48" i="1" l="1"/>
  <c r="AD49" i="1" l="1"/>
  <c r="AE39" i="1" l="1"/>
  <c r="AE41" i="1" s="1"/>
  <c r="AE48" i="1" l="1"/>
  <c r="A48" i="1" s="1"/>
  <c r="A41" i="1"/>
  <c r="E51" i="1"/>
  <c r="E52" i="1" l="1"/>
  <c r="AE49" i="1"/>
  <c r="E375" i="1" l="1"/>
</calcChain>
</file>

<file path=xl/sharedStrings.xml><?xml version="1.0" encoding="utf-8"?>
<sst xmlns="http://schemas.openxmlformats.org/spreadsheetml/2006/main" count="180" uniqueCount="153">
  <si>
    <t>Nom du Dossier</t>
  </si>
  <si>
    <t>Adresse de l'immeuble</t>
  </si>
  <si>
    <t>Code Postal - Ville</t>
  </si>
  <si>
    <t>LOCATION</t>
  </si>
  <si>
    <t>surface</t>
    <phoneticPr fontId="1" type="noConversion"/>
  </si>
  <si>
    <t>prix loc m2</t>
  </si>
  <si>
    <t xml:space="preserve">bilan </t>
  </si>
  <si>
    <t>PRIX</t>
  </si>
  <si>
    <t>PRIX/M2</t>
  </si>
  <si>
    <t>Financement acquisistion + prêt travaux</t>
  </si>
  <si>
    <t>LOC EVENEMENTIEL</t>
  </si>
  <si>
    <t>acxquisition</t>
  </si>
  <si>
    <t>frais notaire</t>
  </si>
  <si>
    <t>Financement acquisistion</t>
  </si>
  <si>
    <t>taux d'inflation</t>
    <phoneticPr fontId="1" type="noConversion"/>
  </si>
  <si>
    <t>commision + honoraire asset property</t>
  </si>
  <si>
    <t>financement travaux</t>
  </si>
  <si>
    <t>travaux</t>
  </si>
  <si>
    <t xml:space="preserve">durée </t>
    <phoneticPr fontId="1" type="noConversion"/>
  </si>
  <si>
    <t>taux d'inflation à 5 ans</t>
    <phoneticPr fontId="1" type="noConversion"/>
  </si>
  <si>
    <t>frais financier</t>
  </si>
  <si>
    <t>LOYER ANNEE 5</t>
  </si>
  <si>
    <t>PRIX DE REVIENT</t>
  </si>
  <si>
    <t>DSCR</t>
    <phoneticPr fontId="1" type="noConversion"/>
  </si>
  <si>
    <t>Loyer Total  année 5</t>
  </si>
  <si>
    <t>REND / PRIX REVIENT</t>
  </si>
  <si>
    <t>In fine</t>
    <phoneticPr fontId="1" type="noConversion"/>
  </si>
  <si>
    <t>Loyer Annuel (HT HC)</t>
  </si>
  <si>
    <t>% d'évolution</t>
  </si>
  <si>
    <t>Financement mis en place</t>
  </si>
  <si>
    <t>Revenus Nets d'Exploitation</t>
  </si>
  <si>
    <t>Prix d'acquisition Hors Droits</t>
  </si>
  <si>
    <t>Droits d'enr. et émol. Notaire</t>
  </si>
  <si>
    <t>Honoraires d'Agents</t>
  </si>
  <si>
    <t>Honoraires d'Asset Management</t>
  </si>
  <si>
    <t>Honoraires de Property</t>
  </si>
  <si>
    <t>Frais d'audit et juridique</t>
  </si>
  <si>
    <t>Capex - Dépenses d'Investissement- Travaux</t>
    <phoneticPr fontId="1" type="noConversion"/>
  </si>
  <si>
    <t>Coût Complet d'Investissement</t>
  </si>
  <si>
    <t>Frais de Mise en Place Crédit (notaire, avocats,…)</t>
  </si>
  <si>
    <t>remb in fine</t>
  </si>
  <si>
    <t>total depenses</t>
  </si>
  <si>
    <t>en % du loyer brut annuel</t>
  </si>
  <si>
    <t>en % du coût complet</t>
  </si>
  <si>
    <t>Spread Rendement Net / Coût Fin</t>
  </si>
  <si>
    <t xml:space="preserve">Prix de Vente  </t>
  </si>
  <si>
    <t xml:space="preserve">Taux de Capitalisation </t>
  </si>
  <si>
    <t>prix m2</t>
  </si>
  <si>
    <t>Free Cash Flow d'exploitation</t>
  </si>
  <si>
    <t>Free Cash Flow Cumulé</t>
  </si>
  <si>
    <t>TRI - Base Case</t>
  </si>
  <si>
    <t>Profit - Base Case</t>
  </si>
  <si>
    <t>Total</t>
  </si>
  <si>
    <t>TEST</t>
  </si>
  <si>
    <t xml:space="preserve">acquisiton y </t>
  </si>
  <si>
    <t xml:space="preserve">exit y </t>
  </si>
  <si>
    <t>DONNEES</t>
    <phoneticPr fontId="17" type="noConversion"/>
  </si>
  <si>
    <t>surface existante</t>
  </si>
  <si>
    <t>surface potentiel</t>
  </si>
  <si>
    <t>prix m2 / existant</t>
  </si>
  <si>
    <t>prix m2 / potentiel</t>
  </si>
  <si>
    <t>ACTIVITES</t>
  </si>
  <si>
    <t>PRIX D'ACHAT</t>
  </si>
  <si>
    <t xml:space="preserve">Notaire </t>
  </si>
  <si>
    <t>Commission d'agent</t>
  </si>
  <si>
    <t xml:space="preserve">Capex/ Travaux </t>
  </si>
  <si>
    <t>FINANCEMENT COURT TERME</t>
  </si>
  <si>
    <t>FINANCEMENT LONG TERME</t>
  </si>
  <si>
    <t>acquisition</t>
  </si>
  <si>
    <t>Acquisistion</t>
  </si>
  <si>
    <t>fond propre</t>
  </si>
  <si>
    <t>prêt</t>
  </si>
  <si>
    <t>Travaux</t>
  </si>
  <si>
    <t>total prêt</t>
  </si>
  <si>
    <t xml:space="preserve">FINANCEMENT 5 ANS  </t>
  </si>
  <si>
    <t>FINANCEMENT 15 ANS</t>
  </si>
  <si>
    <t>REFINANCEMENT</t>
    <phoneticPr fontId="17" type="noConversion"/>
  </si>
  <si>
    <t>FINANCEMENT</t>
  </si>
  <si>
    <t xml:space="preserve">long terme </t>
    <phoneticPr fontId="17" type="noConversion"/>
  </si>
  <si>
    <t>taux amortissable</t>
  </si>
  <si>
    <t>taux in fine</t>
  </si>
  <si>
    <t xml:space="preserve">IN FINE </t>
    <phoneticPr fontId="17" type="noConversion"/>
  </si>
  <si>
    <t>Inflation</t>
  </si>
  <si>
    <t>REFINANCEMENT 15 ANS</t>
  </si>
  <si>
    <t>Inflation après 5 ans</t>
  </si>
  <si>
    <t>taux</t>
  </si>
  <si>
    <t>Frais Hypothecaire</t>
  </si>
  <si>
    <t xml:space="preserve">loyer potentiel </t>
    <phoneticPr fontId="17" type="noConversion"/>
  </si>
  <si>
    <t>surface exploitable (m²)</t>
  </si>
  <si>
    <t>Loyer total</t>
    <phoneticPr fontId="17" type="noConversion"/>
  </si>
  <si>
    <t>ETUDE MULTI LOCATAIRES</t>
  </si>
  <si>
    <t>Loyer / m²</t>
  </si>
  <si>
    <t>LOYER</t>
  </si>
  <si>
    <t>SURFACES EXISTANTES</t>
  </si>
  <si>
    <t>SOUS SOL 2</t>
  </si>
  <si>
    <t>SOUS SOL 1</t>
  </si>
  <si>
    <t>RDC</t>
  </si>
  <si>
    <t>1er</t>
  </si>
  <si>
    <t>2ème</t>
  </si>
  <si>
    <t>3ème</t>
  </si>
  <si>
    <t>4ème</t>
  </si>
  <si>
    <t>5ème</t>
  </si>
  <si>
    <t>6ème</t>
  </si>
  <si>
    <t>7ème</t>
  </si>
  <si>
    <t>Evaluation construction surélévation</t>
  </si>
  <si>
    <t>surface avec PC</t>
  </si>
  <si>
    <t>RENOVATION</t>
  </si>
  <si>
    <t>SURFACE</t>
  </si>
  <si>
    <t>cout globale</t>
  </si>
  <si>
    <t>EXISTANT</t>
  </si>
  <si>
    <t>Habitation</t>
  </si>
  <si>
    <t>sur élévation</t>
  </si>
  <si>
    <t>Rachat de commercialité</t>
  </si>
  <si>
    <t>TOTAL TRVX</t>
  </si>
  <si>
    <t>honoraires divers</t>
  </si>
  <si>
    <t>Amo / opc</t>
  </si>
  <si>
    <t>Taxes diverses</t>
  </si>
  <si>
    <t>Cout globale travaux</t>
  </si>
  <si>
    <t>Interets in fine</t>
  </si>
  <si>
    <t>amortissement capital</t>
  </si>
  <si>
    <t>intérêts amortissable</t>
  </si>
  <si>
    <t>Service de la dette</t>
  </si>
  <si>
    <t>Immeuble A</t>
  </si>
  <si>
    <t>Immeuble B</t>
  </si>
  <si>
    <t>Immeuble C</t>
  </si>
  <si>
    <t>Immeuble D</t>
  </si>
  <si>
    <t>fonds propre</t>
  </si>
  <si>
    <t xml:space="preserve">Habitation  </t>
  </si>
  <si>
    <t>Immeuble E</t>
  </si>
  <si>
    <t>Amortissable</t>
  </si>
  <si>
    <t>Durée de prêt</t>
  </si>
  <si>
    <t>Différé d'amortissement</t>
  </si>
  <si>
    <t>Taux In fine</t>
  </si>
  <si>
    <t>Taux Amortissable</t>
  </si>
  <si>
    <t>Taux in Fine</t>
  </si>
  <si>
    <t>TEST VBA</t>
  </si>
  <si>
    <t/>
  </si>
  <si>
    <t>Calculateur de prêts</t>
  </si>
  <si>
    <t>Cette feuille de calcul peut vous aider à calculer le coût d'un prêt. Entrez vos valeurs dans les cases jaunes, en remplaçant les exemples qui s'y trouvent. Le résultat sera affiché dans les cases vertes.
Cette feuille est verrouillée pour protéger les formules qui serviront à calculer vos résultats. Pour déverrouiller la feuille, sélectionnez Protection dans le menu Outils, puis cliquez sur Ôter la protection de la feuille. Cette feuille n'utilise pas de mot de passe.</t>
  </si>
  <si>
    <t>Montant du prêt :</t>
  </si>
  <si>
    <t>Taux d'intérêt annuel :</t>
  </si>
  <si>
    <t>Durée du prêt (en années) :</t>
  </si>
  <si>
    <t>Nombre de paiements par an :</t>
  </si>
  <si>
    <t>Nombre total d'échéances :</t>
  </si>
  <si>
    <t>Paiement par échéance :</t>
  </si>
  <si>
    <t>Total des intérêts versés :</t>
  </si>
  <si>
    <t>Total des paiements :</t>
  </si>
  <si>
    <t>Échéance</t>
  </si>
  <si>
    <t xml:space="preserve">Paiement </t>
  </si>
  <si>
    <t>Capital</t>
  </si>
  <si>
    <t>Intérêts</t>
  </si>
  <si>
    <t>Total des intérêts versés</t>
  </si>
  <si>
    <t>Nouveau montant à rembourser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</si>
</sst>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164" formatCode="&quot;€&quot;#,##0_);[Red]\(&quot;€&quot;#,##0\)"/>
    <numFmt numFmtId="165" formatCode="&quot;€&quot;#,##0.00_);\(&quot;€&quot;#,##0.00\)"/>
    <numFmt numFmtId="166" formatCode="_(&quot;€&quot;* #,##0.00_);_(&quot;€&quot;* \(#,##0.00\);_(&quot;€&quot;* &quot;-&quot;??_);_(@_)"/>
    <numFmt numFmtId="167" formatCode="_-* #,##0.00\ &quot;€&quot;_-;\-* #,##0.00\ &quot;€&quot;_-;_-* &quot;-&quot;??\ &quot;€&quot;_-;_-@_-"/>
    <numFmt numFmtId="168" formatCode="_-* #,##0.00\ _€_-;\-* #,##0.00\ _€_-;_-* &quot;-&quot;??\ _€_-;_-@_-"/>
    <numFmt numFmtId="169" formatCode="#,##0&quot; m²&quot;"/>
    <numFmt numFmtId="170" formatCode="#,##0&quot; €/m²&quot;"/>
    <numFmt numFmtId="171" formatCode="#,##0&quot; €&quot;"/>
    <numFmt numFmtId="172" formatCode="_-* #,##0\ &quot;€&quot;_-;\-* #,##0\ &quot;€&quot;_-;_-* &quot;-&quot;??\ &quot;€&quot;_-;_-@_-"/>
    <numFmt numFmtId="173" formatCode="#,##0&quot; u&quot;"/>
    <numFmt numFmtId="174" formatCode="#,##0&quot; €/u&quot;"/>
    <numFmt numFmtId="175" formatCode="&quot;Y&quot;General"/>
    <numFmt numFmtId="176" formatCode="_-* #,##0\ _€_-;\-* #,##0\ _€_-;_-* &quot;-&quot;??\ _€_-;_-@_-"/>
    <numFmt numFmtId="177" formatCode="0.0%"/>
    <numFmt numFmtId="178" formatCode="0.0&quot; x&quot;"/>
    <numFmt numFmtId="179" formatCode="0.0"/>
    <numFmt numFmtId="180" formatCode="_ * #,##0_)\ &quot;€&quot;_ ;_ * \(#,##0\)\ &quot;€&quot;_ ;_ * &quot;-&quot;??_)\ &quot;€&quot;_ ;_ @_ "/>
    <numFmt numFmtId="181" formatCode="#,##0_ ;\-#,##0\ "/>
    <numFmt numFmtId="182" formatCode="_ * #,##0_ \ [$€-1]_ ;_ * \-#,##0\ \ [$€-1]_ ;_ * &quot;-&quot;??_ \ [$€-1]_ ;_ @_ "/>
    <numFmt numFmtId="183" formatCode="_-* #,##0&quot; m2&quot;\ _€_-;\-* #,##0.00\ _€_-;_-* &quot;-&quot;??\ _€_-;_-@_-"/>
    <numFmt numFmtId="184" formatCode="0.000%"/>
    <numFmt numFmtId="185" formatCode="#,##0\ &quot;€&quot;"/>
    <numFmt numFmtId="186" formatCode="#,##0.00;\-#,##0.00;\-"/>
    <numFmt numFmtId="187" formatCode="#,##0.00;\-#,##0.00;\-\ "/>
    <numFmt numFmtId="188" formatCode="#,##0.00;\-#,##0.00;&quot;&quot;"/>
    <numFmt numFmtId="189" formatCode="_-* #,##0.00\ &quot;F&quot;_-;\-* #,##0.00\ &quot;F&quot;_-;_-* &quot;-&quot;??\ &quot;F&quot;_-;_-@_-"/>
    <numFmt numFmtId="190" formatCode="_ * #,##0.00_ \ [$€-1]_ ;_ * \-#,##0.00\ \ [$€-1]_ ;_ * &quot;-&quot;??_ \ [$€-1]_ ;_ @_ "/>
    <numFmt numFmtId="191" formatCode="0.00\ %"/>
    <numFmt numFmtId="192" formatCode="_-* #,##0.00\ [$€-1]_-;\-* #,##0.00\ [$€-1]_-;_-* &quot;-&quot;??\ [$€-1]_-;_-@_-"/>
  </numFmts>
  <fonts count="56">
    <font>
      <sz val="11"/>
      <color theme="1"/>
      <name val="Calibri"/>
      <family val="2"/>
      <scheme val="minor"/>
    </font>
    <font>
      <sz val="11"/>
      <color theme="1"/>
      <name val="Calibri"/>
      <family val="2"/>
      <scheme val="minor"/>
    </font>
    <font>
      <sz val="10"/>
      <name val="Calibri"/>
      <family val="2"/>
    </font>
    <font>
      <b/>
      <sz val="16"/>
      <name val="Verdana"/>
      <family val="2"/>
    </font>
    <font>
      <b/>
      <sz val="12"/>
      <name val="Calibri"/>
      <family val="2"/>
    </font>
    <font>
      <sz val="10"/>
      <color indexed="10"/>
      <name val="Calibri"/>
      <family val="2"/>
    </font>
    <font>
      <sz val="12"/>
      <name val="Calibri"/>
      <family val="2"/>
    </font>
    <font>
      <b/>
      <u/>
      <sz val="12"/>
      <name val="Calibri"/>
      <family val="2"/>
    </font>
    <font>
      <b/>
      <sz val="10"/>
      <name val="Calibri"/>
      <family val="2"/>
    </font>
    <font>
      <b/>
      <sz val="10"/>
      <color indexed="10"/>
      <name val="Calibri"/>
      <family val="2"/>
    </font>
    <font>
      <b/>
      <sz val="12"/>
      <color indexed="9"/>
      <name val="Calibri"/>
      <family val="2"/>
    </font>
    <font>
      <i/>
      <sz val="10"/>
      <name val="Calibri"/>
      <family val="2"/>
    </font>
    <font>
      <sz val="12"/>
      <color rgb="FFFF0000"/>
      <name val="Calibri"/>
      <family val="2"/>
    </font>
    <font>
      <b/>
      <sz val="12"/>
      <color rgb="FFFF0000"/>
      <name val="Calibri"/>
      <family val="2"/>
    </font>
    <font>
      <b/>
      <u/>
      <sz val="12"/>
      <color rgb="FFFF0000"/>
      <name val="Calibri"/>
      <family val="2"/>
    </font>
    <font>
      <sz val="12"/>
      <color theme="1"/>
      <name val="Calibri"/>
      <family val="2"/>
    </font>
    <font>
      <sz val="12"/>
      <color indexed="54"/>
      <name val="Calibri"/>
      <family val="2"/>
    </font>
    <font>
      <b/>
      <sz val="12"/>
      <color theme="1"/>
      <name val="Calibri"/>
      <family val="2"/>
    </font>
    <font>
      <sz val="12"/>
      <color indexed="9"/>
      <name val="Calibri"/>
      <family val="2"/>
    </font>
    <font>
      <b/>
      <sz val="12"/>
      <name val="Calibri"/>
      <family val="2"/>
    </font>
    <font>
      <sz val="10"/>
      <name val="Calibri"/>
      <family val="2"/>
      <scheme val="minor"/>
    </font>
    <font>
      <b/>
      <sz val="22"/>
      <name val="Calibri"/>
      <family val="2"/>
    </font>
    <font>
      <b/>
      <sz val="14"/>
      <name val="Verdana"/>
      <family val="2"/>
    </font>
    <font>
      <sz val="10"/>
      <name val="Arial"/>
      <family val="2"/>
    </font>
    <font>
      <b/>
      <sz val="10"/>
      <name val="Verdana"/>
      <family val="2"/>
    </font>
    <font>
      <b/>
      <sz val="10"/>
      <name val="Arial"/>
      <family val="2"/>
    </font>
    <font>
      <sz val="20"/>
      <name val="Verdana"/>
      <family val="2"/>
    </font>
    <font>
      <sz val="10"/>
      <color theme="1"/>
      <name val="Arial"/>
      <family val="2"/>
    </font>
    <font>
      <i/>
      <sz val="10"/>
      <color rgb="FFFF0000"/>
      <name val="Arial"/>
      <family val="2"/>
    </font>
    <font>
      <b/>
      <i/>
      <sz val="10"/>
      <color rgb="FFFF0000"/>
      <name val="Arial"/>
      <family val="2"/>
    </font>
    <font>
      <b/>
      <i/>
      <sz val="10"/>
      <color theme="3" tint="0.39997558519241921"/>
      <name val="Arial"/>
      <family val="2"/>
    </font>
    <font>
      <b/>
      <sz val="10"/>
      <color rgb="FFFF0000"/>
      <name val="Arial"/>
      <family val="2"/>
    </font>
    <font>
      <b/>
      <sz val="10"/>
      <color theme="1"/>
      <name val="Arial"/>
      <family val="2"/>
    </font>
    <font>
      <i/>
      <sz val="11"/>
      <color theme="1"/>
      <name val="Calibri"/>
      <family val="2"/>
      <scheme val="minor"/>
    </font>
    <font>
      <sz val="10"/>
      <color indexed="9"/>
      <name val="Arial"/>
      <family val="2"/>
    </font>
    <font>
      <b/>
      <sz val="11"/>
      <name val="Calibri"/>
      <family val="2"/>
    </font>
    <font>
      <i/>
      <sz val="11"/>
      <name val="Calibri"/>
      <family val="2"/>
    </font>
    <font>
      <sz val="11"/>
      <name val="Calibri"/>
      <family val="2"/>
    </font>
    <font>
      <sz val="11"/>
      <color theme="1"/>
      <name val="Calibri"/>
      <family val="2"/>
    </font>
    <font>
      <sz val="11"/>
      <color rgb="FFFF0000"/>
      <name val="Calibri"/>
      <family val="2"/>
    </font>
    <font>
      <b/>
      <sz val="11"/>
      <color rgb="FFFF0000"/>
      <name val="Calibri"/>
      <family val="2"/>
    </font>
    <font>
      <sz val="11"/>
      <color indexed="54"/>
      <name val="Calibri"/>
      <family val="2"/>
    </font>
    <font>
      <b/>
      <sz val="11"/>
      <color theme="1"/>
      <name val="Calibri"/>
      <family val="2"/>
    </font>
    <font>
      <sz val="11"/>
      <color indexed="14"/>
      <name val="Calibri"/>
      <family val="2"/>
    </font>
    <font>
      <b/>
      <sz val="11"/>
      <color indexed="9"/>
      <name val="Calibri"/>
      <family val="2"/>
    </font>
    <font>
      <sz val="10"/>
      <color indexed="9"/>
      <name val="Arial"/>
      <family val="2"/>
    </font>
    <font>
      <sz val="10"/>
      <name val="Arial"/>
      <family val="2"/>
    </font>
    <font>
      <sz val="10"/>
      <color theme="1"/>
      <name val="Calibri"/>
      <family val="2"/>
    </font>
    <font>
      <sz val="10"/>
      <name val="Verdana"/>
      <family val="2"/>
    </font>
    <font>
      <sz val="11"/>
      <color indexed="8"/>
      <name val="Calibri"/>
      <family val="2"/>
    </font>
    <font>
      <sz val="22"/>
      <color indexed="9"/>
      <name val="Arial"/>
      <family val="2"/>
    </font>
    <font>
      <sz val="10"/>
      <color theme="0"/>
      <name val="Arial"/>
      <family val="2"/>
    </font>
    <font>
      <sz val="10"/>
      <color indexed="23"/>
      <name val="Arial"/>
      <family val="2"/>
    </font>
    <font>
      <sz val="9"/>
      <color indexed="23"/>
      <name val="Geneva"/>
      <family val="2"/>
    </font>
    <font>
      <sz val="9"/>
      <color theme="0"/>
      <name val="Geneva"/>
      <family val="2"/>
    </font>
    <font>
      <b/>
      <sz val="10"/>
      <color theme="0"/>
      <name val="Arial"/>
      <family val="2"/>
    </font>
  </fonts>
  <fills count="1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FF"/>
        <bgColor rgb="FF000000"/>
      </patternFill>
    </fill>
    <fill>
      <patternFill patternType="solid">
        <fgColor rgb="FFFF0000"/>
        <bgColor indexed="64"/>
      </patternFill>
    </fill>
    <fill>
      <patternFill patternType="solid">
        <fgColor theme="5" tint="0.39997558519241921"/>
        <bgColor indexed="64"/>
      </patternFill>
    </fill>
    <fill>
      <patternFill patternType="solid">
        <fgColor indexed="24"/>
        <bgColor indexed="64"/>
      </patternFill>
    </fill>
    <fill>
      <patternFill patternType="solid">
        <fgColor indexed="42"/>
        <bgColor indexed="64"/>
      </patternFill>
    </fill>
    <fill>
      <patternFill patternType="solid">
        <fgColor theme="0" tint="-0.14999847407452621"/>
        <bgColor indexed="64"/>
      </patternFill>
    </fill>
    <fill>
      <patternFill patternType="solid">
        <fgColor theme="4"/>
        <bgColor indexed="64"/>
      </patternFill>
    </fill>
    <fill>
      <patternFill patternType="solid">
        <fgColor theme="0" tint="-4.9989318521683403E-2"/>
        <bgColor indexed="64"/>
      </patternFill>
    </fill>
    <fill>
      <patternFill patternType="solid">
        <fgColor theme="5" tint="0.39994506668294322"/>
        <bgColor indexed="64"/>
      </patternFill>
    </fill>
    <fill>
      <patternFill patternType="solid">
        <fgColor indexed="61"/>
        <bgColor indexed="64"/>
      </patternFill>
    </fill>
    <fill>
      <patternFill patternType="solid">
        <fgColor indexed="21"/>
        <bgColor indexed="64"/>
      </patternFill>
    </fill>
  </fills>
  <borders count="7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9"/>
      </right>
      <top style="medium">
        <color indexed="64"/>
      </top>
      <bottom style="medium">
        <color indexed="64"/>
      </bottom>
      <diagonal/>
    </border>
    <border>
      <left style="thin">
        <color indexed="9"/>
      </left>
      <right style="thin">
        <color indexed="9"/>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thin">
        <color indexed="9"/>
      </right>
      <top style="medium">
        <color indexed="64"/>
      </top>
      <bottom style="medium">
        <color indexed="64"/>
      </bottom>
      <diagonal/>
    </border>
    <border>
      <left style="medium">
        <color indexed="64"/>
      </left>
      <right/>
      <top/>
      <bottom style="thin">
        <color indexed="9"/>
      </bottom>
      <diagonal/>
    </border>
    <border>
      <left style="medium">
        <color indexed="64"/>
      </left>
      <right style="medium">
        <color indexed="64"/>
      </right>
      <top/>
      <bottom style="thin">
        <color indexed="9"/>
      </bottom>
      <diagonal/>
    </border>
    <border>
      <left style="medium">
        <color indexed="64"/>
      </left>
      <right/>
      <top style="thin">
        <color indexed="9"/>
      </top>
      <bottom style="thin">
        <color indexed="9"/>
      </bottom>
      <diagonal/>
    </border>
    <border>
      <left style="medium">
        <color indexed="64"/>
      </left>
      <right style="medium">
        <color indexed="64"/>
      </right>
      <top style="thin">
        <color indexed="9"/>
      </top>
      <bottom style="thin">
        <color indexed="9"/>
      </bottom>
      <diagonal/>
    </border>
    <border>
      <left style="thin">
        <color indexed="9"/>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9"/>
      </right>
      <top style="medium">
        <color indexed="64"/>
      </top>
      <bottom style="thin">
        <color indexed="9"/>
      </bottom>
      <diagonal/>
    </border>
    <border>
      <left style="thin">
        <color indexed="9"/>
      </left>
      <right style="thin">
        <color indexed="9"/>
      </right>
      <top style="medium">
        <color indexed="64"/>
      </top>
      <bottom style="thin">
        <color indexed="9"/>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right/>
      <top style="medium">
        <color indexed="24"/>
      </top>
      <bottom style="medium">
        <color indexed="24"/>
      </bottom>
      <diagonal/>
    </border>
    <border>
      <left/>
      <right/>
      <top/>
      <bottom style="thin">
        <color indexed="9"/>
      </bottom>
      <diagonal/>
    </border>
    <border>
      <left/>
      <right/>
      <top style="thin">
        <color indexed="9"/>
      </top>
      <bottom/>
      <diagonal/>
    </border>
    <border>
      <left style="medium">
        <color indexed="64"/>
      </left>
      <right/>
      <top style="medium">
        <color indexed="64"/>
      </top>
      <bottom style="thin">
        <color indexed="9"/>
      </bottom>
      <diagonal/>
    </border>
    <border>
      <left style="medium">
        <color indexed="64"/>
      </left>
      <right style="medium">
        <color indexed="64"/>
      </right>
      <top style="medium">
        <color indexed="64"/>
      </top>
      <bottom style="thin">
        <color indexed="9"/>
      </bottom>
      <diagonal/>
    </border>
    <border>
      <left/>
      <right style="medium">
        <color indexed="64"/>
      </right>
      <top style="medium">
        <color indexed="64"/>
      </top>
      <bottom style="thin">
        <color indexed="9"/>
      </bottom>
      <diagonal/>
    </border>
    <border>
      <left style="medium">
        <color indexed="64"/>
      </left>
      <right/>
      <top style="thin">
        <color indexed="64"/>
      </top>
      <bottom style="thin">
        <color indexed="64"/>
      </bottom>
      <diagonal/>
    </border>
    <border>
      <left style="thin">
        <color indexed="9"/>
      </left>
      <right/>
      <top style="medium">
        <color indexed="64"/>
      </top>
      <bottom style="thin">
        <color indexed="9"/>
      </bottom>
      <diagonal/>
    </border>
    <border>
      <left/>
      <right/>
      <top style="medium">
        <color indexed="64"/>
      </top>
      <bottom style="thin">
        <color indexed="9"/>
      </bottom>
      <diagonal/>
    </border>
    <border>
      <left style="medium">
        <color indexed="64"/>
      </left>
      <right/>
      <top/>
      <bottom style="thin">
        <color indexed="64"/>
      </bottom>
      <diagonal/>
    </border>
    <border>
      <left/>
      <right/>
      <top/>
      <bottom style="medium">
        <color indexed="8"/>
      </bottom>
      <diagonal/>
    </border>
    <border>
      <left/>
      <right style="medium">
        <color indexed="64"/>
      </right>
      <top/>
      <bottom style="medium">
        <color indexed="8"/>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medium">
        <color auto="1"/>
      </top>
      <bottom style="thin">
        <color auto="1"/>
      </bottom>
      <diagonal/>
    </border>
    <border>
      <left style="medium">
        <color indexed="64"/>
      </left>
      <right style="medium">
        <color indexed="64"/>
      </right>
      <top style="medium">
        <color indexed="64"/>
      </top>
      <bottom style="thin">
        <color indexed="64"/>
      </bottom>
      <diagonal/>
    </border>
    <border>
      <left style="thin">
        <color auto="1"/>
      </left>
      <right/>
      <top style="thin">
        <color auto="1"/>
      </top>
      <bottom style="thin">
        <color auto="1"/>
      </bottom>
      <diagonal/>
    </border>
    <border>
      <left style="medium">
        <color indexed="64"/>
      </left>
      <right style="medium">
        <color indexed="64"/>
      </right>
      <top style="thin">
        <color auto="1"/>
      </top>
      <bottom style="thin">
        <color auto="1"/>
      </bottom>
      <diagonal/>
    </border>
    <border>
      <left style="thin">
        <color auto="1"/>
      </left>
      <right/>
      <top style="thin">
        <color auto="1"/>
      </top>
      <bottom style="medium">
        <color auto="1"/>
      </bottom>
      <diagonal/>
    </border>
    <border>
      <left style="medium">
        <color indexed="64"/>
      </left>
      <right style="medium">
        <color indexed="64"/>
      </right>
      <top style="thin">
        <color indexed="64"/>
      </top>
      <bottom style="medium">
        <color indexed="64"/>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s>
  <cellStyleXfs count="18">
    <xf numFmtId="0" fontId="0" fillId="0" borderId="0"/>
    <xf numFmtId="168"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23" fillId="0" borderId="0"/>
    <xf numFmtId="186" fontId="34" fillId="7" borderId="41" applyFont="0" applyFill="0" applyBorder="0" applyAlignment="0" applyProtection="0">
      <alignment wrapText="1"/>
    </xf>
    <xf numFmtId="187" fontId="23" fillId="0" borderId="0" applyFont="0" applyFill="0" applyBorder="0" applyAlignment="0" applyProtection="0"/>
    <xf numFmtId="188" fontId="34" fillId="7" borderId="41" applyFont="0" applyFill="0" applyBorder="0" applyAlignment="0" applyProtection="0">
      <alignment wrapText="1"/>
    </xf>
    <xf numFmtId="0" fontId="46" fillId="0" borderId="0"/>
    <xf numFmtId="186" fontId="45" fillId="7" borderId="41" applyFont="0" applyFill="0" applyBorder="0" applyAlignment="0" applyProtection="0">
      <alignment wrapText="1"/>
    </xf>
    <xf numFmtId="188" fontId="45" fillId="7" borderId="41" applyFont="0" applyFill="0" applyBorder="0" applyAlignment="0" applyProtection="0">
      <alignment wrapText="1"/>
    </xf>
    <xf numFmtId="168" fontId="46" fillId="0" borderId="0" applyFont="0" applyFill="0" applyBorder="0" applyAlignment="0" applyProtection="0"/>
    <xf numFmtId="9" fontId="46" fillId="0" borderId="0" applyFont="0" applyFill="0" applyBorder="0" applyAlignment="0" applyProtection="0"/>
    <xf numFmtId="167" fontId="46" fillId="0" borderId="0" applyFont="0" applyFill="0" applyBorder="0" applyAlignment="0" applyProtection="0"/>
    <xf numFmtId="187" fontId="46" fillId="0" borderId="0" applyFont="0" applyFill="0" applyBorder="0" applyAlignment="0" applyProtection="0"/>
    <xf numFmtId="189" fontId="46" fillId="0" borderId="0" applyFont="0" applyFill="0" applyBorder="0" applyAlignment="0" applyProtection="0"/>
    <xf numFmtId="0" fontId="49" fillId="0" borderId="0"/>
    <xf numFmtId="166" fontId="49" fillId="0" borderId="0" applyFont="0" applyFill="0" applyBorder="0" applyAlignment="0" applyProtection="0"/>
  </cellStyleXfs>
  <cellXfs count="460">
    <xf numFmtId="0" fontId="0" fillId="0" borderId="0" xfId="0"/>
    <xf numFmtId="0" fontId="2" fillId="2" borderId="0" xfId="0" applyFont="1" applyFill="1" applyAlignment="1" applyProtection="1">
      <alignment vertical="center"/>
    </xf>
    <xf numFmtId="0" fontId="3" fillId="2" borderId="0" xfId="0" applyFont="1" applyFill="1" applyProtection="1"/>
    <xf numFmtId="0" fontId="4" fillId="2" borderId="1" xfId="0" applyFont="1" applyFill="1" applyBorder="1" applyAlignment="1" applyProtection="1">
      <alignment horizontal="left" vertical="center"/>
    </xf>
    <xf numFmtId="0" fontId="4" fillId="2" borderId="2" xfId="0" applyFont="1" applyFill="1" applyBorder="1" applyAlignment="1" applyProtection="1">
      <alignment horizontal="left" vertical="center"/>
    </xf>
    <xf numFmtId="0" fontId="4" fillId="2" borderId="3" xfId="0" applyFont="1" applyFill="1" applyBorder="1" applyAlignment="1" applyProtection="1">
      <alignment horizontal="left" vertical="center"/>
    </xf>
    <xf numFmtId="0" fontId="2" fillId="2" borderId="0" xfId="0" applyFont="1" applyFill="1" applyBorder="1" applyAlignment="1" applyProtection="1">
      <alignment vertical="center"/>
    </xf>
    <xf numFmtId="0" fontId="4" fillId="2" borderId="0" xfId="0" applyFont="1" applyFill="1" applyBorder="1" applyAlignment="1" applyProtection="1">
      <alignment horizontal="left" vertical="center"/>
    </xf>
    <xf numFmtId="0" fontId="4" fillId="2" borderId="5" xfId="0" applyFont="1" applyFill="1" applyBorder="1" applyAlignment="1" applyProtection="1">
      <alignment horizontal="left" vertical="center"/>
    </xf>
    <xf numFmtId="0" fontId="2" fillId="2" borderId="6" xfId="0" applyFont="1" applyFill="1" applyBorder="1" applyAlignment="1" applyProtection="1">
      <alignment vertical="center"/>
    </xf>
    <xf numFmtId="0" fontId="2" fillId="2" borderId="7" xfId="0" applyFont="1" applyFill="1" applyBorder="1" applyAlignment="1" applyProtection="1">
      <alignment vertical="center"/>
    </xf>
    <xf numFmtId="0" fontId="2" fillId="2" borderId="7" xfId="0" applyFont="1" applyFill="1" applyBorder="1" applyAlignment="1" applyProtection="1">
      <alignment horizontal="center" vertical="center"/>
    </xf>
    <xf numFmtId="0" fontId="2" fillId="2" borderId="8" xfId="0" applyFont="1" applyFill="1" applyBorder="1" applyAlignment="1" applyProtection="1">
      <alignment vertical="center"/>
    </xf>
    <xf numFmtId="0" fontId="2" fillId="2" borderId="8" xfId="0" applyFont="1" applyFill="1" applyBorder="1" applyAlignment="1" applyProtection="1">
      <alignment horizontal="center" vertical="center"/>
    </xf>
    <xf numFmtId="0" fontId="4" fillId="2" borderId="0" xfId="0" applyFont="1" applyFill="1" applyBorder="1" applyAlignment="1" applyProtection="1">
      <alignment vertical="center"/>
    </xf>
    <xf numFmtId="0" fontId="4" fillId="2" borderId="10" xfId="0" applyFont="1" applyFill="1" applyBorder="1" applyAlignment="1" applyProtection="1">
      <alignment horizontal="center" vertical="center"/>
    </xf>
    <xf numFmtId="0" fontId="4" fillId="2" borderId="11" xfId="0" applyFont="1" applyFill="1" applyBorder="1" applyAlignment="1" applyProtection="1">
      <alignment vertical="center"/>
    </xf>
    <xf numFmtId="0" fontId="4" fillId="2" borderId="12" xfId="0" applyFont="1" applyFill="1" applyBorder="1" applyAlignment="1" applyProtection="1">
      <alignment vertical="center"/>
    </xf>
    <xf numFmtId="0" fontId="4" fillId="2" borderId="0" xfId="0" applyFont="1" applyFill="1" applyBorder="1" applyAlignment="1" applyProtection="1">
      <alignment horizontal="center" vertical="center"/>
    </xf>
    <xf numFmtId="0" fontId="4" fillId="2" borderId="5" xfId="0" applyFont="1" applyFill="1" applyBorder="1" applyAlignment="1" applyProtection="1">
      <alignment horizontal="center" vertical="center"/>
    </xf>
    <xf numFmtId="0" fontId="4" fillId="2" borderId="0" xfId="0" applyFont="1" applyFill="1" applyAlignment="1" applyProtection="1">
      <alignment vertical="center"/>
    </xf>
    <xf numFmtId="9" fontId="2" fillId="2" borderId="0" xfId="0" applyNumberFormat="1" applyFont="1" applyFill="1" applyBorder="1" applyAlignment="1" applyProtection="1">
      <alignment horizontal="center" vertical="center"/>
    </xf>
    <xf numFmtId="172" fontId="6" fillId="2" borderId="0" xfId="0" applyNumberFormat="1" applyFont="1" applyFill="1" applyBorder="1" applyAlignment="1" applyProtection="1">
      <alignment vertical="center"/>
    </xf>
    <xf numFmtId="0" fontId="2" fillId="2" borderId="2" xfId="0" applyFont="1" applyFill="1" applyBorder="1" applyAlignment="1" applyProtection="1">
      <alignment vertical="center"/>
    </xf>
    <xf numFmtId="0" fontId="2" fillId="2" borderId="3" xfId="0" applyFont="1" applyFill="1" applyBorder="1" applyAlignment="1" applyProtection="1">
      <alignment vertical="center"/>
    </xf>
    <xf numFmtId="0" fontId="2" fillId="2" borderId="4" xfId="0" applyFont="1" applyFill="1" applyBorder="1" applyAlignment="1" applyProtection="1">
      <alignment vertical="center"/>
    </xf>
    <xf numFmtId="172" fontId="6" fillId="2" borderId="0" xfId="2" applyNumberFormat="1" applyFont="1" applyFill="1" applyBorder="1" applyAlignment="1" applyProtection="1">
      <alignment horizontal="left" vertical="center"/>
    </xf>
    <xf numFmtId="172" fontId="2" fillId="2" borderId="0" xfId="2" applyNumberFormat="1" applyFont="1" applyFill="1" applyBorder="1" applyAlignment="1" applyProtection="1">
      <alignment horizontal="center" vertical="center"/>
    </xf>
    <xf numFmtId="170" fontId="2" fillId="2" borderId="0" xfId="0" applyNumberFormat="1" applyFont="1" applyFill="1" applyBorder="1" applyAlignment="1" applyProtection="1">
      <alignment horizontal="center" vertical="center"/>
    </xf>
    <xf numFmtId="0" fontId="2" fillId="2" borderId="5" xfId="0" applyFont="1" applyFill="1" applyBorder="1" applyAlignment="1" applyProtection="1">
      <alignment vertical="center"/>
    </xf>
    <xf numFmtId="172" fontId="6" fillId="2" borderId="0" xfId="2" applyNumberFormat="1" applyFont="1" applyFill="1" applyBorder="1" applyAlignment="1" applyProtection="1">
      <alignment horizontal="center" vertical="center"/>
    </xf>
    <xf numFmtId="170" fontId="2" fillId="2" borderId="0" xfId="0" applyNumberFormat="1" applyFont="1" applyFill="1" applyBorder="1" applyAlignment="1" applyProtection="1">
      <alignment horizontal="right" vertical="center"/>
    </xf>
    <xf numFmtId="0" fontId="8" fillId="2" borderId="4" xfId="0" applyFont="1" applyFill="1" applyBorder="1" applyAlignment="1" applyProtection="1">
      <alignment vertical="center"/>
    </xf>
    <xf numFmtId="0" fontId="8" fillId="2" borderId="11" xfId="0" applyFont="1" applyFill="1" applyBorder="1" applyAlignment="1" applyProtection="1">
      <alignment horizontal="left" vertical="center"/>
    </xf>
    <xf numFmtId="172" fontId="4" fillId="2" borderId="11" xfId="2" applyNumberFormat="1" applyFont="1" applyFill="1" applyBorder="1" applyAlignment="1" applyProtection="1">
      <alignment horizontal="center" vertical="center"/>
    </xf>
    <xf numFmtId="172" fontId="4" fillId="2" borderId="12" xfId="2" applyNumberFormat="1" applyFont="1" applyFill="1" applyBorder="1" applyAlignment="1" applyProtection="1">
      <alignment horizontal="center" vertical="center"/>
    </xf>
    <xf numFmtId="10" fontId="2" fillId="2" borderId="0" xfId="3" applyNumberFormat="1" applyFont="1" applyFill="1" applyBorder="1" applyAlignment="1" applyProtection="1">
      <alignment horizontal="center" vertical="center"/>
    </xf>
    <xf numFmtId="170" fontId="2" fillId="2" borderId="14" xfId="0" applyNumberFormat="1" applyFont="1" applyFill="1" applyBorder="1" applyAlignment="1" applyProtection="1">
      <alignment horizontal="center" vertical="center"/>
    </xf>
    <xf numFmtId="0" fontId="2" fillId="2" borderId="0" xfId="0" applyFont="1" applyFill="1" applyBorder="1" applyAlignment="1" applyProtection="1">
      <alignment horizontal="center" vertical="center"/>
    </xf>
    <xf numFmtId="171" fontId="5" fillId="2" borderId="0" xfId="0" applyNumberFormat="1" applyFont="1" applyFill="1" applyBorder="1" applyAlignment="1" applyProtection="1">
      <alignment horizontal="center" vertical="center"/>
    </xf>
    <xf numFmtId="0" fontId="6" fillId="2" borderId="0" xfId="0" applyFont="1" applyFill="1" applyBorder="1" applyAlignment="1" applyProtection="1">
      <alignment vertical="center"/>
    </xf>
    <xf numFmtId="0" fontId="4" fillId="2" borderId="19" xfId="0" applyFont="1" applyFill="1" applyBorder="1" applyAlignment="1" applyProtection="1">
      <alignment horizontal="center" vertical="center"/>
    </xf>
    <xf numFmtId="0" fontId="6" fillId="2" borderId="4" xfId="0" applyFont="1" applyFill="1" applyBorder="1" applyAlignment="1" applyProtection="1">
      <alignment vertical="center"/>
    </xf>
    <xf numFmtId="172" fontId="6" fillId="2" borderId="19" xfId="0" applyNumberFormat="1" applyFont="1" applyFill="1" applyBorder="1" applyAlignment="1" applyProtection="1">
      <alignment horizontal="center" vertical="center"/>
    </xf>
    <xf numFmtId="172" fontId="4" fillId="2" borderId="18" xfId="0" applyNumberFormat="1" applyFont="1" applyFill="1" applyBorder="1" applyAlignment="1" applyProtection="1">
      <alignment horizontal="center" vertical="center"/>
    </xf>
    <xf numFmtId="172" fontId="12" fillId="2" borderId="19" xfId="2" applyNumberFormat="1" applyFont="1" applyFill="1" applyBorder="1" applyAlignment="1" applyProtection="1">
      <alignment horizontal="center" vertical="center"/>
    </xf>
    <xf numFmtId="0" fontId="16" fillId="2" borderId="21" xfId="0" applyFont="1" applyFill="1" applyBorder="1" applyAlignment="1" applyProtection="1">
      <alignment vertical="center"/>
    </xf>
    <xf numFmtId="0" fontId="16" fillId="2" borderId="22" xfId="0" applyFont="1" applyFill="1" applyBorder="1" applyAlignment="1" applyProtection="1">
      <alignment horizontal="center" vertical="center"/>
    </xf>
    <xf numFmtId="0" fontId="16" fillId="2" borderId="23" xfId="0" applyFont="1" applyFill="1" applyBorder="1" applyAlignment="1" applyProtection="1">
      <alignment vertical="center"/>
    </xf>
    <xf numFmtId="0" fontId="16" fillId="2" borderId="24" xfId="0" applyFont="1" applyFill="1" applyBorder="1" applyAlignment="1" applyProtection="1">
      <alignment horizontal="center" vertical="center"/>
    </xf>
    <xf numFmtId="0" fontId="15" fillId="2" borderId="4" xfId="0" applyFont="1" applyFill="1" applyBorder="1" applyAlignment="1" applyProtection="1">
      <alignment vertical="center"/>
    </xf>
    <xf numFmtId="0" fontId="15" fillId="2" borderId="19" xfId="0" applyFont="1" applyFill="1" applyBorder="1" applyAlignment="1" applyProtection="1">
      <alignment horizontal="center" vertical="center"/>
    </xf>
    <xf numFmtId="0" fontId="16" fillId="2" borderId="19" xfId="0" applyFont="1" applyFill="1" applyBorder="1" applyAlignment="1" applyProtection="1">
      <alignment horizontal="center" vertical="center"/>
    </xf>
    <xf numFmtId="176" fontId="6" fillId="2" borderId="0" xfId="1" applyNumberFormat="1" applyFont="1" applyFill="1" applyBorder="1" applyAlignment="1" applyProtection="1">
      <alignment horizontal="center" vertical="center"/>
    </xf>
    <xf numFmtId="0" fontId="18" fillId="2" borderId="4" xfId="0" applyFont="1" applyFill="1" applyBorder="1" applyAlignment="1" applyProtection="1">
      <alignment vertical="center"/>
    </xf>
    <xf numFmtId="0" fontId="18" fillId="2" borderId="0" xfId="0" applyFont="1" applyFill="1" applyBorder="1" applyAlignment="1" applyProtection="1">
      <alignment horizontal="center" vertical="center"/>
    </xf>
    <xf numFmtId="0" fontId="18" fillId="2" borderId="6" xfId="0" applyFont="1" applyFill="1" applyBorder="1" applyAlignment="1" applyProtection="1">
      <alignment vertical="center"/>
    </xf>
    <xf numFmtId="0" fontId="18" fillId="2" borderId="7" xfId="0" applyFont="1" applyFill="1" applyBorder="1" applyAlignment="1" applyProtection="1">
      <alignment horizontal="center" vertical="center"/>
    </xf>
    <xf numFmtId="1" fontId="19" fillId="2" borderId="0" xfId="0" applyNumberFormat="1" applyFont="1" applyFill="1" applyAlignment="1" applyProtection="1">
      <alignment vertical="center"/>
    </xf>
    <xf numFmtId="1" fontId="19" fillId="2" borderId="10" xfId="0" applyNumberFormat="1" applyFont="1" applyFill="1" applyBorder="1" applyAlignment="1" applyProtection="1">
      <alignment vertical="center"/>
    </xf>
    <xf numFmtId="0" fontId="4" fillId="2" borderId="18" xfId="0" applyFont="1" applyFill="1" applyBorder="1" applyAlignment="1" applyProtection="1">
      <alignment vertical="center"/>
    </xf>
    <xf numFmtId="172" fontId="2" fillId="2" borderId="0" xfId="2" applyNumberFormat="1" applyFont="1" applyFill="1" applyBorder="1" applyAlignment="1" applyProtection="1">
      <alignment vertical="center"/>
    </xf>
    <xf numFmtId="2" fontId="13" fillId="2" borderId="0" xfId="0" applyNumberFormat="1" applyFont="1" applyFill="1" applyBorder="1" applyAlignment="1" applyProtection="1">
      <alignment horizontal="center" vertical="center"/>
    </xf>
    <xf numFmtId="10" fontId="13" fillId="2" borderId="0" xfId="0" applyNumberFormat="1" applyFont="1" applyFill="1" applyBorder="1" applyAlignment="1" applyProtection="1">
      <alignment horizontal="center" vertical="center"/>
    </xf>
    <xf numFmtId="10" fontId="12" fillId="2" borderId="0" xfId="3" applyNumberFormat="1" applyFont="1" applyFill="1" applyBorder="1" applyAlignment="1" applyProtection="1">
      <alignment horizontal="center" vertical="center"/>
    </xf>
    <xf numFmtId="0" fontId="15" fillId="2" borderId="16" xfId="0" applyFont="1" applyFill="1" applyBorder="1" applyAlignment="1" applyProtection="1">
      <alignment vertical="center"/>
    </xf>
    <xf numFmtId="175" fontId="17" fillId="2" borderId="17" xfId="0" applyNumberFormat="1" applyFont="1" applyFill="1" applyBorder="1" applyAlignment="1" applyProtection="1">
      <alignment horizontal="center" vertical="center"/>
    </xf>
    <xf numFmtId="175" fontId="17" fillId="2" borderId="25" xfId="0" applyNumberFormat="1" applyFont="1" applyFill="1" applyBorder="1" applyAlignment="1" applyProtection="1">
      <alignment horizontal="center" vertical="center"/>
    </xf>
    <xf numFmtId="0" fontId="21" fillId="2" borderId="18" xfId="0" applyFont="1" applyFill="1" applyBorder="1" applyAlignment="1" applyProtection="1">
      <alignment horizontal="center" vertical="center"/>
    </xf>
    <xf numFmtId="0" fontId="2" fillId="2" borderId="2" xfId="0" applyFont="1" applyFill="1" applyBorder="1" applyAlignment="1" applyProtection="1">
      <alignment horizontal="center" vertical="top"/>
    </xf>
    <xf numFmtId="169" fontId="5" fillId="2" borderId="0" xfId="0" applyNumberFormat="1" applyFont="1" applyFill="1" applyBorder="1" applyAlignment="1" applyProtection="1">
      <alignment vertical="center"/>
    </xf>
    <xf numFmtId="164" fontId="4" fillId="2" borderId="18" xfId="0" applyNumberFormat="1" applyFont="1" applyFill="1" applyBorder="1" applyAlignment="1" applyProtection="1">
      <alignment horizontal="center" vertical="center"/>
    </xf>
    <xf numFmtId="175" fontId="17" fillId="2" borderId="11" xfId="0" applyNumberFormat="1" applyFont="1" applyFill="1" applyBorder="1" applyAlignment="1" applyProtection="1">
      <alignment horizontal="center" vertical="center"/>
    </xf>
    <xf numFmtId="175" fontId="17" fillId="2" borderId="12" xfId="0" applyNumberFormat="1" applyFont="1" applyFill="1" applyBorder="1" applyAlignment="1" applyProtection="1">
      <alignment horizontal="center" vertical="center"/>
    </xf>
    <xf numFmtId="0" fontId="3" fillId="5" borderId="10" xfId="0" applyFont="1" applyFill="1" applyBorder="1"/>
    <xf numFmtId="0" fontId="0" fillId="5" borderId="12" xfId="0" applyFill="1" applyBorder="1"/>
    <xf numFmtId="0" fontId="0" fillId="2" borderId="0" xfId="0" applyFill="1" applyBorder="1"/>
    <xf numFmtId="14" fontId="0" fillId="0" borderId="0" xfId="0" applyNumberFormat="1"/>
    <xf numFmtId="0" fontId="0" fillId="0" borderId="0" xfId="0" applyBorder="1"/>
    <xf numFmtId="182" fontId="0" fillId="3" borderId="0" xfId="0" applyNumberFormat="1" applyFill="1" applyBorder="1"/>
    <xf numFmtId="0" fontId="0" fillId="0" borderId="4" xfId="0" applyBorder="1"/>
    <xf numFmtId="182" fontId="0" fillId="0" borderId="0" xfId="0" applyNumberFormat="1"/>
    <xf numFmtId="9" fontId="23" fillId="3" borderId="1" xfId="3" applyFont="1" applyFill="1" applyBorder="1"/>
    <xf numFmtId="0" fontId="0" fillId="0" borderId="0" xfId="0" applyFill="1" applyBorder="1"/>
    <xf numFmtId="177" fontId="23" fillId="3" borderId="5" xfId="3" applyNumberFormat="1" applyFont="1" applyFill="1" applyBorder="1"/>
    <xf numFmtId="0" fontId="25" fillId="2" borderId="5" xfId="0" applyFont="1" applyFill="1" applyBorder="1" applyAlignment="1">
      <alignment horizontal="right"/>
    </xf>
    <xf numFmtId="0" fontId="6" fillId="0" borderId="4" xfId="0" applyFont="1" applyFill="1" applyBorder="1" applyAlignment="1" applyProtection="1">
      <alignment vertical="center"/>
    </xf>
    <xf numFmtId="0" fontId="6" fillId="0" borderId="0" xfId="0" applyFont="1" applyFill="1" applyBorder="1" applyAlignment="1" applyProtection="1">
      <alignment vertical="center"/>
    </xf>
    <xf numFmtId="177" fontId="23" fillId="3" borderId="8" xfId="3" applyNumberFormat="1" applyFont="1" applyFill="1" applyBorder="1"/>
    <xf numFmtId="0" fontId="26" fillId="3" borderId="0" xfId="0" applyFont="1" applyFill="1"/>
    <xf numFmtId="0" fontId="24" fillId="0" borderId="26" xfId="0" applyFont="1" applyBorder="1"/>
    <xf numFmtId="0" fontId="24" fillId="0" borderId="29" xfId="0" applyFont="1" applyBorder="1"/>
    <xf numFmtId="182" fontId="0" fillId="2" borderId="28" xfId="0" applyNumberFormat="1" applyFill="1" applyBorder="1" applyAlignment="1">
      <alignment horizontal="right"/>
    </xf>
    <xf numFmtId="0" fontId="0" fillId="3" borderId="0" xfId="0" applyFill="1"/>
    <xf numFmtId="0" fontId="0" fillId="0" borderId="30" xfId="0" applyBorder="1" applyAlignment="1">
      <alignment horizontal="center"/>
    </xf>
    <xf numFmtId="172" fontId="23" fillId="3" borderId="28" xfId="2" applyNumberFormat="1" applyFont="1" applyFill="1" applyBorder="1" applyAlignment="1">
      <alignment horizontal="right"/>
    </xf>
    <xf numFmtId="183" fontId="27" fillId="3" borderId="0" xfId="1" applyNumberFormat="1" applyFont="1" applyFill="1" applyBorder="1" applyAlignment="1">
      <alignment horizontal="center" vertical="center"/>
    </xf>
    <xf numFmtId="183" fontId="27" fillId="3" borderId="0" xfId="0" applyNumberFormat="1" applyFont="1" applyFill="1" applyBorder="1"/>
    <xf numFmtId="0" fontId="27" fillId="3" borderId="0" xfId="0" applyFont="1" applyFill="1" applyBorder="1"/>
    <xf numFmtId="9" fontId="0" fillId="2" borderId="28" xfId="0" applyNumberFormat="1" applyFill="1" applyBorder="1"/>
    <xf numFmtId="172" fontId="0" fillId="2" borderId="11" xfId="0" applyNumberFormat="1" applyFill="1" applyBorder="1"/>
    <xf numFmtId="182" fontId="0" fillId="0" borderId="0" xfId="0" applyNumberFormat="1" applyFill="1" applyBorder="1"/>
    <xf numFmtId="0" fontId="0" fillId="0" borderId="0" xfId="0" applyFill="1"/>
    <xf numFmtId="1" fontId="2" fillId="0" borderId="0" xfId="0" applyNumberFormat="1" applyFont="1" applyFill="1" applyBorder="1" applyAlignment="1" applyProtection="1">
      <alignment horizontal="center" vertical="center"/>
    </xf>
    <xf numFmtId="0" fontId="0" fillId="3" borderId="5" xfId="0" applyFill="1" applyBorder="1"/>
    <xf numFmtId="10" fontId="2" fillId="0" borderId="0" xfId="3" applyNumberFormat="1" applyFont="1" applyFill="1" applyBorder="1" applyAlignment="1" applyProtection="1">
      <alignment horizontal="center" vertical="center"/>
    </xf>
    <xf numFmtId="9" fontId="5" fillId="0" borderId="0" xfId="3" applyFont="1" applyFill="1" applyBorder="1" applyAlignment="1" applyProtection="1">
      <alignment horizontal="center" vertical="center"/>
    </xf>
    <xf numFmtId="0" fontId="6" fillId="0" borderId="11" xfId="0" applyFont="1" applyFill="1" applyBorder="1" applyAlignment="1" applyProtection="1">
      <alignment vertical="center"/>
    </xf>
    <xf numFmtId="0" fontId="6" fillId="0" borderId="7" xfId="0" applyFont="1" applyFill="1" applyBorder="1" applyAlignment="1" applyProtection="1">
      <alignment vertical="center"/>
    </xf>
    <xf numFmtId="172" fontId="6" fillId="0" borderId="0" xfId="2" applyNumberFormat="1" applyFont="1" applyFill="1" applyBorder="1" applyAlignment="1" applyProtection="1">
      <alignment horizontal="center" vertical="center"/>
    </xf>
    <xf numFmtId="172" fontId="13" fillId="0" borderId="19" xfId="2" applyNumberFormat="1" applyFont="1" applyFill="1" applyBorder="1" applyAlignment="1" applyProtection="1">
      <alignment horizontal="center" vertical="center"/>
    </xf>
    <xf numFmtId="172" fontId="14" fillId="0" borderId="19" xfId="2" applyNumberFormat="1" applyFont="1" applyFill="1" applyBorder="1" applyAlignment="1" applyProtection="1">
      <alignment horizontal="center" vertical="center"/>
    </xf>
    <xf numFmtId="172" fontId="15" fillId="0" borderId="19" xfId="2" applyNumberFormat="1" applyFont="1" applyFill="1" applyBorder="1" applyAlignment="1" applyProtection="1">
      <alignment horizontal="center" vertical="center"/>
    </xf>
    <xf numFmtId="172" fontId="12" fillId="0" borderId="19" xfId="2" applyNumberFormat="1" applyFont="1" applyFill="1" applyBorder="1" applyAlignment="1" applyProtection="1">
      <alignment horizontal="center" vertical="center"/>
    </xf>
    <xf numFmtId="0" fontId="2" fillId="2" borderId="19" xfId="0" applyFont="1" applyFill="1" applyBorder="1" applyAlignment="1" applyProtection="1">
      <alignment vertical="center"/>
    </xf>
    <xf numFmtId="0" fontId="4" fillId="2" borderId="6" xfId="0" applyFont="1" applyFill="1" applyBorder="1" applyAlignment="1" applyProtection="1">
      <alignment vertical="center"/>
    </xf>
    <xf numFmtId="3" fontId="4" fillId="2" borderId="34" xfId="0" applyNumberFormat="1" applyFont="1" applyFill="1" applyBorder="1" applyAlignment="1" applyProtection="1">
      <alignment horizontal="center" vertical="center"/>
    </xf>
    <xf numFmtId="172" fontId="0" fillId="3" borderId="0" xfId="2" applyNumberFormat="1" applyFont="1" applyFill="1" applyBorder="1"/>
    <xf numFmtId="183" fontId="0" fillId="3" borderId="0" xfId="0" applyNumberFormat="1" applyFill="1" applyBorder="1"/>
    <xf numFmtId="0" fontId="0" fillId="3" borderId="0" xfId="0" applyFill="1" applyBorder="1"/>
    <xf numFmtId="0" fontId="24" fillId="0" borderId="0" xfId="0" applyFont="1" applyBorder="1"/>
    <xf numFmtId="172" fontId="0" fillId="0" borderId="0" xfId="2" applyNumberFormat="1" applyFont="1" applyBorder="1" applyAlignment="1">
      <alignment horizontal="right"/>
    </xf>
    <xf numFmtId="183" fontId="0" fillId="0" borderId="0" xfId="0" applyNumberFormat="1" applyBorder="1" applyAlignment="1">
      <alignment horizontal="right" vertical="center"/>
    </xf>
    <xf numFmtId="0" fontId="0" fillId="0" borderId="0" xfId="0" applyBorder="1" applyAlignment="1">
      <alignment horizontal="right" vertical="center"/>
    </xf>
    <xf numFmtId="3" fontId="0" fillId="0" borderId="0" xfId="0" applyNumberFormat="1" applyBorder="1" applyAlignment="1">
      <alignment horizontal="right" vertical="center" wrapText="1"/>
    </xf>
    <xf numFmtId="172" fontId="23" fillId="3" borderId="13" xfId="2" applyNumberFormat="1" applyFont="1" applyFill="1" applyBorder="1" applyAlignment="1">
      <alignment horizontal="right"/>
    </xf>
    <xf numFmtId="182" fontId="0" fillId="2" borderId="13" xfId="0" applyNumberFormat="1" applyFill="1" applyBorder="1" applyAlignment="1">
      <alignment horizontal="right"/>
    </xf>
    <xf numFmtId="183" fontId="0" fillId="2" borderId="28" xfId="0" applyNumberFormat="1" applyFill="1" applyBorder="1" applyAlignment="1">
      <alignment horizontal="right" vertical="center"/>
    </xf>
    <xf numFmtId="182" fontId="0" fillId="0" borderId="0" xfId="0" applyNumberFormat="1" applyFill="1" applyBorder="1" applyAlignment="1">
      <alignment horizontal="right"/>
    </xf>
    <xf numFmtId="182" fontId="24" fillId="0" borderId="0" xfId="0" applyNumberFormat="1" applyFont="1" applyFill="1" applyBorder="1" applyAlignment="1">
      <alignment horizontal="right"/>
    </xf>
    <xf numFmtId="183" fontId="0" fillId="2" borderId="13" xfId="0" applyNumberFormat="1" applyFill="1" applyBorder="1" applyAlignment="1">
      <alignment horizontal="right" vertical="center"/>
    </xf>
    <xf numFmtId="183" fontId="0" fillId="2" borderId="27" xfId="0" applyNumberFormat="1" applyFill="1" applyBorder="1" applyAlignment="1">
      <alignment horizontal="right" vertical="center"/>
    </xf>
    <xf numFmtId="3" fontId="0" fillId="2" borderId="27" xfId="0" applyNumberFormat="1" applyFill="1" applyBorder="1" applyAlignment="1">
      <alignment horizontal="right" vertical="center" wrapText="1"/>
    </xf>
    <xf numFmtId="182" fontId="24" fillId="0" borderId="27" xfId="0" applyNumberFormat="1" applyFont="1" applyFill="1" applyBorder="1" applyAlignment="1">
      <alignment horizontal="right"/>
    </xf>
    <xf numFmtId="0" fontId="0" fillId="0" borderId="31" xfId="0" applyFill="1" applyBorder="1"/>
    <xf numFmtId="185" fontId="0" fillId="0" borderId="28" xfId="1" applyNumberFormat="1" applyFont="1" applyFill="1" applyBorder="1"/>
    <xf numFmtId="185" fontId="0" fillId="2" borderId="28" xfId="1" applyNumberFormat="1" applyFont="1" applyFill="1" applyBorder="1" applyAlignment="1">
      <alignment horizontal="right"/>
    </xf>
    <xf numFmtId="0" fontId="0" fillId="0" borderId="28" xfId="0" applyBorder="1"/>
    <xf numFmtId="185" fontId="0" fillId="0" borderId="15" xfId="1" applyNumberFormat="1" applyFont="1" applyFill="1" applyBorder="1"/>
    <xf numFmtId="185" fontId="0" fillId="2" borderId="15" xfId="1" applyNumberFormat="1" applyFont="1" applyFill="1" applyBorder="1" applyAlignment="1">
      <alignment horizontal="right"/>
    </xf>
    <xf numFmtId="0" fontId="0" fillId="0" borderId="15" xfId="0" applyBorder="1"/>
    <xf numFmtId="185" fontId="0" fillId="0" borderId="36" xfId="1" applyNumberFormat="1" applyFont="1" applyFill="1" applyBorder="1"/>
    <xf numFmtId="185" fontId="0" fillId="2" borderId="36" xfId="1" applyNumberFormat="1" applyFont="1" applyFill="1" applyBorder="1" applyAlignment="1">
      <alignment horizontal="right"/>
    </xf>
    <xf numFmtId="0" fontId="0" fillId="0" borderId="36" xfId="0" applyFill="1" applyBorder="1"/>
    <xf numFmtId="0" fontId="24" fillId="0" borderId="38" xfId="0" applyFont="1" applyBorder="1"/>
    <xf numFmtId="0" fontId="0" fillId="0" borderId="39" xfId="0" applyBorder="1" applyAlignment="1">
      <alignment horizontal="center"/>
    </xf>
    <xf numFmtId="0" fontId="25" fillId="0" borderId="39" xfId="0" applyFont="1" applyBorder="1" applyAlignment="1">
      <alignment horizontal="center"/>
    </xf>
    <xf numFmtId="182" fontId="0" fillId="0" borderId="39" xfId="0" applyNumberFormat="1" applyBorder="1"/>
    <xf numFmtId="0" fontId="0" fillId="0" borderId="39" xfId="0" applyBorder="1"/>
    <xf numFmtId="0" fontId="0" fillId="0" borderId="9" xfId="0" applyBorder="1"/>
    <xf numFmtId="0" fontId="0" fillId="0" borderId="30" xfId="0" applyBorder="1" applyAlignment="1">
      <alignment horizontal="right"/>
    </xf>
    <xf numFmtId="0" fontId="0" fillId="0" borderId="30" xfId="0" applyBorder="1" applyAlignment="1">
      <alignment horizontal="center" vertical="center"/>
    </xf>
    <xf numFmtId="0" fontId="0" fillId="0" borderId="35" xfId="0" applyBorder="1" applyAlignment="1">
      <alignment horizontal="center" vertical="center"/>
    </xf>
    <xf numFmtId="0" fontId="0" fillId="0" borderId="40" xfId="0" applyBorder="1" applyAlignment="1">
      <alignment horizontal="center" vertical="center"/>
    </xf>
    <xf numFmtId="185" fontId="0" fillId="0" borderId="36" xfId="1" applyNumberFormat="1" applyFont="1" applyBorder="1"/>
    <xf numFmtId="0" fontId="0" fillId="0" borderId="36" xfId="0" applyBorder="1"/>
    <xf numFmtId="0" fontId="6" fillId="2" borderId="32" xfId="0" applyFont="1" applyFill="1" applyBorder="1" applyAlignment="1" applyProtection="1">
      <alignment horizontal="center" vertical="center"/>
    </xf>
    <xf numFmtId="0" fontId="2" fillId="2" borderId="0" xfId="0" quotePrefix="1" applyFont="1" applyFill="1" applyAlignment="1" applyProtection="1">
      <alignment vertical="center"/>
    </xf>
    <xf numFmtId="0" fontId="4" fillId="2" borderId="0" xfId="0" quotePrefix="1" applyFont="1" applyFill="1" applyAlignment="1" applyProtection="1">
      <alignment vertical="center"/>
    </xf>
    <xf numFmtId="0" fontId="4" fillId="2" borderId="4" xfId="0" applyFont="1" applyFill="1" applyBorder="1" applyAlignment="1" applyProtection="1">
      <alignment horizontal="left" vertical="center"/>
    </xf>
    <xf numFmtId="185" fontId="2" fillId="2" borderId="0" xfId="0" applyNumberFormat="1" applyFont="1" applyFill="1" applyAlignment="1" applyProtection="1">
      <alignment vertical="center"/>
    </xf>
    <xf numFmtId="0" fontId="6" fillId="2" borderId="2" xfId="0" applyFont="1" applyFill="1" applyBorder="1" applyAlignment="1" applyProtection="1">
      <alignment vertical="center"/>
    </xf>
    <xf numFmtId="0" fontId="6" fillId="2" borderId="4" xfId="0" applyFont="1" applyFill="1" applyBorder="1" applyAlignment="1" applyProtection="1">
      <alignment horizontal="center" vertical="center"/>
    </xf>
    <xf numFmtId="3" fontId="4" fillId="2" borderId="33" xfId="0" applyNumberFormat="1" applyFont="1" applyFill="1" applyBorder="1" applyAlignment="1" applyProtection="1">
      <alignment horizontal="left" vertical="center"/>
    </xf>
    <xf numFmtId="3" fontId="35" fillId="2" borderId="33" xfId="0" applyNumberFormat="1" applyFont="1" applyFill="1" applyBorder="1" applyAlignment="1" applyProtection="1">
      <alignment horizontal="center" vertical="center"/>
    </xf>
    <xf numFmtId="3" fontId="36" fillId="2" borderId="4" xfId="0" applyNumberFormat="1" applyFont="1" applyFill="1" applyBorder="1" applyAlignment="1" applyProtection="1">
      <alignment horizontal="center" vertical="center"/>
    </xf>
    <xf numFmtId="10" fontId="36" fillId="2" borderId="0" xfId="3" applyNumberFormat="1" applyFont="1" applyFill="1" applyBorder="1" applyAlignment="1" applyProtection="1">
      <alignment horizontal="center" vertical="center"/>
    </xf>
    <xf numFmtId="10" fontId="36" fillId="2" borderId="5" xfId="3" applyNumberFormat="1" applyFont="1" applyFill="1" applyBorder="1" applyAlignment="1" applyProtection="1">
      <alignment horizontal="center" vertical="center"/>
    </xf>
    <xf numFmtId="172" fontId="37" fillId="2" borderId="4" xfId="0" applyNumberFormat="1" applyFont="1" applyFill="1" applyBorder="1" applyAlignment="1" applyProtection="1">
      <alignment horizontal="center" vertical="center"/>
    </xf>
    <xf numFmtId="0" fontId="37" fillId="2" borderId="0" xfId="0" applyFont="1" applyFill="1" applyBorder="1" applyAlignment="1" applyProtection="1">
      <alignment horizontal="center" vertical="center"/>
    </xf>
    <xf numFmtId="0" fontId="37" fillId="2" borderId="0" xfId="0" quotePrefix="1" applyFont="1" applyFill="1" applyBorder="1" applyAlignment="1" applyProtection="1">
      <alignment horizontal="center" vertical="center"/>
    </xf>
    <xf numFmtId="3" fontId="37" fillId="2" borderId="0" xfId="0" applyNumberFormat="1" applyFont="1" applyFill="1" applyBorder="1" applyAlignment="1" applyProtection="1">
      <alignment horizontal="center" vertical="center"/>
    </xf>
    <xf numFmtId="0" fontId="37" fillId="2" borderId="5" xfId="0" applyFont="1" applyFill="1" applyBorder="1" applyAlignment="1" applyProtection="1">
      <alignment horizontal="center" vertical="center"/>
    </xf>
    <xf numFmtId="3" fontId="35" fillId="2" borderId="11" xfId="0" applyNumberFormat="1" applyFont="1" applyFill="1" applyBorder="1" applyAlignment="1" applyProtection="1">
      <alignment horizontal="center" vertical="center"/>
    </xf>
    <xf numFmtId="3" fontId="35" fillId="2" borderId="12" xfId="0" applyNumberFormat="1" applyFont="1" applyFill="1" applyBorder="1" applyAlignment="1" applyProtection="1">
      <alignment horizontal="center" vertical="center"/>
    </xf>
    <xf numFmtId="172" fontId="39" fillId="2" borderId="4" xfId="2" applyNumberFormat="1" applyFont="1" applyFill="1" applyBorder="1" applyAlignment="1" applyProtection="1">
      <alignment horizontal="center" vertical="center"/>
    </xf>
    <xf numFmtId="172" fontId="39" fillId="2" borderId="0" xfId="2" applyNumberFormat="1" applyFont="1" applyFill="1" applyBorder="1" applyAlignment="1" applyProtection="1">
      <alignment horizontal="center" vertical="center"/>
    </xf>
    <xf numFmtId="172" fontId="37" fillId="2" borderId="4" xfId="2" applyNumberFormat="1" applyFont="1" applyFill="1" applyBorder="1" applyAlignment="1" applyProtection="1">
      <alignment horizontal="center" vertical="center"/>
    </xf>
    <xf numFmtId="172" fontId="37" fillId="2" borderId="0" xfId="2" applyNumberFormat="1" applyFont="1" applyFill="1" applyBorder="1" applyAlignment="1" applyProtection="1">
      <alignment horizontal="center" vertical="center"/>
    </xf>
    <xf numFmtId="172" fontId="37" fillId="2" borderId="5" xfId="2" applyNumberFormat="1" applyFont="1" applyFill="1" applyBorder="1" applyAlignment="1" applyProtection="1">
      <alignment horizontal="center" vertical="center"/>
    </xf>
    <xf numFmtId="172" fontId="39" fillId="2" borderId="5" xfId="2" applyNumberFormat="1" applyFont="1" applyFill="1" applyBorder="1" applyAlignment="1" applyProtection="1">
      <alignment horizontal="center" vertical="center"/>
    </xf>
    <xf numFmtId="172" fontId="40" fillId="2" borderId="4" xfId="2" applyNumberFormat="1" applyFont="1" applyFill="1" applyBorder="1" applyAlignment="1" applyProtection="1">
      <alignment horizontal="center" vertical="center"/>
    </xf>
    <xf numFmtId="172" fontId="40" fillId="2" borderId="0" xfId="2" applyNumberFormat="1" applyFont="1" applyFill="1" applyBorder="1" applyAlignment="1" applyProtection="1">
      <alignment horizontal="center" vertical="center"/>
    </xf>
    <xf numFmtId="0" fontId="37" fillId="2" borderId="4" xfId="0" applyFont="1" applyFill="1" applyBorder="1" applyAlignment="1" applyProtection="1">
      <alignment horizontal="center" vertical="center"/>
    </xf>
    <xf numFmtId="9" fontId="41" fillId="2" borderId="0" xfId="3" applyFont="1" applyFill="1" applyBorder="1" applyAlignment="1" applyProtection="1">
      <alignment horizontal="center" vertical="center"/>
    </xf>
    <xf numFmtId="10" fontId="41" fillId="2" borderId="0" xfId="3" applyNumberFormat="1" applyFont="1" applyFill="1" applyBorder="1" applyAlignment="1" applyProtection="1">
      <alignment horizontal="center" vertical="center"/>
    </xf>
    <xf numFmtId="172" fontId="37" fillId="2" borderId="7" xfId="2" applyNumberFormat="1" applyFont="1" applyFill="1" applyBorder="1" applyAlignment="1" applyProtection="1">
      <alignment horizontal="center" vertical="center"/>
    </xf>
    <xf numFmtId="172" fontId="37" fillId="2" borderId="8" xfId="2" applyNumberFormat="1" applyFont="1" applyFill="1" applyBorder="1" applyAlignment="1" applyProtection="1">
      <alignment horizontal="center" vertical="center"/>
    </xf>
    <xf numFmtId="172" fontId="35" fillId="2" borderId="16" xfId="0" applyNumberFormat="1" applyFont="1" applyFill="1" applyBorder="1" applyAlignment="1" applyProtection="1">
      <alignment horizontal="center" vertical="center"/>
    </xf>
    <xf numFmtId="176" fontId="37" fillId="2" borderId="0" xfId="1" applyNumberFormat="1" applyFont="1" applyFill="1" applyBorder="1" applyAlignment="1" applyProtection="1">
      <alignment horizontal="center" vertical="center"/>
    </xf>
    <xf numFmtId="177" fontId="43" fillId="2" borderId="0" xfId="0" applyNumberFormat="1" applyFont="1" applyFill="1" applyBorder="1" applyAlignment="1" applyProtection="1">
      <alignment horizontal="center" vertical="center"/>
    </xf>
    <xf numFmtId="177" fontId="37" fillId="2" borderId="0" xfId="0" applyNumberFormat="1" applyFont="1" applyFill="1" applyBorder="1" applyAlignment="1" applyProtection="1">
      <alignment horizontal="center" vertical="center"/>
    </xf>
    <xf numFmtId="3" fontId="35" fillId="2" borderId="5" xfId="0" applyNumberFormat="1" applyFont="1" applyFill="1" applyBorder="1" applyAlignment="1" applyProtection="1">
      <alignment horizontal="center" vertical="center"/>
    </xf>
    <xf numFmtId="3" fontId="43" fillId="2" borderId="0" xfId="0" applyNumberFormat="1" applyFont="1" applyFill="1" applyBorder="1" applyAlignment="1" applyProtection="1">
      <alignment horizontal="center" vertical="center"/>
    </xf>
    <xf numFmtId="178" fontId="44" fillId="2" borderId="8" xfId="0" applyNumberFormat="1" applyFont="1" applyFill="1" applyBorder="1" applyAlignment="1" applyProtection="1">
      <alignment horizontal="center" vertical="center"/>
    </xf>
    <xf numFmtId="0" fontId="37" fillId="2" borderId="7" xfId="0" applyFont="1" applyFill="1" applyBorder="1" applyAlignment="1" applyProtection="1">
      <alignment horizontal="center" vertical="center"/>
    </xf>
    <xf numFmtId="0" fontId="37" fillId="2" borderId="8" xfId="0" applyFont="1" applyFill="1" applyBorder="1" applyAlignment="1" applyProtection="1">
      <alignment horizontal="center" vertical="center"/>
    </xf>
    <xf numFmtId="0" fontId="37" fillId="2" borderId="0" xfId="0" applyFont="1" applyFill="1" applyAlignment="1" applyProtection="1">
      <alignment horizontal="center" vertical="center"/>
    </xf>
    <xf numFmtId="172" fontId="42" fillId="2" borderId="0" xfId="2" applyNumberFormat="1" applyFont="1" applyFill="1" applyBorder="1" applyAlignment="1" applyProtection="1">
      <alignment horizontal="center" vertical="center"/>
    </xf>
    <xf numFmtId="10" fontId="38" fillId="2" borderId="0" xfId="3" applyNumberFormat="1" applyFont="1" applyFill="1" applyBorder="1" applyAlignment="1" applyProtection="1">
      <alignment horizontal="center" vertical="center"/>
    </xf>
    <xf numFmtId="172" fontId="42" fillId="2" borderId="5" xfId="2" applyNumberFormat="1" applyFont="1" applyFill="1" applyBorder="1" applyAlignment="1" applyProtection="1">
      <alignment horizontal="center" vertical="center"/>
    </xf>
    <xf numFmtId="10" fontId="6" fillId="9" borderId="0" xfId="0" applyNumberFormat="1" applyFont="1" applyFill="1" applyBorder="1" applyAlignment="1" applyProtection="1">
      <alignment horizontal="center" vertical="center"/>
    </xf>
    <xf numFmtId="0" fontId="15" fillId="6" borderId="10" xfId="0" applyFont="1" applyFill="1" applyBorder="1" applyAlignment="1" applyProtection="1">
      <alignment horizontal="center" vertical="center"/>
    </xf>
    <xf numFmtId="10" fontId="5" fillId="9" borderId="0" xfId="3" applyNumberFormat="1" applyFont="1" applyFill="1" applyBorder="1" applyAlignment="1" applyProtection="1">
      <alignment horizontal="center" vertical="center"/>
    </xf>
    <xf numFmtId="172" fontId="35" fillId="2" borderId="11" xfId="0" applyNumberFormat="1" applyFont="1" applyFill="1" applyBorder="1" applyAlignment="1" applyProtection="1">
      <alignment horizontal="center" vertical="center"/>
    </xf>
    <xf numFmtId="185" fontId="37" fillId="2" borderId="0" xfId="0" applyNumberFormat="1" applyFont="1" applyFill="1" applyBorder="1" applyAlignment="1" applyProtection="1">
      <alignment horizontal="center" vertical="center"/>
    </xf>
    <xf numFmtId="185" fontId="2" fillId="2" borderId="0" xfId="0" applyNumberFormat="1" applyFont="1" applyFill="1" applyBorder="1" applyAlignment="1" applyProtection="1">
      <alignment vertical="center"/>
    </xf>
    <xf numFmtId="172" fontId="35" fillId="2" borderId="12" xfId="0" applyNumberFormat="1" applyFont="1" applyFill="1" applyBorder="1" applyAlignment="1" applyProtection="1">
      <alignment horizontal="center" vertical="center"/>
    </xf>
    <xf numFmtId="3" fontId="35" fillId="2" borderId="34" xfId="0" applyNumberFormat="1" applyFont="1" applyFill="1" applyBorder="1" applyAlignment="1" applyProtection="1">
      <alignment horizontal="center" vertical="center"/>
    </xf>
    <xf numFmtId="172" fontId="40" fillId="2" borderId="20" xfId="2" applyNumberFormat="1" applyFont="1" applyFill="1" applyBorder="1" applyAlignment="1" applyProtection="1">
      <alignment horizontal="center" vertical="center"/>
    </xf>
    <xf numFmtId="172" fontId="40" fillId="2" borderId="11" xfId="2" applyNumberFormat="1" applyFont="1" applyFill="1" applyBorder="1" applyAlignment="1" applyProtection="1">
      <alignment horizontal="center" vertical="center"/>
    </xf>
    <xf numFmtId="172" fontId="40" fillId="2" borderId="12" xfId="2" applyNumberFormat="1" applyFont="1" applyFill="1" applyBorder="1" applyAlignment="1" applyProtection="1">
      <alignment horizontal="center" vertical="center"/>
    </xf>
    <xf numFmtId="9" fontId="41" fillId="2" borderId="42" xfId="3" applyFont="1" applyFill="1" applyBorder="1" applyAlignment="1" applyProtection="1">
      <alignment horizontal="center" vertical="center"/>
    </xf>
    <xf numFmtId="10" fontId="41" fillId="2" borderId="43" xfId="3" applyNumberFormat="1" applyFont="1" applyFill="1" applyBorder="1" applyAlignment="1" applyProtection="1">
      <alignment horizontal="center" vertical="center"/>
    </xf>
    <xf numFmtId="3" fontId="37" fillId="2" borderId="6" xfId="0" applyNumberFormat="1" applyFont="1" applyFill="1" applyBorder="1" applyAlignment="1" applyProtection="1">
      <alignment horizontal="center" vertical="center"/>
    </xf>
    <xf numFmtId="3" fontId="37" fillId="2" borderId="7" xfId="0" applyNumberFormat="1" applyFont="1" applyFill="1" applyBorder="1" applyAlignment="1" applyProtection="1">
      <alignment horizontal="center" vertical="center"/>
    </xf>
    <xf numFmtId="3" fontId="38" fillId="2" borderId="7" xfId="0" applyNumberFormat="1" applyFont="1" applyFill="1" applyBorder="1" applyAlignment="1" applyProtection="1">
      <alignment horizontal="center" vertical="center"/>
    </xf>
    <xf numFmtId="0" fontId="6" fillId="2" borderId="4" xfId="0" applyFont="1" applyFill="1" applyBorder="1" applyAlignment="1" applyProtection="1">
      <alignment vertical="center" wrapText="1"/>
    </xf>
    <xf numFmtId="0" fontId="10" fillId="2" borderId="0" xfId="0" applyFont="1" applyFill="1" applyBorder="1" applyAlignment="1" applyProtection="1">
      <alignment vertical="center"/>
    </xf>
    <xf numFmtId="49" fontId="4" fillId="2" borderId="44" xfId="0" applyNumberFormat="1" applyFont="1" applyFill="1" applyBorder="1" applyAlignment="1" applyProtection="1">
      <alignment vertical="center"/>
    </xf>
    <xf numFmtId="179" fontId="4" fillId="2" borderId="45" xfId="0" applyNumberFormat="1" applyFont="1" applyFill="1" applyBorder="1" applyAlignment="1" applyProtection="1">
      <alignment horizontal="center" vertical="center"/>
    </xf>
    <xf numFmtId="0" fontId="4" fillId="0" borderId="4" xfId="0" applyFont="1" applyFill="1" applyBorder="1" applyAlignment="1" applyProtection="1">
      <alignment vertical="center"/>
    </xf>
    <xf numFmtId="0" fontId="7" fillId="0" borderId="4" xfId="0" applyFont="1" applyFill="1" applyBorder="1" applyAlignment="1" applyProtection="1">
      <alignment vertical="center"/>
    </xf>
    <xf numFmtId="0" fontId="6" fillId="0" borderId="4" xfId="0" applyFont="1" applyFill="1" applyBorder="1" applyAlignment="1" applyProtection="1">
      <alignment vertical="center" wrapText="1"/>
    </xf>
    <xf numFmtId="0" fontId="12" fillId="2" borderId="4" xfId="0" applyFont="1" applyFill="1" applyBorder="1" applyAlignment="1" applyProtection="1">
      <alignment vertical="center"/>
    </xf>
    <xf numFmtId="0" fontId="17" fillId="6" borderId="10" xfId="0" applyFont="1" applyFill="1" applyBorder="1" applyAlignment="1" applyProtection="1">
      <alignment vertical="center"/>
    </xf>
    <xf numFmtId="10" fontId="41" fillId="2" borderId="5" xfId="3" applyNumberFormat="1" applyFont="1" applyFill="1" applyBorder="1" applyAlignment="1" applyProtection="1">
      <alignment horizontal="center" vertical="center"/>
    </xf>
    <xf numFmtId="10" fontId="6" fillId="9" borderId="3" xfId="3" applyNumberFormat="1" applyFont="1" applyFill="1" applyBorder="1" applyAlignment="1" applyProtection="1">
      <alignment vertical="center"/>
    </xf>
    <xf numFmtId="10" fontId="6" fillId="9" borderId="5" xfId="3" applyNumberFormat="1" applyFont="1" applyFill="1" applyBorder="1" applyAlignment="1" applyProtection="1">
      <alignment horizontal="center" vertical="center"/>
    </xf>
    <xf numFmtId="10" fontId="6" fillId="9" borderId="5" xfId="3" applyNumberFormat="1" applyFont="1" applyFill="1" applyBorder="1" applyAlignment="1" applyProtection="1">
      <alignment vertical="center"/>
    </xf>
    <xf numFmtId="10" fontId="2" fillId="9" borderId="5" xfId="3" applyNumberFormat="1" applyFont="1" applyFill="1" applyBorder="1" applyAlignment="1" applyProtection="1">
      <alignment vertical="center"/>
    </xf>
    <xf numFmtId="185" fontId="6" fillId="9" borderId="5" xfId="3" applyNumberFormat="1" applyFont="1" applyFill="1" applyBorder="1" applyAlignment="1" applyProtection="1">
      <alignment vertical="center"/>
    </xf>
    <xf numFmtId="10" fontId="6" fillId="9" borderId="5" xfId="3" applyNumberFormat="1" applyFont="1" applyFill="1" applyBorder="1" applyAlignment="1" applyProtection="1">
      <alignment horizontal="center" vertical="top"/>
    </xf>
    <xf numFmtId="0" fontId="6" fillId="9" borderId="5" xfId="0" applyFont="1" applyFill="1" applyBorder="1" applyAlignment="1" applyProtection="1">
      <alignment vertical="center"/>
    </xf>
    <xf numFmtId="0" fontId="6" fillId="9" borderId="8" xfId="0" applyFont="1" applyFill="1" applyBorder="1" applyAlignment="1" applyProtection="1">
      <alignment vertical="center"/>
    </xf>
    <xf numFmtId="1" fontId="19" fillId="2" borderId="19" xfId="0" applyNumberFormat="1" applyFont="1" applyFill="1" applyBorder="1" applyAlignment="1" applyProtection="1">
      <alignment vertical="center"/>
    </xf>
    <xf numFmtId="1" fontId="19" fillId="2" borderId="18" xfId="0" applyNumberFormat="1" applyFont="1" applyFill="1" applyBorder="1" applyAlignment="1" applyProtection="1">
      <alignment vertical="center"/>
    </xf>
    <xf numFmtId="1" fontId="13" fillId="2" borderId="19" xfId="0" applyNumberFormat="1" applyFont="1" applyFill="1" applyBorder="1" applyAlignment="1" applyProtection="1">
      <alignment vertical="center"/>
    </xf>
    <xf numFmtId="185" fontId="13" fillId="2" borderId="19" xfId="0" applyNumberFormat="1" applyFont="1" applyFill="1" applyBorder="1" applyAlignment="1" applyProtection="1">
      <alignment vertical="center"/>
    </xf>
    <xf numFmtId="1" fontId="13" fillId="2" borderId="18" xfId="0" applyNumberFormat="1" applyFont="1" applyFill="1" applyBorder="1" applyAlignment="1" applyProtection="1">
      <alignment vertical="center"/>
    </xf>
    <xf numFmtId="185" fontId="12" fillId="0" borderId="37" xfId="0" applyNumberFormat="1" applyFont="1" applyFill="1" applyBorder="1" applyAlignment="1">
      <alignment vertical="center"/>
    </xf>
    <xf numFmtId="185" fontId="12" fillId="0" borderId="4" xfId="0" applyNumberFormat="1" applyFont="1" applyFill="1" applyBorder="1" applyAlignment="1">
      <alignment vertical="center"/>
    </xf>
    <xf numFmtId="0" fontId="47" fillId="3" borderId="0" xfId="0" applyFont="1" applyFill="1" applyBorder="1" applyAlignment="1" applyProtection="1">
      <alignment horizontal="center" vertical="center"/>
    </xf>
    <xf numFmtId="0" fontId="2" fillId="2" borderId="0" xfId="0" applyFont="1" applyFill="1" applyBorder="1" applyAlignment="1" applyProtection="1">
      <alignment vertical="top"/>
    </xf>
    <xf numFmtId="172" fontId="6" fillId="0" borderId="0" xfId="2" applyNumberFormat="1" applyFont="1" applyFill="1" applyBorder="1" applyAlignment="1" applyProtection="1">
      <alignment vertical="center"/>
    </xf>
    <xf numFmtId="0" fontId="2" fillId="2" borderId="1" xfId="0" applyFont="1" applyFill="1" applyBorder="1" applyAlignment="1" applyProtection="1">
      <alignment horizontal="center" vertical="center"/>
    </xf>
    <xf numFmtId="0" fontId="8" fillId="2" borderId="4" xfId="0" applyFont="1" applyFill="1" applyBorder="1" applyAlignment="1" applyProtection="1">
      <alignment horizontal="center" vertical="center"/>
    </xf>
    <xf numFmtId="0" fontId="11" fillId="2" borderId="4" xfId="0" applyFont="1" applyFill="1" applyBorder="1" applyAlignment="1" applyProtection="1">
      <alignment horizontal="center" vertical="center"/>
    </xf>
    <xf numFmtId="0" fontId="10" fillId="2" borderId="0" xfId="0" applyFont="1" applyFill="1" applyBorder="1" applyAlignment="1" applyProtection="1">
      <alignment horizontal="center" vertical="center"/>
    </xf>
    <xf numFmtId="177" fontId="44" fillId="2" borderId="0" xfId="3" applyNumberFormat="1" applyFont="1" applyFill="1" applyBorder="1" applyAlignment="1" applyProtection="1">
      <alignment horizontal="center" vertical="center"/>
    </xf>
    <xf numFmtId="0" fontId="4" fillId="2" borderId="11" xfId="0" applyFont="1" applyFill="1" applyBorder="1" applyAlignment="1" applyProtection="1">
      <alignment horizontal="center" vertical="center"/>
    </xf>
    <xf numFmtId="170" fontId="5" fillId="2" borderId="3" xfId="0" applyNumberFormat="1" applyFont="1" applyFill="1" applyBorder="1" applyAlignment="1" applyProtection="1">
      <alignment horizontal="center" vertical="center"/>
    </xf>
    <xf numFmtId="170" fontId="5" fillId="2" borderId="5" xfId="0" applyNumberFormat="1" applyFont="1" applyFill="1" applyBorder="1" applyAlignment="1" applyProtection="1">
      <alignment horizontal="center" vertical="center"/>
    </xf>
    <xf numFmtId="170" fontId="2" fillId="2" borderId="5" xfId="0" applyNumberFormat="1" applyFont="1" applyFill="1" applyBorder="1" applyAlignment="1" applyProtection="1">
      <alignment horizontal="center" vertical="center"/>
    </xf>
    <xf numFmtId="174" fontId="5" fillId="2" borderId="5" xfId="0" applyNumberFormat="1" applyFont="1" applyFill="1" applyBorder="1" applyAlignment="1" applyProtection="1">
      <alignment horizontal="center" vertical="center"/>
    </xf>
    <xf numFmtId="170" fontId="8" fillId="2" borderId="5" xfId="0" applyNumberFormat="1" applyFont="1" applyFill="1" applyBorder="1" applyAlignment="1" applyProtection="1">
      <alignment horizontal="center" vertical="center"/>
    </xf>
    <xf numFmtId="169" fontId="2" fillId="0" borderId="1" xfId="0" applyNumberFormat="1" applyFont="1" applyFill="1" applyBorder="1" applyAlignment="1" applyProtection="1">
      <alignment horizontal="center" vertical="center"/>
    </xf>
    <xf numFmtId="169" fontId="2" fillId="2" borderId="4" xfId="0" applyNumberFormat="1" applyFont="1" applyFill="1" applyBorder="1" applyAlignment="1" applyProtection="1">
      <alignment horizontal="center" vertical="center"/>
    </xf>
    <xf numFmtId="173" fontId="2" fillId="2" borderId="4" xfId="0" applyNumberFormat="1" applyFont="1" applyFill="1" applyBorder="1" applyAlignment="1" applyProtection="1">
      <alignment horizontal="center" vertical="center"/>
    </xf>
    <xf numFmtId="169" fontId="9" fillId="2" borderId="4" xfId="0" applyNumberFormat="1" applyFont="1" applyFill="1" applyBorder="1" applyAlignment="1" applyProtection="1">
      <alignment horizontal="center" vertical="center"/>
    </xf>
    <xf numFmtId="0" fontId="8" fillId="2" borderId="11" xfId="0" applyFont="1" applyFill="1" applyBorder="1" applyAlignment="1" applyProtection="1">
      <alignment horizontal="left" vertical="top"/>
    </xf>
    <xf numFmtId="171" fontId="2" fillId="2" borderId="31" xfId="0" applyNumberFormat="1" applyFont="1" applyFill="1" applyBorder="1" applyAlignment="1" applyProtection="1">
      <alignment horizontal="center" vertical="center"/>
    </xf>
    <xf numFmtId="170" fontId="5" fillId="2" borderId="19" xfId="0" applyNumberFormat="1" applyFont="1" applyFill="1" applyBorder="1" applyAlignment="1" applyProtection="1">
      <alignment horizontal="center" vertical="center"/>
    </xf>
    <xf numFmtId="170" fontId="2" fillId="2" borderId="19" xfId="0" applyNumberFormat="1" applyFont="1" applyFill="1" applyBorder="1" applyAlignment="1" applyProtection="1">
      <alignment horizontal="center" vertical="center"/>
    </xf>
    <xf numFmtId="171" fontId="8" fillId="2" borderId="19" xfId="0" applyNumberFormat="1" applyFont="1" applyFill="1" applyBorder="1" applyAlignment="1" applyProtection="1">
      <alignment horizontal="center" vertical="center"/>
    </xf>
    <xf numFmtId="0" fontId="7" fillId="2" borderId="0" xfId="0" applyFont="1" applyFill="1" applyBorder="1" applyAlignment="1" applyProtection="1">
      <alignment horizontal="center" vertical="center"/>
    </xf>
    <xf numFmtId="10" fontId="8" fillId="2" borderId="0" xfId="3" applyNumberFormat="1" applyFont="1" applyFill="1" applyBorder="1" applyAlignment="1" applyProtection="1">
      <alignment horizontal="center" vertical="center"/>
    </xf>
    <xf numFmtId="9" fontId="2" fillId="2" borderId="0" xfId="3" applyFont="1" applyFill="1" applyBorder="1" applyAlignment="1" applyProtection="1">
      <alignment horizontal="center" vertical="center"/>
    </xf>
    <xf numFmtId="0" fontId="2" fillId="3" borderId="1" xfId="0" applyFont="1" applyFill="1" applyBorder="1" applyAlignment="1" applyProtection="1">
      <alignment vertical="center"/>
    </xf>
    <xf numFmtId="0" fontId="2" fillId="3" borderId="4" xfId="0" applyFont="1" applyFill="1" applyBorder="1" applyAlignment="1" applyProtection="1">
      <alignment vertical="center"/>
    </xf>
    <xf numFmtId="1" fontId="20" fillId="4" borderId="0" xfId="0" applyNumberFormat="1" applyFont="1" applyFill="1" applyBorder="1" applyAlignment="1">
      <alignment horizontal="center" vertical="center"/>
    </xf>
    <xf numFmtId="177" fontId="47" fillId="2" borderId="0" xfId="3" applyNumberFormat="1" applyFont="1" applyFill="1" applyBorder="1" applyAlignment="1" applyProtection="1">
      <alignment horizontal="center" vertical="center"/>
    </xf>
    <xf numFmtId="172" fontId="40" fillId="2" borderId="18" xfId="0" applyNumberFormat="1" applyFont="1" applyFill="1" applyBorder="1" applyAlignment="1" applyProtection="1">
      <alignment horizontal="center" vertical="center"/>
    </xf>
    <xf numFmtId="3" fontId="35" fillId="2" borderId="46" xfId="0" applyNumberFormat="1" applyFont="1" applyFill="1" applyBorder="1" applyAlignment="1" applyProtection="1">
      <alignment horizontal="center" vertical="center"/>
    </xf>
    <xf numFmtId="3" fontId="35" fillId="2" borderId="48" xfId="0" applyNumberFormat="1" applyFont="1" applyFill="1" applyBorder="1" applyAlignment="1" applyProtection="1">
      <alignment horizontal="center" vertical="center"/>
    </xf>
    <xf numFmtId="3" fontId="35" fillId="2" borderId="49" xfId="0" applyNumberFormat="1" applyFont="1" applyFill="1" applyBorder="1" applyAlignment="1" applyProtection="1">
      <alignment horizontal="center" vertical="center"/>
    </xf>
    <xf numFmtId="0" fontId="2" fillId="2" borderId="4" xfId="0" applyFont="1" applyFill="1" applyBorder="1" applyAlignment="1" applyProtection="1">
      <alignment horizontal="left" vertical="center"/>
    </xf>
    <xf numFmtId="172" fontId="2" fillId="2" borderId="0" xfId="0" applyNumberFormat="1" applyFont="1" applyFill="1" applyBorder="1" applyAlignment="1" applyProtection="1">
      <alignment horizontal="center" vertical="center"/>
    </xf>
    <xf numFmtId="0" fontId="2" fillId="2" borderId="5" xfId="0" applyFont="1" applyFill="1" applyBorder="1" applyAlignment="1" applyProtection="1">
      <alignment horizontal="center" vertical="center"/>
    </xf>
    <xf numFmtId="185" fontId="6" fillId="0" borderId="47" xfId="0" applyNumberFormat="1" applyFont="1" applyFill="1" applyBorder="1" applyAlignment="1">
      <alignment horizontal="center" vertical="center"/>
    </xf>
    <xf numFmtId="185" fontId="6" fillId="0" borderId="50" xfId="0" applyNumberFormat="1" applyFont="1" applyFill="1" applyBorder="1" applyAlignment="1">
      <alignment horizontal="center" vertical="center"/>
    </xf>
    <xf numFmtId="0" fontId="6" fillId="2" borderId="6" xfId="0" applyFont="1" applyFill="1" applyBorder="1" applyAlignment="1" applyProtection="1">
      <alignment horizontal="center" vertical="center"/>
    </xf>
    <xf numFmtId="174" fontId="2" fillId="2" borderId="19" xfId="0" applyNumberFormat="1" applyFont="1" applyFill="1" applyBorder="1" applyAlignment="1" applyProtection="1">
      <alignment horizontal="center" vertical="center"/>
    </xf>
    <xf numFmtId="177" fontId="44" fillId="2" borderId="0" xfId="0" applyNumberFormat="1" applyFont="1" applyFill="1" applyBorder="1" applyAlignment="1" applyProtection="1">
      <alignment horizontal="center" vertical="center"/>
    </xf>
    <xf numFmtId="0" fontId="37" fillId="11" borderId="0" xfId="0" applyFont="1" applyFill="1" applyBorder="1" applyAlignment="1" applyProtection="1">
      <alignment horizontal="center" vertical="center"/>
    </xf>
    <xf numFmtId="172" fontId="39" fillId="12" borderId="6" xfId="0" applyNumberFormat="1" applyFont="1" applyFill="1" applyBorder="1" applyAlignment="1" applyProtection="1">
      <alignment vertical="center"/>
    </xf>
    <xf numFmtId="172" fontId="39" fillId="12" borderId="7" xfId="0" applyNumberFormat="1" applyFont="1" applyFill="1" applyBorder="1" applyAlignment="1" applyProtection="1">
      <alignment horizontal="center" vertical="center"/>
    </xf>
    <xf numFmtId="172" fontId="39" fillId="12" borderId="8" xfId="0" applyNumberFormat="1" applyFont="1" applyFill="1" applyBorder="1" applyAlignment="1" applyProtection="1">
      <alignment horizontal="center" vertical="center"/>
    </xf>
    <xf numFmtId="178" fontId="43" fillId="2" borderId="51" xfId="0" applyNumberFormat="1" applyFont="1" applyFill="1" applyBorder="1" applyAlignment="1" applyProtection="1">
      <alignment horizontal="center" vertical="center"/>
    </xf>
    <xf numFmtId="0" fontId="37" fillId="2" borderId="51" xfId="0" applyFont="1" applyFill="1" applyBorder="1" applyAlignment="1" applyProtection="1">
      <alignment horizontal="center" vertical="center"/>
    </xf>
    <xf numFmtId="0" fontId="2" fillId="11" borderId="0" xfId="0" applyFont="1" applyFill="1" applyBorder="1" applyAlignment="1" applyProtection="1">
      <alignment vertical="center"/>
    </xf>
    <xf numFmtId="185" fontId="37" fillId="11" borderId="0" xfId="0" applyNumberFormat="1" applyFont="1" applyFill="1" applyBorder="1" applyAlignment="1" applyProtection="1">
      <alignment horizontal="center" vertical="center"/>
    </xf>
    <xf numFmtId="0" fontId="22" fillId="2" borderId="0" xfId="0" applyFont="1" applyFill="1"/>
    <xf numFmtId="0" fontId="0" fillId="2" borderId="12" xfId="0" applyFill="1" applyBorder="1"/>
    <xf numFmtId="0" fontId="0" fillId="2" borderId="0" xfId="0" applyFill="1"/>
    <xf numFmtId="181" fontId="0" fillId="2" borderId="0" xfId="0" applyNumberFormat="1" applyFill="1"/>
    <xf numFmtId="14" fontId="0" fillId="2" borderId="0" xfId="0" applyNumberFormat="1" applyFill="1"/>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182" fontId="0" fillId="2" borderId="3" xfId="0" applyNumberFormat="1" applyFill="1" applyBorder="1" applyAlignment="1">
      <alignment horizontal="center" vertical="center" wrapText="1"/>
    </xf>
    <xf numFmtId="0" fontId="0" fillId="2" borderId="0" xfId="0" applyFill="1" applyAlignment="1">
      <alignment horizontal="center" vertical="center" wrapText="1"/>
    </xf>
    <xf numFmtId="0" fontId="23" fillId="2" borderId="4" xfId="0" applyFont="1" applyFill="1" applyBorder="1"/>
    <xf numFmtId="183" fontId="0" fillId="2" borderId="0" xfId="0" applyNumberFormat="1" applyFill="1" applyBorder="1" applyAlignment="1">
      <alignment horizontal="center" vertical="center"/>
    </xf>
    <xf numFmtId="182" fontId="0" fillId="2" borderId="0" xfId="0" applyNumberFormat="1" applyFill="1" applyBorder="1"/>
    <xf numFmtId="172" fontId="0" fillId="2" borderId="0" xfId="2" applyNumberFormat="1" applyFont="1" applyFill="1" applyBorder="1"/>
    <xf numFmtId="182" fontId="0" fillId="2" borderId="5" xfId="0" applyNumberFormat="1" applyFill="1" applyBorder="1"/>
    <xf numFmtId="0" fontId="0" fillId="2" borderId="4" xfId="0" applyFill="1" applyBorder="1"/>
    <xf numFmtId="9" fontId="0" fillId="2" borderId="0" xfId="3" applyFont="1" applyFill="1" applyBorder="1"/>
    <xf numFmtId="10" fontId="0" fillId="2" borderId="0" xfId="0" applyNumberFormat="1" applyFill="1" applyBorder="1"/>
    <xf numFmtId="172" fontId="0" fillId="2" borderId="0" xfId="0" applyNumberFormat="1" applyFill="1" applyBorder="1"/>
    <xf numFmtId="0" fontId="24" fillId="2" borderId="0" xfId="0" applyFont="1" applyFill="1"/>
    <xf numFmtId="0" fontId="0" fillId="2" borderId="10" xfId="0" applyFill="1" applyBorder="1"/>
    <xf numFmtId="0" fontId="0" fillId="2" borderId="11" xfId="0" applyFill="1" applyBorder="1"/>
    <xf numFmtId="182" fontId="0" fillId="2" borderId="11" xfId="0" applyNumberFormat="1" applyFill="1" applyBorder="1"/>
    <xf numFmtId="172" fontId="0" fillId="2" borderId="11" xfId="2" applyNumberFormat="1" applyFont="1" applyFill="1" applyBorder="1"/>
    <xf numFmtId="182" fontId="0" fillId="2" borderId="12" xfId="0" applyNumberFormat="1" applyFill="1" applyBorder="1" applyAlignment="1">
      <alignment horizontal="center" vertical="center"/>
    </xf>
    <xf numFmtId="182" fontId="0" fillId="2" borderId="0" xfId="0" applyNumberFormat="1" applyFill="1"/>
    <xf numFmtId="0" fontId="25" fillId="2" borderId="10" xfId="0" applyFont="1" applyFill="1" applyBorder="1"/>
    <xf numFmtId="0" fontId="24" fillId="2" borderId="1" xfId="0" applyFont="1" applyFill="1" applyBorder="1"/>
    <xf numFmtId="0" fontId="0" fillId="2" borderId="2" xfId="0" applyFill="1" applyBorder="1"/>
    <xf numFmtId="0" fontId="0" fillId="2" borderId="3" xfId="0" applyFill="1" applyBorder="1"/>
    <xf numFmtId="0" fontId="24" fillId="2" borderId="4" xfId="0" applyFont="1" applyFill="1" applyBorder="1"/>
    <xf numFmtId="0" fontId="0" fillId="2" borderId="5" xfId="0" applyFill="1" applyBorder="1"/>
    <xf numFmtId="9" fontId="24" fillId="2" borderId="1" xfId="3" applyFont="1" applyFill="1" applyBorder="1"/>
    <xf numFmtId="182" fontId="0" fillId="2" borderId="3" xfId="0" applyNumberFormat="1" applyFill="1" applyBorder="1"/>
    <xf numFmtId="0" fontId="0" fillId="2" borderId="6" xfId="0" applyFill="1" applyBorder="1"/>
    <xf numFmtId="9" fontId="0" fillId="2" borderId="6" xfId="3" applyFont="1" applyFill="1" applyBorder="1"/>
    <xf numFmtId="182" fontId="25" fillId="2" borderId="8" xfId="0" applyNumberFormat="1" applyFont="1" applyFill="1" applyBorder="1"/>
    <xf numFmtId="182" fontId="25" fillId="2" borderId="0" xfId="0" applyNumberFormat="1" applyFont="1" applyFill="1" applyBorder="1"/>
    <xf numFmtId="9" fontId="0" fillId="2" borderId="0" xfId="0" applyNumberFormat="1" applyFill="1" applyBorder="1"/>
    <xf numFmtId="182" fontId="0" fillId="2" borderId="8" xfId="0" applyNumberFormat="1" applyFill="1" applyBorder="1"/>
    <xf numFmtId="182" fontId="0" fillId="2" borderId="0" xfId="3" applyNumberFormat="1" applyFont="1" applyFill="1" applyBorder="1" applyAlignment="1">
      <alignment horizontal="center" vertical="center"/>
    </xf>
    <xf numFmtId="0" fontId="25" fillId="2" borderId="4" xfId="0" applyFont="1" applyFill="1" applyBorder="1"/>
    <xf numFmtId="172" fontId="0" fillId="2" borderId="3" xfId="2" applyNumberFormat="1" applyFont="1" applyFill="1" applyBorder="1"/>
    <xf numFmtId="9" fontId="0" fillId="2" borderId="1" xfId="0" applyNumberFormat="1" applyFill="1" applyBorder="1"/>
    <xf numFmtId="9" fontId="0" fillId="2" borderId="6" xfId="0" applyNumberFormat="1" applyFill="1" applyBorder="1"/>
    <xf numFmtId="172" fontId="25" fillId="2" borderId="8" xfId="0" applyNumberFormat="1" applyFont="1" applyFill="1" applyBorder="1"/>
    <xf numFmtId="172" fontId="25" fillId="2" borderId="0" xfId="0" applyNumberFormat="1" applyFont="1" applyFill="1" applyBorder="1"/>
    <xf numFmtId="172" fontId="25" fillId="2" borderId="5" xfId="0" applyNumberFormat="1" applyFont="1" applyFill="1" applyBorder="1"/>
    <xf numFmtId="10" fontId="0" fillId="2" borderId="0" xfId="3" applyNumberFormat="1" applyFont="1" applyFill="1" applyBorder="1" applyAlignment="1">
      <alignment horizontal="center" vertical="center"/>
    </xf>
    <xf numFmtId="9" fontId="24" fillId="2" borderId="0" xfId="0" applyNumberFormat="1" applyFont="1" applyFill="1" applyBorder="1"/>
    <xf numFmtId="9" fontId="0" fillId="2" borderId="5" xfId="0" applyNumberFormat="1" applyFill="1" applyBorder="1"/>
    <xf numFmtId="0" fontId="0" fillId="2" borderId="4" xfId="0" applyFont="1" applyFill="1" applyBorder="1"/>
    <xf numFmtId="177" fontId="23" fillId="2" borderId="0" xfId="3" applyNumberFormat="1" applyFont="1" applyFill="1" applyBorder="1"/>
    <xf numFmtId="0" fontId="24" fillId="2" borderId="4" xfId="0" applyFont="1" applyFill="1" applyBorder="1" applyAlignment="1">
      <alignment horizontal="left"/>
    </xf>
    <xf numFmtId="0" fontId="2" fillId="2" borderId="4" xfId="0" applyFont="1" applyFill="1" applyBorder="1" applyAlignment="1">
      <alignment horizontal="left" vertical="center"/>
    </xf>
    <xf numFmtId="9" fontId="2" fillId="2" borderId="5" xfId="3" applyFont="1" applyFill="1" applyBorder="1" applyAlignment="1">
      <alignment horizontal="right" vertical="center"/>
    </xf>
    <xf numFmtId="10" fontId="23" fillId="2" borderId="5" xfId="0" applyNumberFormat="1" applyFont="1" applyFill="1" applyBorder="1" applyAlignment="1">
      <alignment horizontal="right"/>
    </xf>
    <xf numFmtId="0" fontId="2" fillId="2" borderId="6" xfId="0" applyFont="1" applyFill="1" applyBorder="1" applyAlignment="1">
      <alignment horizontal="left" vertical="center"/>
    </xf>
    <xf numFmtId="0" fontId="0" fillId="2" borderId="7" xfId="0" applyFill="1" applyBorder="1"/>
    <xf numFmtId="9" fontId="6" fillId="2" borderId="8" xfId="0" applyNumberFormat="1" applyFont="1" applyFill="1" applyBorder="1" applyAlignment="1">
      <alignment horizontal="right" vertical="center"/>
    </xf>
    <xf numFmtId="0" fontId="6" fillId="2" borderId="6" xfId="0" applyFont="1" applyFill="1" applyBorder="1" applyAlignment="1" applyProtection="1">
      <alignment vertical="center"/>
    </xf>
    <xf numFmtId="184" fontId="0" fillId="2" borderId="0" xfId="3" applyNumberFormat="1" applyFont="1" applyFill="1"/>
    <xf numFmtId="9" fontId="24" fillId="3" borderId="1" xfId="3" applyFont="1" applyFill="1" applyBorder="1"/>
    <xf numFmtId="177" fontId="48" fillId="3" borderId="5" xfId="0" applyNumberFormat="1" applyFont="1" applyFill="1" applyBorder="1"/>
    <xf numFmtId="9" fontId="48" fillId="3" borderId="5" xfId="0" applyNumberFormat="1" applyFont="1" applyFill="1" applyBorder="1"/>
    <xf numFmtId="0" fontId="37" fillId="2" borderId="52" xfId="0" applyFont="1" applyFill="1" applyBorder="1" applyAlignment="1" applyProtection="1">
      <alignment horizontal="center" vertical="center"/>
    </xf>
    <xf numFmtId="0" fontId="3" fillId="2" borderId="0" xfId="0" applyFont="1" applyFill="1" applyBorder="1"/>
    <xf numFmtId="0" fontId="31" fillId="2" borderId="18" xfId="0" applyFont="1" applyFill="1" applyBorder="1" applyAlignment="1">
      <alignment horizont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183" fontId="33" fillId="2" borderId="5" xfId="0" applyNumberFormat="1" applyFont="1" applyFill="1" applyBorder="1"/>
    <xf numFmtId="183" fontId="0" fillId="2" borderId="0" xfId="0" applyNumberFormat="1" applyFill="1" applyBorder="1"/>
    <xf numFmtId="0" fontId="28" fillId="2" borderId="10" xfId="0" applyFont="1" applyFill="1" applyBorder="1"/>
    <xf numFmtId="183" fontId="28" fillId="2" borderId="11" xfId="0" applyNumberFormat="1" applyFont="1" applyFill="1" applyBorder="1"/>
    <xf numFmtId="183" fontId="0" fillId="2" borderId="11" xfId="0" applyNumberFormat="1" applyFill="1" applyBorder="1"/>
    <xf numFmtId="183" fontId="29" fillId="2" borderId="11" xfId="0" applyNumberFormat="1" applyFont="1" applyFill="1" applyBorder="1"/>
    <xf numFmtId="183" fontId="25" fillId="2" borderId="11" xfId="0" applyNumberFormat="1" applyFont="1" applyFill="1" applyBorder="1"/>
    <xf numFmtId="0" fontId="25" fillId="2" borderId="11" xfId="0" applyFont="1" applyFill="1" applyBorder="1"/>
    <xf numFmtId="183" fontId="29" fillId="2" borderId="12" xfId="0" applyNumberFormat="1" applyFont="1" applyFill="1" applyBorder="1"/>
    <xf numFmtId="0" fontId="25" fillId="2" borderId="18" xfId="0" applyFont="1" applyFill="1" applyBorder="1"/>
    <xf numFmtId="183" fontId="31" fillId="2" borderId="18" xfId="0" applyNumberFormat="1" applyFont="1" applyFill="1" applyBorder="1"/>
    <xf numFmtId="0" fontId="30" fillId="2" borderId="10" xfId="0" applyFont="1" applyFill="1" applyBorder="1"/>
    <xf numFmtId="183" fontId="30" fillId="2" borderId="11" xfId="0" applyNumberFormat="1" applyFont="1" applyFill="1" applyBorder="1"/>
    <xf numFmtId="0" fontId="31" fillId="2" borderId="10" xfId="0" applyFont="1" applyFill="1" applyBorder="1"/>
    <xf numFmtId="183" fontId="31" fillId="2" borderId="12" xfId="0" applyNumberFormat="1" applyFont="1" applyFill="1" applyBorder="1"/>
    <xf numFmtId="183" fontId="32" fillId="2" borderId="10" xfId="0" applyNumberFormat="1" applyFont="1" applyFill="1" applyBorder="1"/>
    <xf numFmtId="183" fontId="32" fillId="2" borderId="11" xfId="0" applyNumberFormat="1" applyFont="1" applyFill="1" applyBorder="1"/>
    <xf numFmtId="183" fontId="0" fillId="2" borderId="0" xfId="0" applyNumberFormat="1" applyFill="1"/>
    <xf numFmtId="0" fontId="25" fillId="2" borderId="0" xfId="0" applyFont="1" applyFill="1"/>
    <xf numFmtId="183" fontId="25" fillId="2" borderId="12" xfId="0" applyNumberFormat="1" applyFont="1" applyFill="1" applyBorder="1"/>
    <xf numFmtId="172" fontId="0" fillId="2" borderId="5" xfId="2" applyNumberFormat="1" applyFont="1" applyFill="1" applyBorder="1"/>
    <xf numFmtId="172" fontId="0" fillId="2" borderId="5" xfId="0" applyNumberFormat="1" applyFill="1" applyBorder="1"/>
    <xf numFmtId="0" fontId="0" fillId="2" borderId="28" xfId="0" applyNumberFormat="1" applyFill="1" applyBorder="1"/>
    <xf numFmtId="172" fontId="0" fillId="2" borderId="28" xfId="0" applyNumberFormat="1" applyFill="1" applyBorder="1"/>
    <xf numFmtId="183" fontId="33" fillId="3" borderId="5" xfId="0" applyNumberFormat="1" applyFont="1" applyFill="1" applyBorder="1"/>
    <xf numFmtId="0" fontId="3" fillId="5" borderId="18" xfId="0" applyFont="1" applyFill="1" applyBorder="1"/>
    <xf numFmtId="0" fontId="23" fillId="0" borderId="0" xfId="16" applyFont="1"/>
    <xf numFmtId="0" fontId="23" fillId="0" borderId="0" xfId="16" quotePrefix="1" applyFont="1"/>
    <xf numFmtId="0" fontId="23" fillId="0" borderId="0" xfId="16" applyFont="1" applyAlignment="1">
      <alignment horizontal="center"/>
    </xf>
    <xf numFmtId="0" fontId="51" fillId="0" borderId="0" xfId="16" applyFont="1" applyAlignment="1">
      <alignment horizontal="center"/>
    </xf>
    <xf numFmtId="0" fontId="23" fillId="2" borderId="0" xfId="16" applyFont="1" applyFill="1" applyAlignment="1">
      <alignment horizontal="center"/>
    </xf>
    <xf numFmtId="190" fontId="23" fillId="2" borderId="55" xfId="17" applyNumberFormat="1" applyFont="1" applyFill="1" applyBorder="1" applyProtection="1">
      <protection locked="0"/>
    </xf>
    <xf numFmtId="191" fontId="23" fillId="2" borderId="58" xfId="16" applyNumberFormat="1" applyFont="1" applyFill="1" applyBorder="1" applyProtection="1">
      <protection locked="0"/>
    </xf>
    <xf numFmtId="0" fontId="23" fillId="2" borderId="0" xfId="16" applyFont="1" applyFill="1"/>
    <xf numFmtId="1" fontId="23" fillId="2" borderId="55" xfId="16" applyNumberFormat="1" applyFont="1" applyFill="1" applyBorder="1" applyProtection="1">
      <protection locked="0"/>
    </xf>
    <xf numFmtId="0" fontId="23" fillId="2" borderId="61" xfId="16" applyFont="1" applyFill="1" applyBorder="1" applyProtection="1">
      <protection locked="0"/>
    </xf>
    <xf numFmtId="0" fontId="23" fillId="2" borderId="58" xfId="16" applyFont="1" applyFill="1" applyBorder="1"/>
    <xf numFmtId="190" fontId="23" fillId="2" borderId="63" xfId="17" applyNumberFormat="1" applyFont="1" applyFill="1" applyBorder="1"/>
    <xf numFmtId="190" fontId="23" fillId="0" borderId="0" xfId="16" applyNumberFormat="1" applyFont="1"/>
    <xf numFmtId="190" fontId="23" fillId="2" borderId="65" xfId="16" applyNumberFormat="1" applyFont="1" applyFill="1" applyBorder="1"/>
    <xf numFmtId="190" fontId="23" fillId="2" borderId="67" xfId="16" applyNumberFormat="1" applyFont="1" applyFill="1" applyBorder="1"/>
    <xf numFmtId="192" fontId="23" fillId="0" borderId="0" xfId="16" applyNumberFormat="1" applyFont="1"/>
    <xf numFmtId="0" fontId="55" fillId="14" borderId="29" xfId="16" applyFont="1" applyFill="1" applyBorder="1" applyAlignment="1">
      <alignment horizontal="center" vertical="center" wrapText="1"/>
    </xf>
    <xf numFmtId="0" fontId="55" fillId="14" borderId="54" xfId="16" applyFont="1" applyFill="1" applyBorder="1" applyAlignment="1">
      <alignment horizontal="center" vertical="center" wrapText="1"/>
    </xf>
    <xf numFmtId="0" fontId="55" fillId="14" borderId="55" xfId="16" applyFont="1" applyFill="1" applyBorder="1" applyAlignment="1">
      <alignment horizontal="center" vertical="center" wrapText="1"/>
    </xf>
    <xf numFmtId="0" fontId="23" fillId="2" borderId="59" xfId="16" applyFont="1" applyFill="1" applyBorder="1" applyAlignment="1">
      <alignment horizontal="center"/>
    </xf>
    <xf numFmtId="190" fontId="23" fillId="2" borderId="60" xfId="16" applyNumberFormat="1" applyFont="1" applyFill="1" applyBorder="1"/>
    <xf numFmtId="190" fontId="23" fillId="2" borderId="61" xfId="16" applyNumberFormat="1" applyFont="1" applyFill="1" applyBorder="1"/>
    <xf numFmtId="0" fontId="23" fillId="8" borderId="59" xfId="16" applyFont="1" applyFill="1" applyBorder="1" applyAlignment="1">
      <alignment horizontal="center"/>
    </xf>
    <xf numFmtId="190" fontId="23" fillId="8" borderId="60" xfId="16" applyNumberFormat="1" applyFont="1" applyFill="1" applyBorder="1"/>
    <xf numFmtId="190" fontId="23" fillId="8" borderId="61" xfId="16" applyNumberFormat="1" applyFont="1" applyFill="1" applyBorder="1"/>
    <xf numFmtId="0" fontId="23" fillId="8" borderId="68" xfId="16" applyFont="1" applyFill="1" applyBorder="1" applyAlignment="1">
      <alignment horizontal="center"/>
    </xf>
    <xf numFmtId="190" fontId="23" fillId="8" borderId="69" xfId="16" applyNumberFormat="1" applyFont="1" applyFill="1" applyBorder="1"/>
    <xf numFmtId="190" fontId="23" fillId="8" borderId="70" xfId="16" applyNumberFormat="1" applyFont="1" applyFill="1" applyBorder="1"/>
    <xf numFmtId="165" fontId="13" fillId="2" borderId="19" xfId="0" applyNumberFormat="1" applyFont="1" applyFill="1" applyBorder="1" applyAlignment="1" applyProtection="1">
      <alignment vertical="center"/>
    </xf>
    <xf numFmtId="176" fontId="35" fillId="2" borderId="71" xfId="1" applyNumberFormat="1" applyFont="1" applyFill="1" applyBorder="1" applyAlignment="1" applyProtection="1">
      <alignment horizontal="center" vertical="center"/>
    </xf>
    <xf numFmtId="172" fontId="39" fillId="2" borderId="71" xfId="2" applyNumberFormat="1" applyFont="1" applyFill="1" applyBorder="1" applyAlignment="1" applyProtection="1">
      <alignment horizontal="center" vertical="center"/>
    </xf>
    <xf numFmtId="180" fontId="38" fillId="2" borderId="71" xfId="0" applyNumberFormat="1" applyFont="1" applyFill="1" applyBorder="1" applyAlignment="1" applyProtection="1">
      <alignment horizontal="center" vertical="center"/>
    </xf>
    <xf numFmtId="10" fontId="37" fillId="2" borderId="71" xfId="0" applyNumberFormat="1" applyFont="1" applyFill="1" applyBorder="1" applyAlignment="1" applyProtection="1">
      <alignment horizontal="center" vertical="center"/>
    </xf>
    <xf numFmtId="0" fontId="37" fillId="2" borderId="71" xfId="0" applyFont="1" applyFill="1" applyBorder="1" applyAlignment="1" applyProtection="1">
      <alignment horizontal="center" vertical="center"/>
    </xf>
    <xf numFmtId="176" fontId="35" fillId="2" borderId="72" xfId="1" applyNumberFormat="1" applyFont="1" applyFill="1" applyBorder="1" applyAlignment="1" applyProtection="1">
      <alignment horizontal="center" vertical="center"/>
    </xf>
    <xf numFmtId="0" fontId="37" fillId="2" borderId="72" xfId="0" applyFont="1" applyFill="1" applyBorder="1" applyAlignment="1" applyProtection="1">
      <alignment horizontal="center" vertical="center"/>
    </xf>
    <xf numFmtId="180" fontId="38" fillId="2" borderId="72" xfId="0" applyNumberFormat="1" applyFont="1" applyFill="1" applyBorder="1" applyAlignment="1" applyProtection="1">
      <alignment horizontal="center" vertical="center"/>
    </xf>
    <xf numFmtId="185" fontId="39" fillId="10" borderId="28" xfId="0" applyNumberFormat="1" applyFont="1" applyFill="1" applyBorder="1" applyAlignment="1" applyProtection="1">
      <alignment horizontal="center" vertical="center"/>
    </xf>
    <xf numFmtId="172" fontId="39" fillId="10" borderId="28" xfId="2" applyNumberFormat="1" applyFont="1" applyFill="1" applyBorder="1" applyAlignment="1" applyProtection="1">
      <alignment horizontal="center" vertical="center"/>
    </xf>
    <xf numFmtId="185" fontId="39" fillId="10" borderId="36" xfId="0" applyNumberFormat="1" applyFont="1" applyFill="1" applyBorder="1" applyAlignment="1" applyProtection="1">
      <alignment horizontal="center" vertical="center"/>
    </xf>
    <xf numFmtId="14" fontId="8" fillId="2" borderId="0" xfId="0" applyNumberFormat="1" applyFont="1" applyFill="1" applyBorder="1" applyAlignment="1" applyProtection="1">
      <alignment vertical="center"/>
    </xf>
    <xf numFmtId="3" fontId="4" fillId="11" borderId="0" xfId="0" applyNumberFormat="1" applyFont="1" applyFill="1" applyBorder="1" applyAlignment="1" applyProtection="1">
      <alignment horizontal="center" vertical="center"/>
    </xf>
    <xf numFmtId="172" fontId="12" fillId="2" borderId="74" xfId="2" applyNumberFormat="1" applyFont="1" applyFill="1" applyBorder="1" applyAlignment="1" applyProtection="1">
      <alignment horizontal="center" vertical="center"/>
    </xf>
    <xf numFmtId="172" fontId="39" fillId="2" borderId="73" xfId="2" applyNumberFormat="1" applyFont="1" applyFill="1" applyBorder="1" applyAlignment="1" applyProtection="1">
      <alignment horizontal="center" vertical="center"/>
    </xf>
    <xf numFmtId="10" fontId="37" fillId="2" borderId="73" xfId="0" applyNumberFormat="1" applyFont="1" applyFill="1" applyBorder="1" applyAlignment="1" applyProtection="1">
      <alignment horizontal="center" vertical="center"/>
    </xf>
    <xf numFmtId="0" fontId="18" fillId="2" borderId="73" xfId="0" applyFont="1" applyFill="1" applyBorder="1" applyAlignment="1" applyProtection="1">
      <alignment vertical="center"/>
    </xf>
    <xf numFmtId="0" fontId="18" fillId="2" borderId="71" xfId="0" applyFont="1" applyFill="1" applyBorder="1" applyAlignment="1" applyProtection="1">
      <alignment horizontal="center" vertical="center"/>
    </xf>
    <xf numFmtId="10" fontId="35" fillId="2" borderId="72" xfId="0" applyNumberFormat="1" applyFont="1" applyFill="1" applyBorder="1" applyAlignment="1" applyProtection="1">
      <alignment horizontal="center" vertical="center"/>
    </xf>
    <xf numFmtId="0" fontId="4" fillId="2" borderId="1" xfId="0" applyFont="1" applyFill="1" applyBorder="1" applyAlignment="1" applyProtection="1">
      <alignment horizontal="left" vertical="center"/>
    </xf>
    <xf numFmtId="0" fontId="0" fillId="2" borderId="2" xfId="0" applyFill="1" applyBorder="1" applyAlignment="1" applyProtection="1">
      <alignment horizontal="left" vertical="center"/>
    </xf>
    <xf numFmtId="0" fontId="0" fillId="2" borderId="3" xfId="0" applyFill="1" applyBorder="1" applyAlignment="1" applyProtection="1">
      <alignment horizontal="left" vertical="center"/>
    </xf>
    <xf numFmtId="0" fontId="4" fillId="2" borderId="4" xfId="0" applyFont="1" applyFill="1" applyBorder="1" applyAlignment="1" applyProtection="1">
      <alignment horizontal="left" vertical="center"/>
    </xf>
    <xf numFmtId="0" fontId="4" fillId="2" borderId="0" xfId="0" applyFont="1" applyFill="1" applyBorder="1" applyAlignment="1" applyProtection="1">
      <alignment horizontal="left" vertical="center"/>
    </xf>
    <xf numFmtId="0" fontId="4" fillId="2" borderId="5" xfId="0" applyFont="1" applyFill="1" applyBorder="1" applyAlignment="1" applyProtection="1">
      <alignment horizontal="left" vertical="center"/>
    </xf>
    <xf numFmtId="0" fontId="2" fillId="2" borderId="2" xfId="0" applyFont="1" applyFill="1" applyBorder="1" applyAlignment="1" applyProtection="1">
      <alignment horizontal="center" vertical="center"/>
    </xf>
    <xf numFmtId="0" fontId="2" fillId="2" borderId="0" xfId="0" applyFont="1" applyFill="1" applyBorder="1" applyAlignment="1" applyProtection="1">
      <alignment horizontal="center" vertical="top" wrapText="1"/>
    </xf>
    <xf numFmtId="0" fontId="2" fillId="2" borderId="0" xfId="0" applyFont="1" applyFill="1" applyBorder="1" applyAlignment="1" applyProtection="1">
      <alignment horizontal="center" vertical="top"/>
    </xf>
    <xf numFmtId="0" fontId="2" fillId="2" borderId="7" xfId="0" applyFont="1" applyFill="1" applyBorder="1" applyAlignment="1" applyProtection="1">
      <alignment horizontal="center" vertical="top"/>
    </xf>
    <xf numFmtId="0" fontId="51" fillId="14" borderId="59" xfId="16" applyFont="1" applyFill="1" applyBorder="1" applyAlignment="1">
      <alignment horizontal="right"/>
    </xf>
    <xf numFmtId="0" fontId="54" fillId="14" borderId="64" xfId="16" applyFont="1" applyFill="1" applyBorder="1"/>
    <xf numFmtId="0" fontId="51" fillId="14" borderId="56" xfId="16" applyFont="1" applyFill="1" applyBorder="1" applyAlignment="1">
      <alignment horizontal="right"/>
    </xf>
    <xf numFmtId="0" fontId="54" fillId="14" borderId="66" xfId="16" applyFont="1" applyFill="1" applyBorder="1"/>
    <xf numFmtId="0" fontId="50" fillId="13" borderId="0" xfId="16" applyFont="1" applyFill="1" applyAlignment="1">
      <alignment horizontal="left" indent="1"/>
    </xf>
    <xf numFmtId="0" fontId="49" fillId="0" borderId="0" xfId="16"/>
    <xf numFmtId="0" fontId="52" fillId="0" borderId="0" xfId="16" applyFont="1" applyAlignment="1">
      <alignment horizontal="left" vertical="top" wrapText="1"/>
    </xf>
    <xf numFmtId="0" fontId="53" fillId="0" borderId="0" xfId="16" applyFont="1" applyAlignment="1">
      <alignment horizontal="left" vertical="top"/>
    </xf>
    <xf numFmtId="0" fontId="51" fillId="14" borderId="53" xfId="16" applyFont="1" applyFill="1" applyBorder="1" applyAlignment="1">
      <alignment horizontal="right"/>
    </xf>
    <xf numFmtId="0" fontId="54" fillId="14" borderId="54" xfId="16" applyFont="1" applyFill="1" applyBorder="1"/>
    <xf numFmtId="0" fontId="54" fillId="14" borderId="57" xfId="16" applyFont="1" applyFill="1" applyBorder="1"/>
    <xf numFmtId="0" fontId="51" fillId="0" borderId="0" xfId="16" applyFont="1" applyAlignment="1">
      <alignment horizontal="right"/>
    </xf>
    <xf numFmtId="0" fontId="54" fillId="0" borderId="0" xfId="16" applyFont="1"/>
    <xf numFmtId="0" fontId="54" fillId="14" borderId="60" xfId="16" applyFont="1" applyFill="1" applyBorder="1"/>
    <xf numFmtId="0" fontId="54" fillId="14" borderId="62" xfId="16" applyFont="1" applyFill="1" applyBorder="1"/>
  </cellXfs>
  <cellStyles count="18">
    <cellStyle name="cBMilliers" xfId="7" xr:uid="{00000000-0005-0000-0000-000000000000}"/>
    <cellStyle name="cBMilliers 2" xfId="10" xr:uid="{00000000-0005-0000-0000-000002000000}"/>
    <cellStyle name="cBMilliers-" xfId="5" xr:uid="{00000000-0005-0000-0000-000001000000}"/>
    <cellStyle name="cBMilliers- 2" xfId="9" xr:uid="{00000000-0005-0000-0000-000003000000}"/>
    <cellStyle name="Milliers" xfId="1" builtinId="3"/>
    <cellStyle name="Milliers 2" xfId="11" xr:uid="{00000000-0005-0000-0000-000006000000}"/>
    <cellStyle name="Milliers 3" xfId="6" xr:uid="{00000000-0005-0000-0000-000007000000}"/>
    <cellStyle name="Milliers 4" xfId="14" xr:uid="{00000000-0005-0000-0000-000008000000}"/>
    <cellStyle name="Monétaire" xfId="2" builtinId="4"/>
    <cellStyle name="Monétaire 2" xfId="13" xr:uid="{00000000-0005-0000-0000-00000A000000}"/>
    <cellStyle name="Monétaire 3" xfId="15" xr:uid="{00000000-0005-0000-0000-00000B000000}"/>
    <cellStyle name="Monétaire 6" xfId="17" xr:uid="{BC1768D3-DAD9-9245-B7DC-0888B6D6442C}"/>
    <cellStyle name="Normal" xfId="0" builtinId="0"/>
    <cellStyle name="Normal 2" xfId="4" xr:uid="{00000000-0005-0000-0000-00000D000000}"/>
    <cellStyle name="Normal 3" xfId="8" xr:uid="{00000000-0005-0000-0000-00000E000000}"/>
    <cellStyle name="Normal 6" xfId="16" xr:uid="{6561DB90-5F59-6F4C-A16F-C4FEC468978D}"/>
    <cellStyle name="Pourcentage" xfId="3" builtinId="5"/>
    <cellStyle name="Pourcentage 2" xfId="12" xr:uid="{00000000-0005-0000-0000-000010000000}"/>
  </cellStyles>
  <dxfs count="28">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56"/>
      </font>
    </dxf>
    <dxf>
      <font>
        <condense val="0"/>
        <extend val="0"/>
        <color auto="1"/>
      </font>
    </dxf>
    <dxf>
      <font>
        <condense val="0"/>
        <extend val="0"/>
        <color auto="1"/>
      </font>
    </dxf>
    <dxf>
      <font>
        <condense val="0"/>
        <extend val="0"/>
        <color auto="1"/>
      </font>
    </dxf>
    <dxf>
      <font>
        <condense val="0"/>
        <extend val="0"/>
        <color auto="1"/>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microsoft.com/office/2006/relationships/vbaProject" Target="vbaProject.bin"/></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dual_al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Users/aniri.maguru/Desktop/Saint%20Martin%200606201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C:/C:/C:/C:/var/folders/0d/6vypxqdj1zx2mws84gwpbpjw0000gp/T/com.microsoft.Outlook/Outlook%20Temp/GORALSKA/Budgets/Budget%20S&amp;S/Copie%20de%20budgetgoralskaresidenc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sers/aniri.maguru/Documents/Tapis%20rouge/Proto%20Amiri%20TAPIS%20ROUGE%20wework%2020%20ANS%202018_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al A"/>
      <sheetName val="Top Sheet"/>
      <sheetName val="Prelim Est"/>
      <sheetName val="AUM Detail"/>
      <sheetName val="Mapping table"/>
      <sheetName val="SAP Entry"/>
      <sheetName val="Waivers"/>
      <sheetName val="ExpRe"/>
      <sheetName val="Dual B"/>
      <sheetName val="Dual Y"/>
      <sheetName val="Dual C"/>
      <sheetName val="FSR Data"/>
      <sheetName val="AFS Data"/>
      <sheetName val="12b1"/>
      <sheetName val="Dual Closed"/>
      <sheetName val="Dual Pace"/>
      <sheetName val="Dual RMA"/>
      <sheetName val="Dual Series"/>
      <sheetName val="Dual Nonprop"/>
      <sheetName val="Offshore"/>
      <sheetName val="Breakdown"/>
      <sheetName val="Wavgbps"/>
      <sheetName val="Transfer"/>
      <sheetName val="transferinput"/>
      <sheetName val="Sub-advisSummary"/>
      <sheetName val="SubAdvis1"/>
      <sheetName val="UBS Fds"/>
      <sheetName val="Retail Est"/>
      <sheetName val="Out of Pocket"/>
      <sheetName val="Bills"/>
      <sheetName val="Gross BPs"/>
      <sheetName val="PACE ERISA"/>
      <sheetName val="DFP"/>
      <sheetName val="Dual D"/>
      <sheetName val="Brinson Fds"/>
      <sheetName val="Sub-Alliance"/>
      <sheetName val="SubAdvis2"/>
      <sheetName val="DSI Estimate"/>
      <sheetName val="CSC"/>
      <sheetName val="Monthly Cashflows"/>
      <sheetName val="Summar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QUISITION FINANCEMENT"/>
      <sheetName val="LOCATION"/>
      <sheetName val="TRI  ans CB BEST CASE"/>
      <sheetName val="CB"/>
      <sheetName val="TAM"/>
      <sheetName val="TAM 5ans"/>
      <sheetName val="Etat surface - évaluation trvx"/>
    </sheetNames>
    <sheetDataSet>
      <sheetData sheetId="0"/>
      <sheetData sheetId="1"/>
      <sheetData sheetId="2"/>
      <sheetData sheetId="3"/>
      <sheetData sheetId="4">
        <row r="5">
          <cell r="D5" t="e">
            <v>#REF!</v>
          </cell>
        </row>
        <row r="6">
          <cell r="I6" t="e">
            <v>#REF!</v>
          </cell>
        </row>
        <row r="8">
          <cell r="I8" t="e">
            <v>#REF!</v>
          </cell>
        </row>
        <row r="10">
          <cell r="I10">
            <v>1</v>
          </cell>
        </row>
        <row r="11">
          <cell r="I11" t="e">
            <v>#REF!</v>
          </cell>
        </row>
        <row r="13">
          <cell r="I13">
            <v>0</v>
          </cell>
        </row>
      </sheetData>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ORALSKA HOTEL"/>
      <sheetName val="GORALSKA HOTEL (2)"/>
      <sheetName val="ELEMENTS SALAIRES"/>
      <sheetName val="Feuil1"/>
      <sheetName val="Feuil2"/>
    </sheetNames>
    <sheetDataSet>
      <sheetData sheetId="0"/>
      <sheetData sheetId="1"/>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QUISITION FINANCEMENT"/>
      <sheetName val="BILAN"/>
      <sheetName val="LOCATION"/>
      <sheetName val="Etat surface - évaluation trvx"/>
      <sheetName val="TRI 5 ans Mono loc"/>
      <sheetName val="TRI 5 ans MULTI loc "/>
      <sheetName val="TRI 15 ans Mono loc "/>
      <sheetName val="TRI 15 ans Multi loc  "/>
      <sheetName val="TAM"/>
      <sheetName val="TAM 5ans"/>
      <sheetName val="Carried Interest"/>
    </sheetNames>
    <sheetDataSet>
      <sheetData sheetId="0"/>
      <sheetData sheetId="1"/>
      <sheetData sheetId="2"/>
      <sheetData sheetId="3"/>
      <sheetData sheetId="4">
        <row r="15">
          <cell r="D15">
            <v>2018</v>
          </cell>
          <cell r="E15">
            <v>2019</v>
          </cell>
        </row>
      </sheetData>
      <sheetData sheetId="5"/>
      <sheetData sheetId="6"/>
      <sheetData sheetId="7"/>
      <sheetData sheetId="8"/>
      <sheetData sheetId="9"/>
      <sheetData sheetId="10"/>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I40"/>
  <sheetViews>
    <sheetView workbookViewId="0">
      <selection activeCell="C1" sqref="B1:C1"/>
    </sheetView>
  </sheetViews>
  <sheetFormatPr baseColWidth="10" defaultRowHeight="15"/>
  <cols>
    <col min="1" max="1" width="34.5" style="294" customWidth="1"/>
    <col min="2" max="2" width="24.6640625" style="294" bestFit="1" customWidth="1"/>
    <col min="3" max="3" width="13.5" style="294" bestFit="1" customWidth="1"/>
    <col min="4" max="4" width="0.83203125" style="294" customWidth="1"/>
    <col min="5" max="5" width="19" style="294" bestFit="1" customWidth="1"/>
    <col min="6" max="6" width="27.33203125" style="294" bestFit="1" customWidth="1"/>
    <col min="7" max="7" width="9.33203125" style="294" bestFit="1" customWidth="1"/>
    <col min="8" max="8" width="12.83203125" style="294" bestFit="1" customWidth="1"/>
    <col min="9" max="16384" width="10.83203125" style="294"/>
  </cols>
  <sheetData>
    <row r="1" spans="1:9" ht="21" thickBot="1">
      <c r="A1" s="292" t="s">
        <v>56</v>
      </c>
      <c r="B1" s="74" t="s">
        <v>135</v>
      </c>
      <c r="C1" s="75"/>
      <c r="D1" s="76"/>
      <c r="G1" s="295"/>
      <c r="I1" s="296">
        <f ca="1">TODAY()</f>
        <v>43633</v>
      </c>
    </row>
    <row r="2" spans="1:9" ht="16" thickBot="1"/>
    <row r="3" spans="1:9" ht="32">
      <c r="A3" s="297"/>
      <c r="B3" s="298" t="s">
        <v>57</v>
      </c>
      <c r="C3" s="298" t="s">
        <v>58</v>
      </c>
      <c r="D3" s="298"/>
      <c r="E3" s="298"/>
      <c r="F3" s="298"/>
      <c r="G3" s="298" t="s">
        <v>59</v>
      </c>
      <c r="H3" s="299" t="s">
        <v>60</v>
      </c>
      <c r="I3" s="300"/>
    </row>
    <row r="4" spans="1:9">
      <c r="A4" s="301" t="s">
        <v>61</v>
      </c>
      <c r="B4" s="302">
        <f>'ETAT SURFACE - EVALUATION TRVX'!B16</f>
        <v>1741.7400000000002</v>
      </c>
      <c r="C4" s="302">
        <f>'ETAT SURFACE - EVALUATION TRVX'!B20</f>
        <v>1741.7400000000002</v>
      </c>
      <c r="D4" s="302"/>
      <c r="E4" s="76" t="s">
        <v>62</v>
      </c>
      <c r="F4" s="79">
        <v>9500000</v>
      </c>
      <c r="G4" s="304">
        <f>F4/$B$4</f>
        <v>5454.3157991433845</v>
      </c>
      <c r="H4" s="305">
        <f>$F$4/C4</f>
        <v>5454.3157991433845</v>
      </c>
    </row>
    <row r="5" spans="1:9">
      <c r="A5" s="306"/>
      <c r="B5" s="307"/>
      <c r="C5" s="308"/>
      <c r="D5" s="308"/>
      <c r="E5" s="76" t="s">
        <v>63</v>
      </c>
      <c r="F5" s="303">
        <f>$F$4*C27+((I14+H17)*C28)</f>
        <v>579595.46337749995</v>
      </c>
      <c r="G5" s="304">
        <f>F5/$B$4</f>
        <v>332.76807294860305</v>
      </c>
      <c r="H5" s="305">
        <f>F5/C4</f>
        <v>332.76807294860305</v>
      </c>
    </row>
    <row r="6" spans="1:9">
      <c r="A6" s="306"/>
      <c r="B6" s="76"/>
      <c r="C6" s="308"/>
      <c r="D6" s="308"/>
      <c r="E6" s="76" t="s">
        <v>64</v>
      </c>
      <c r="F6" s="303">
        <f>F4*C29</f>
        <v>285000</v>
      </c>
      <c r="G6" s="304">
        <f>F6/$B$4</f>
        <v>163.62947397430153</v>
      </c>
      <c r="H6" s="305">
        <f>F6/C4</f>
        <v>163.62947397430153</v>
      </c>
    </row>
    <row r="7" spans="1:9" ht="16" thickBot="1">
      <c r="A7" s="306"/>
      <c r="B7" s="76"/>
      <c r="C7" s="76"/>
      <c r="D7" s="76"/>
      <c r="E7" s="76" t="s">
        <v>65</v>
      </c>
      <c r="F7" s="309">
        <f>'ETAT SURFACE - EVALUATION TRVX'!E35</f>
        <v>513813.30000000005</v>
      </c>
      <c r="G7" s="304">
        <f>F7/$B$4</f>
        <v>295</v>
      </c>
      <c r="H7" s="305">
        <f>F7/C4</f>
        <v>295</v>
      </c>
      <c r="I7" s="310"/>
    </row>
    <row r="8" spans="1:9" ht="16" thickBot="1">
      <c r="A8" s="311"/>
      <c r="B8" s="312"/>
      <c r="C8" s="312"/>
      <c r="D8" s="312"/>
      <c r="E8" s="312"/>
      <c r="F8" s="313">
        <f>SUM(F4:F7)</f>
        <v>10878408.763377501</v>
      </c>
      <c r="G8" s="314">
        <f>F8/B4</f>
        <v>6245.7133460662899</v>
      </c>
      <c r="H8" s="315">
        <f>F8/C4</f>
        <v>6245.7133460662899</v>
      </c>
    </row>
    <row r="9" spans="1:9" ht="16" thickBot="1">
      <c r="E9" s="303"/>
      <c r="F9" s="316"/>
    </row>
    <row r="10" spans="1:9" ht="16" thickBot="1">
      <c r="A10" s="317" t="s">
        <v>66</v>
      </c>
      <c r="B10" s="312"/>
      <c r="C10" s="293"/>
      <c r="D10" s="76"/>
      <c r="E10" s="308"/>
      <c r="F10" s="317" t="s">
        <v>67</v>
      </c>
      <c r="G10" s="312"/>
      <c r="H10" s="293"/>
    </row>
    <row r="11" spans="1:9">
      <c r="A11" s="318"/>
      <c r="B11" s="319"/>
      <c r="C11" s="320"/>
      <c r="D11" s="76"/>
      <c r="E11" s="76"/>
      <c r="F11" s="318"/>
      <c r="G11" s="319"/>
      <c r="H11" s="320"/>
    </row>
    <row r="12" spans="1:9" ht="16" thickBot="1">
      <c r="A12" s="321" t="s">
        <v>68</v>
      </c>
      <c r="B12" s="76"/>
      <c r="C12" s="322"/>
      <c r="D12" s="76"/>
      <c r="E12" s="76"/>
      <c r="F12" s="321" t="s">
        <v>69</v>
      </c>
      <c r="G12" s="76"/>
      <c r="H12" s="322"/>
    </row>
    <row r="13" spans="1:9">
      <c r="A13" s="306" t="s">
        <v>70</v>
      </c>
      <c r="B13" s="353">
        <v>0.3</v>
      </c>
      <c r="C13" s="324">
        <f>(F4+F5+F6)*B13</f>
        <v>3109378.6390132499</v>
      </c>
      <c r="D13" s="303"/>
      <c r="E13" s="76"/>
      <c r="F13" s="306" t="s">
        <v>70</v>
      </c>
      <c r="G13" s="323">
        <v>0.1</v>
      </c>
      <c r="H13" s="324">
        <f>(F4+F5+F6)*G13</f>
        <v>1036459.54633775</v>
      </c>
      <c r="I13" s="76"/>
    </row>
    <row r="14" spans="1:9" ht="16" thickBot="1">
      <c r="A14" s="325" t="s">
        <v>71</v>
      </c>
      <c r="B14" s="326">
        <f>1-B13</f>
        <v>0.7</v>
      </c>
      <c r="C14" s="327">
        <f>(F4+F5+F6)*B14</f>
        <v>7255216.8243642496</v>
      </c>
      <c r="D14" s="328"/>
      <c r="E14" s="329"/>
      <c r="F14" s="325" t="s">
        <v>71</v>
      </c>
      <c r="G14" s="326">
        <f>1-G13</f>
        <v>0.9</v>
      </c>
      <c r="H14" s="330">
        <f>(F4+F5+F6)*G14</f>
        <v>9328135.9170397501</v>
      </c>
      <c r="I14" s="331"/>
    </row>
    <row r="15" spans="1:9" ht="16" thickBot="1">
      <c r="A15" s="306" t="s">
        <v>72</v>
      </c>
      <c r="B15" s="307"/>
      <c r="C15" s="305"/>
      <c r="D15" s="303"/>
      <c r="E15" s="329"/>
      <c r="F15" s="332" t="s">
        <v>72</v>
      </c>
      <c r="G15" s="307"/>
      <c r="H15" s="305"/>
    </row>
    <row r="16" spans="1:9">
      <c r="A16" s="306" t="s">
        <v>70</v>
      </c>
      <c r="B16" s="82">
        <v>0.1</v>
      </c>
      <c r="C16" s="333">
        <f>B16*F7</f>
        <v>51381.330000000009</v>
      </c>
      <c r="D16" s="304"/>
      <c r="E16" s="76"/>
      <c r="F16" s="306" t="s">
        <v>70</v>
      </c>
      <c r="G16" s="334">
        <v>0.1</v>
      </c>
      <c r="H16" s="333">
        <f>G16*F7</f>
        <v>51381.330000000009</v>
      </c>
    </row>
    <row r="17" spans="1:8" ht="16" thickBot="1">
      <c r="A17" s="325" t="s">
        <v>71</v>
      </c>
      <c r="B17" s="335">
        <f>1-B16</f>
        <v>0.9</v>
      </c>
      <c r="C17" s="336">
        <f>F7*B17</f>
        <v>462431.97000000003</v>
      </c>
      <c r="D17" s="337"/>
      <c r="E17" s="76"/>
      <c r="F17" s="325" t="s">
        <v>71</v>
      </c>
      <c r="G17" s="335">
        <f>1-G16</f>
        <v>0.9</v>
      </c>
      <c r="H17" s="336">
        <f>F7*G17</f>
        <v>462431.97000000003</v>
      </c>
    </row>
    <row r="18" spans="1:8" ht="16" thickBot="1">
      <c r="A18" s="332" t="s">
        <v>73</v>
      </c>
      <c r="B18" s="329"/>
      <c r="C18" s="338">
        <f>C14+C17</f>
        <v>7717648.7943642493</v>
      </c>
      <c r="D18" s="337"/>
      <c r="E18" s="339"/>
      <c r="F18" s="332" t="s">
        <v>73</v>
      </c>
      <c r="G18" s="329"/>
      <c r="H18" s="338">
        <f>H14+H17</f>
        <v>9790567.8870397508</v>
      </c>
    </row>
    <row r="19" spans="1:8">
      <c r="A19" s="318" t="s">
        <v>74</v>
      </c>
      <c r="B19" s="319"/>
      <c r="C19" s="320"/>
      <c r="D19" s="76"/>
      <c r="E19" s="340"/>
      <c r="F19" s="318" t="s">
        <v>75</v>
      </c>
      <c r="G19" s="319"/>
      <c r="H19" s="320"/>
    </row>
    <row r="20" spans="1:8">
      <c r="A20" s="306" t="s">
        <v>76</v>
      </c>
      <c r="B20" s="76"/>
      <c r="C20" s="341"/>
      <c r="D20" s="329"/>
      <c r="E20" s="76"/>
      <c r="F20" s="306" t="s">
        <v>77</v>
      </c>
      <c r="G20" s="76"/>
      <c r="H20" s="341"/>
    </row>
    <row r="21" spans="1:8">
      <c r="A21" s="306" t="s">
        <v>78</v>
      </c>
      <c r="B21" s="76"/>
      <c r="C21" s="104">
        <v>5</v>
      </c>
      <c r="D21" s="76"/>
      <c r="E21" s="76"/>
      <c r="F21" s="306" t="s">
        <v>78</v>
      </c>
      <c r="G21" s="76"/>
      <c r="H21" s="104">
        <v>15</v>
      </c>
    </row>
    <row r="22" spans="1:8">
      <c r="A22" s="301" t="s">
        <v>79</v>
      </c>
      <c r="B22" s="76"/>
      <c r="C22" s="355">
        <v>0.03</v>
      </c>
      <c r="D22" s="340"/>
      <c r="E22" s="303"/>
      <c r="F22" s="301" t="s">
        <v>79</v>
      </c>
      <c r="G22" s="76"/>
      <c r="H22" s="354">
        <v>2.5000000000000001E-2</v>
      </c>
    </row>
    <row r="23" spans="1:8">
      <c r="A23" s="301" t="s">
        <v>134</v>
      </c>
      <c r="B23" s="76"/>
      <c r="C23" s="354">
        <v>2.8000000000000001E-2</v>
      </c>
      <c r="D23" s="340"/>
      <c r="E23" s="303"/>
      <c r="F23" s="301" t="s">
        <v>80</v>
      </c>
      <c r="G23" s="76"/>
      <c r="H23" s="354">
        <v>0.03</v>
      </c>
    </row>
    <row r="24" spans="1:8">
      <c r="A24" s="306" t="s">
        <v>81</v>
      </c>
      <c r="B24" s="76"/>
      <c r="C24" s="355">
        <v>0.6</v>
      </c>
      <c r="D24" s="340"/>
      <c r="E24" s="76"/>
      <c r="F24" s="306" t="s">
        <v>81</v>
      </c>
      <c r="G24" s="76"/>
      <c r="H24" s="355">
        <v>0.7</v>
      </c>
    </row>
    <row r="25" spans="1:8">
      <c r="A25" s="342" t="s">
        <v>82</v>
      </c>
      <c r="B25" s="76"/>
      <c r="C25" s="84">
        <v>0.01</v>
      </c>
      <c r="D25" s="343"/>
      <c r="F25" s="344" t="s">
        <v>83</v>
      </c>
      <c r="G25" s="76"/>
      <c r="H25" s="85"/>
    </row>
    <row r="26" spans="1:8">
      <c r="A26" s="342" t="s">
        <v>84</v>
      </c>
      <c r="B26" s="76"/>
      <c r="C26" s="84">
        <v>0.01</v>
      </c>
      <c r="D26" s="343"/>
      <c r="F26" s="345" t="s">
        <v>26</v>
      </c>
      <c r="G26" s="76"/>
      <c r="H26" s="346">
        <v>0.5</v>
      </c>
    </row>
    <row r="27" spans="1:8" ht="16">
      <c r="A27" s="42" t="s">
        <v>32</v>
      </c>
      <c r="B27" s="76"/>
      <c r="C27" s="84">
        <v>0.06</v>
      </c>
      <c r="D27" s="343"/>
      <c r="F27" s="345" t="s">
        <v>85</v>
      </c>
      <c r="G27" s="76"/>
      <c r="H27" s="347">
        <v>2.5000000000000001E-2</v>
      </c>
    </row>
    <row r="28" spans="1:8" ht="17" thickBot="1">
      <c r="A28" s="42" t="s">
        <v>86</v>
      </c>
      <c r="B28" s="76"/>
      <c r="C28" s="84">
        <f>1.2%+0.875%</f>
        <v>2.0750000000000001E-2</v>
      </c>
      <c r="D28" s="343"/>
      <c r="F28" s="348" t="s">
        <v>80</v>
      </c>
      <c r="G28" s="349"/>
      <c r="H28" s="350">
        <v>2.8000000000000001E-2</v>
      </c>
    </row>
    <row r="29" spans="1:8" ht="16">
      <c r="A29" s="42" t="s">
        <v>33</v>
      </c>
      <c r="B29" s="76"/>
      <c r="C29" s="84">
        <v>0.03</v>
      </c>
      <c r="D29" s="343"/>
      <c r="F29" s="40"/>
      <c r="G29" s="76"/>
      <c r="H29" s="343"/>
    </row>
    <row r="30" spans="1:8" ht="16">
      <c r="A30" s="42" t="s">
        <v>34</v>
      </c>
      <c r="B30" s="76"/>
      <c r="C30" s="84">
        <v>7.0000000000000007E-2</v>
      </c>
      <c r="D30" s="343"/>
      <c r="F30" s="40"/>
      <c r="G30" s="76"/>
      <c r="H30" s="343"/>
    </row>
    <row r="31" spans="1:8" ht="16">
      <c r="A31" s="42" t="s">
        <v>35</v>
      </c>
      <c r="B31" s="76"/>
      <c r="C31" s="84">
        <v>0.05</v>
      </c>
      <c r="D31" s="343"/>
      <c r="F31" s="40" t="s">
        <v>126</v>
      </c>
      <c r="G31" s="76"/>
      <c r="H31" s="343"/>
    </row>
    <row r="32" spans="1:8" ht="16">
      <c r="A32" s="42" t="s">
        <v>39</v>
      </c>
      <c r="B32" s="76"/>
      <c r="C32" s="84">
        <v>0.01</v>
      </c>
      <c r="D32" s="343"/>
      <c r="F32" s="40"/>
      <c r="G32" s="76"/>
      <c r="H32" s="76"/>
    </row>
    <row r="33" spans="1:8" ht="17" thickBot="1">
      <c r="A33" s="351" t="s">
        <v>46</v>
      </c>
      <c r="B33" s="349"/>
      <c r="C33" s="88">
        <v>0.05</v>
      </c>
      <c r="D33" s="343"/>
      <c r="F33" s="40"/>
      <c r="G33" s="76"/>
      <c r="H33" s="343"/>
    </row>
    <row r="34" spans="1:8" ht="16">
      <c r="A34" s="40"/>
      <c r="B34" s="76"/>
      <c r="C34" s="343"/>
      <c r="D34" s="343"/>
      <c r="F34" s="40"/>
      <c r="G34" s="76"/>
      <c r="H34" s="343"/>
    </row>
    <row r="36" spans="1:8">
      <c r="A36" s="316"/>
    </row>
    <row r="40" spans="1:8">
      <c r="B40" s="352">
        <f>LOCATION!D14/'ACQUISITION FINANCEMENT'!F4</f>
        <v>5.0074842105263161E-2</v>
      </c>
    </row>
  </sheetData>
  <conditionalFormatting sqref="A27:A28">
    <cfRule type="cellIs" dxfId="27" priority="12" stopIfTrue="1" operator="equal">
      <formula>0</formula>
    </cfRule>
  </conditionalFormatting>
  <conditionalFormatting sqref="A29">
    <cfRule type="cellIs" dxfId="26" priority="11" stopIfTrue="1" operator="equal">
      <formula>0</formula>
    </cfRule>
  </conditionalFormatting>
  <conditionalFormatting sqref="F29">
    <cfRule type="cellIs" dxfId="25" priority="10" stopIfTrue="1" operator="equal">
      <formula>0</formula>
    </cfRule>
  </conditionalFormatting>
  <conditionalFormatting sqref="A30">
    <cfRule type="cellIs" dxfId="24" priority="9" stopIfTrue="1" operator="equal">
      <formula>0</formula>
    </cfRule>
  </conditionalFormatting>
  <conditionalFormatting sqref="A31">
    <cfRule type="cellIs" dxfId="23" priority="8" stopIfTrue="1" operator="equal">
      <formula>0</formula>
    </cfRule>
  </conditionalFormatting>
  <conditionalFormatting sqref="A32">
    <cfRule type="cellIs" dxfId="22" priority="7" stopIfTrue="1" operator="equal">
      <formula>0</formula>
    </cfRule>
  </conditionalFormatting>
  <conditionalFormatting sqref="A33:A34">
    <cfRule type="cellIs" dxfId="21" priority="6" stopIfTrue="1" operator="equal">
      <formula>0</formula>
    </cfRule>
  </conditionalFormatting>
  <conditionalFormatting sqref="F33:F34">
    <cfRule type="cellIs" dxfId="20" priority="2" stopIfTrue="1" operator="equal">
      <formula>0</formula>
    </cfRule>
  </conditionalFormatting>
  <conditionalFormatting sqref="F30">
    <cfRule type="cellIs" dxfId="19" priority="5" stopIfTrue="1" operator="equal">
      <formula>0</formula>
    </cfRule>
  </conditionalFormatting>
  <conditionalFormatting sqref="F31">
    <cfRule type="cellIs" dxfId="18" priority="4" stopIfTrue="1" operator="equal">
      <formula>0</formula>
    </cfRule>
  </conditionalFormatting>
  <conditionalFormatting sqref="F32">
    <cfRule type="cellIs" dxfId="17" priority="3" stopIfTrue="1" operator="equal">
      <formula>0</formula>
    </cfRule>
  </conditionalFormatting>
  <conditionalFormatting sqref="H28">
    <cfRule type="cellIs" dxfId="16" priority="1" stopIfTrue="1" operator="equal">
      <formula>0</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AE22"/>
  <sheetViews>
    <sheetView workbookViewId="0">
      <selection activeCell="A3" sqref="A3"/>
    </sheetView>
  </sheetViews>
  <sheetFormatPr baseColWidth="10" defaultRowHeight="15"/>
  <cols>
    <col min="1" max="1" width="22.83203125" customWidth="1"/>
    <col min="2" max="2" width="22.5" bestFit="1" customWidth="1"/>
    <col min="3" max="3" width="14" bestFit="1" customWidth="1"/>
    <col min="4" max="4" width="15.1640625" bestFit="1" customWidth="1"/>
    <col min="5" max="5" width="19.6640625" bestFit="1" customWidth="1"/>
    <col min="6" max="9" width="13.33203125" bestFit="1" customWidth="1"/>
    <col min="10" max="10" width="13.5" bestFit="1" customWidth="1"/>
    <col min="11" max="13" width="17.83203125" bestFit="1" customWidth="1"/>
  </cols>
  <sheetData>
    <row r="1" spans="1:31" ht="21" thickBot="1">
      <c r="A1" s="74" t="s">
        <v>135</v>
      </c>
      <c r="G1" s="77">
        <f ca="1">TODAY()</f>
        <v>43633</v>
      </c>
    </row>
    <row r="3" spans="1:31" ht="25">
      <c r="A3" s="89" t="s">
        <v>90</v>
      </c>
      <c r="B3" s="93"/>
      <c r="I3" s="102"/>
    </row>
    <row r="4" spans="1:31" ht="19.5" customHeight="1" thickBot="1">
      <c r="I4" s="83"/>
      <c r="J4" s="78"/>
    </row>
    <row r="5" spans="1:31" ht="16" thickBot="1">
      <c r="A5" s="144" t="s">
        <v>87</v>
      </c>
      <c r="B5" s="145" t="s">
        <v>88</v>
      </c>
      <c r="C5" s="145" t="s">
        <v>91</v>
      </c>
      <c r="D5" s="146" t="s">
        <v>92</v>
      </c>
      <c r="E5" s="147"/>
      <c r="F5" s="148"/>
      <c r="G5" s="148"/>
      <c r="H5" s="149"/>
      <c r="I5" s="134"/>
      <c r="J5" s="78"/>
    </row>
    <row r="6" spans="1:31">
      <c r="A6" s="91"/>
      <c r="B6" s="150"/>
      <c r="C6" s="94"/>
      <c r="D6" s="151">
        <f>'TRI '!O8</f>
        <v>2020</v>
      </c>
      <c r="E6" s="151">
        <f>D6+1</f>
        <v>2021</v>
      </c>
      <c r="F6" s="151">
        <f t="shared" ref="F6:I6" si="0">E6+1</f>
        <v>2022</v>
      </c>
      <c r="G6" s="151">
        <f t="shared" si="0"/>
        <v>2023</v>
      </c>
      <c r="H6" s="151">
        <f t="shared" si="0"/>
        <v>2024</v>
      </c>
      <c r="I6" s="152">
        <f t="shared" si="0"/>
        <v>2025</v>
      </c>
      <c r="J6" s="153">
        <f t="shared" ref="J6" si="1">I6+1</f>
        <v>2026</v>
      </c>
      <c r="K6" s="151">
        <f t="shared" ref="K6" si="2">J6+1</f>
        <v>2027</v>
      </c>
      <c r="L6" s="151">
        <f t="shared" ref="L6:M6" si="3">K6+1</f>
        <v>2028</v>
      </c>
      <c r="M6" s="152">
        <f t="shared" si="3"/>
        <v>2029</v>
      </c>
      <c r="N6" s="152">
        <f t="shared" ref="N6" si="4">M6+1</f>
        <v>2030</v>
      </c>
      <c r="O6" s="152">
        <f t="shared" ref="O6" si="5">N6+1</f>
        <v>2031</v>
      </c>
      <c r="P6" s="152">
        <f t="shared" ref="P6" si="6">O6+1</f>
        <v>2032</v>
      </c>
      <c r="Q6" s="152">
        <f t="shared" ref="Q6" si="7">P6+1</f>
        <v>2033</v>
      </c>
      <c r="R6" s="152">
        <f t="shared" ref="R6" si="8">Q6+1</f>
        <v>2034</v>
      </c>
      <c r="S6" s="152">
        <f t="shared" ref="S6" si="9">R6+1</f>
        <v>2035</v>
      </c>
      <c r="T6" s="152">
        <f t="shared" ref="T6" si="10">S6+1</f>
        <v>2036</v>
      </c>
      <c r="U6" s="152">
        <f t="shared" ref="U6" si="11">T6+1</f>
        <v>2037</v>
      </c>
      <c r="V6" s="152">
        <f t="shared" ref="V6" si="12">U6+1</f>
        <v>2038</v>
      </c>
      <c r="W6" s="152">
        <f t="shared" ref="W6" si="13">V6+1</f>
        <v>2039</v>
      </c>
      <c r="X6" s="152">
        <f t="shared" ref="X6" si="14">W6+1</f>
        <v>2040</v>
      </c>
      <c r="Y6" s="152">
        <f t="shared" ref="Y6" si="15">X6+1</f>
        <v>2041</v>
      </c>
      <c r="Z6" s="152">
        <f t="shared" ref="Z6" si="16">Y6+1</f>
        <v>2042</v>
      </c>
      <c r="AA6" s="152">
        <f t="shared" ref="AA6" si="17">Z6+1</f>
        <v>2043</v>
      </c>
      <c r="AB6" s="152">
        <f t="shared" ref="AB6" si="18">AA6+1</f>
        <v>2044</v>
      </c>
      <c r="AC6" s="152">
        <f t="shared" ref="AC6" si="19">AB6+1</f>
        <v>2045</v>
      </c>
      <c r="AD6" s="152">
        <f t="shared" ref="AD6" si="20">AC6+1</f>
        <v>2046</v>
      </c>
      <c r="AE6" s="152">
        <f t="shared" ref="AE6" si="21">AD6+1</f>
        <v>2047</v>
      </c>
    </row>
    <row r="7" spans="1:31">
      <c r="A7" s="80" t="str">
        <f>'ETAT SURFACE - EVALUATION TRVX'!A6</f>
        <v>Immeuble A</v>
      </c>
      <c r="B7" s="127">
        <f>'ETAT SURFACE - EVALUATION TRVX'!M6</f>
        <v>654.36</v>
      </c>
      <c r="C7" s="95">
        <f>(479*390+371*106)/B7</f>
        <v>345.58347087230271</v>
      </c>
      <c r="D7" s="92">
        <f>B7*C7</f>
        <v>226136</v>
      </c>
      <c r="E7" s="92">
        <f>D7</f>
        <v>226136</v>
      </c>
      <c r="F7" s="92">
        <f>E7</f>
        <v>226136</v>
      </c>
      <c r="G7" s="92">
        <f>F7</f>
        <v>226136</v>
      </c>
      <c r="H7" s="92">
        <f>G7</f>
        <v>226136</v>
      </c>
      <c r="I7" s="141">
        <f>((479*390+450*106)/B7)*B7</f>
        <v>234510</v>
      </c>
      <c r="J7" s="138">
        <f t="shared" ref="J7:K7" si="22">((479*390+450*106)/C7)*C7</f>
        <v>234510.00000000003</v>
      </c>
      <c r="K7" s="135">
        <f t="shared" si="22"/>
        <v>234510</v>
      </c>
      <c r="L7" s="135">
        <f>((479*390+450*106)/E7)*E7</f>
        <v>234510</v>
      </c>
      <c r="M7" s="154">
        <f>((479*450+450*106)/D7)*D7</f>
        <v>263250</v>
      </c>
    </row>
    <row r="8" spans="1:31">
      <c r="A8" s="80" t="str">
        <f>'ETAT SURFACE - EVALUATION TRVX'!A7</f>
        <v>Immeuble B</v>
      </c>
      <c r="B8" s="127">
        <f>'ETAT SURFACE - EVALUATION TRVX'!M7</f>
        <v>630</v>
      </c>
      <c r="C8" s="95">
        <v>371</v>
      </c>
      <c r="D8" s="92">
        <f t="shared" ref="D8:D9" si="23">B8*C8</f>
        <v>233730</v>
      </c>
      <c r="E8" s="92">
        <f>$B$8*$C$8</f>
        <v>233730</v>
      </c>
      <c r="F8" s="92">
        <f>$B$8*$C$8</f>
        <v>233730</v>
      </c>
      <c r="G8" s="92">
        <f>$B$8*$C$8</f>
        <v>233730</v>
      </c>
      <c r="H8" s="92">
        <f>$B$8*$C$8</f>
        <v>233730</v>
      </c>
      <c r="I8" s="141">
        <f>$B$8*450</f>
        <v>283500</v>
      </c>
      <c r="J8" s="138">
        <f t="shared" ref="J8:M8" si="24">$B$8*450</f>
        <v>283500</v>
      </c>
      <c r="K8" s="135">
        <f t="shared" si="24"/>
        <v>283500</v>
      </c>
      <c r="L8" s="135">
        <f t="shared" si="24"/>
        <v>283500</v>
      </c>
      <c r="M8" s="141">
        <f t="shared" si="24"/>
        <v>283500</v>
      </c>
    </row>
    <row r="9" spans="1:31">
      <c r="A9" s="80" t="str">
        <f>'ETAT SURFACE - EVALUATION TRVX'!A8</f>
        <v>Immeuble C</v>
      </c>
      <c r="B9" s="127">
        <f>'ETAT SURFACE - EVALUATION TRVX'!M8</f>
        <v>39.380000000000003</v>
      </c>
      <c r="C9" s="95">
        <v>250</v>
      </c>
      <c r="D9" s="92">
        <f t="shared" si="23"/>
        <v>9845</v>
      </c>
      <c r="E9" s="92">
        <f>$B$9*$C$9</f>
        <v>9845</v>
      </c>
      <c r="F9" s="92">
        <f>$B$9*$C$9</f>
        <v>9845</v>
      </c>
      <c r="G9" s="92">
        <f>$B$9*$C$9</f>
        <v>9845</v>
      </c>
      <c r="H9" s="92">
        <f>$B$9*$C$9</f>
        <v>9845</v>
      </c>
      <c r="I9" s="142">
        <f>$B$9*$C$9</f>
        <v>9845</v>
      </c>
      <c r="J9" s="139">
        <f t="shared" ref="J9:L9" si="25">$B$9*$C$9</f>
        <v>9845</v>
      </c>
      <c r="K9" s="136">
        <f t="shared" si="25"/>
        <v>9845</v>
      </c>
      <c r="L9" s="136">
        <f t="shared" si="25"/>
        <v>9845</v>
      </c>
      <c r="M9" s="142">
        <f>$B$9*450</f>
        <v>17721</v>
      </c>
    </row>
    <row r="10" spans="1:31">
      <c r="A10" s="80" t="str">
        <f>'ETAT SURFACE - EVALUATION TRVX'!A9</f>
        <v>Immeuble D</v>
      </c>
      <c r="B10" s="127">
        <f>'ETAT SURFACE - EVALUATION TRVX'!M9</f>
        <v>415</v>
      </c>
      <c r="C10" s="125">
        <v>150</v>
      </c>
      <c r="D10" s="78"/>
      <c r="E10" s="126"/>
      <c r="F10" s="126"/>
      <c r="G10" s="126"/>
      <c r="H10" s="92"/>
      <c r="I10" s="142">
        <f>B10*C10</f>
        <v>62250</v>
      </c>
      <c r="J10" s="139">
        <f>I10</f>
        <v>62250</v>
      </c>
      <c r="K10" s="136">
        <f t="shared" ref="K10:M10" si="26">J10</f>
        <v>62250</v>
      </c>
      <c r="L10" s="136">
        <f t="shared" si="26"/>
        <v>62250</v>
      </c>
      <c r="M10" s="142">
        <f t="shared" si="26"/>
        <v>62250</v>
      </c>
    </row>
    <row r="11" spans="1:31">
      <c r="A11" s="80" t="str">
        <f>'ETAT SURFACE - EVALUATION TRVX'!A10</f>
        <v>Immeuble E</v>
      </c>
      <c r="B11" s="127">
        <f>'ETAT SURFACE - EVALUATION TRVX'!M10</f>
        <v>3</v>
      </c>
      <c r="C11" s="125"/>
      <c r="D11" s="126">
        <v>6000</v>
      </c>
      <c r="E11" s="126">
        <v>6000</v>
      </c>
      <c r="F11" s="126">
        <v>6000</v>
      </c>
      <c r="G11" s="126">
        <v>6000</v>
      </c>
      <c r="H11" s="92">
        <v>6000</v>
      </c>
      <c r="I11" s="142">
        <v>6000</v>
      </c>
      <c r="J11" s="139">
        <v>6000</v>
      </c>
      <c r="K11" s="136">
        <v>6000</v>
      </c>
      <c r="L11" s="136">
        <v>6000</v>
      </c>
      <c r="M11" s="142">
        <v>6000</v>
      </c>
    </row>
    <row r="12" spans="1:31">
      <c r="A12" s="80"/>
      <c r="B12" s="127">
        <f>'ETAT SURFACE - EVALUATION TRVX'!M11</f>
        <v>0</v>
      </c>
      <c r="C12" s="125"/>
      <c r="D12" s="126"/>
      <c r="E12" s="126"/>
      <c r="F12" s="126"/>
      <c r="G12" s="126"/>
      <c r="H12" s="92"/>
      <c r="I12" s="143"/>
      <c r="J12" s="140"/>
      <c r="K12" s="137"/>
      <c r="L12" s="137"/>
      <c r="M12" s="155"/>
    </row>
    <row r="13" spans="1:31" ht="16" thickBot="1">
      <c r="A13" s="80"/>
      <c r="B13" s="130">
        <f>'ETAT SURFACE - EVALUATION TRVX'!M12</f>
        <v>0</v>
      </c>
      <c r="C13" s="125"/>
      <c r="D13" s="126"/>
      <c r="E13" s="126"/>
      <c r="F13" s="126"/>
      <c r="G13" s="126"/>
      <c r="H13" s="92"/>
      <c r="I13" s="143"/>
      <c r="J13" s="140"/>
      <c r="K13" s="137"/>
      <c r="L13" s="137"/>
      <c r="M13" s="155"/>
    </row>
    <row r="14" spans="1:31" ht="16" thickBot="1">
      <c r="A14" s="90" t="s">
        <v>89</v>
      </c>
      <c r="B14" s="131">
        <f>SUM(B7:B13)</f>
        <v>1741.7400000000002</v>
      </c>
      <c r="C14" s="132"/>
      <c r="D14" s="133">
        <f>SUM(D7:D13)</f>
        <v>475711</v>
      </c>
      <c r="E14" s="133">
        <f>SUM(E7:E13)</f>
        <v>475711</v>
      </c>
      <c r="F14" s="133">
        <f t="shared" ref="F14:AE14" si="27">SUM(F7:F13)</f>
        <v>475711</v>
      </c>
      <c r="G14" s="133">
        <f t="shared" si="27"/>
        <v>475711</v>
      </c>
      <c r="H14" s="133">
        <f t="shared" si="27"/>
        <v>475711</v>
      </c>
      <c r="I14" s="133">
        <f t="shared" si="27"/>
        <v>596105</v>
      </c>
      <c r="J14" s="133">
        <f t="shared" si="27"/>
        <v>596105</v>
      </c>
      <c r="K14" s="133">
        <f t="shared" si="27"/>
        <v>596105</v>
      </c>
      <c r="L14" s="133">
        <f t="shared" si="27"/>
        <v>596105</v>
      </c>
      <c r="M14" s="133">
        <f t="shared" si="27"/>
        <v>632721</v>
      </c>
      <c r="N14" s="133">
        <f t="shared" si="27"/>
        <v>0</v>
      </c>
      <c r="O14" s="133">
        <f t="shared" si="27"/>
        <v>0</v>
      </c>
      <c r="P14" s="133">
        <f t="shared" si="27"/>
        <v>0</v>
      </c>
      <c r="Q14" s="133">
        <f t="shared" si="27"/>
        <v>0</v>
      </c>
      <c r="R14" s="133">
        <f t="shared" si="27"/>
        <v>0</v>
      </c>
      <c r="S14" s="133">
        <f t="shared" si="27"/>
        <v>0</v>
      </c>
      <c r="T14" s="133">
        <f t="shared" si="27"/>
        <v>0</v>
      </c>
      <c r="U14" s="133">
        <f t="shared" si="27"/>
        <v>0</v>
      </c>
      <c r="V14" s="133">
        <f t="shared" si="27"/>
        <v>0</v>
      </c>
      <c r="W14" s="133">
        <f t="shared" si="27"/>
        <v>0</v>
      </c>
      <c r="X14" s="133">
        <f t="shared" si="27"/>
        <v>0</v>
      </c>
      <c r="Y14" s="133">
        <f t="shared" si="27"/>
        <v>0</v>
      </c>
      <c r="Z14" s="133">
        <f t="shared" si="27"/>
        <v>0</v>
      </c>
      <c r="AA14" s="133">
        <f t="shared" si="27"/>
        <v>0</v>
      </c>
      <c r="AB14" s="133">
        <f t="shared" si="27"/>
        <v>0</v>
      </c>
      <c r="AC14" s="133">
        <f t="shared" si="27"/>
        <v>0</v>
      </c>
      <c r="AD14" s="133">
        <f t="shared" si="27"/>
        <v>0</v>
      </c>
      <c r="AE14" s="133">
        <f t="shared" si="27"/>
        <v>0</v>
      </c>
    </row>
    <row r="15" spans="1:31">
      <c r="A15" s="78"/>
      <c r="B15" s="123"/>
      <c r="C15" s="121"/>
      <c r="D15" s="128"/>
      <c r="E15" s="128">
        <f>IF(E6&gt;=LOCATION!$O$11,SUM(E7:E13),"")</f>
        <v>475711</v>
      </c>
      <c r="F15" s="128">
        <f>IF(F6&gt;=LOCATION!$O$11,SUM(F7:F13),"")</f>
        <v>475711</v>
      </c>
      <c r="G15" s="128">
        <f>IF(G6&gt;=LOCATION!$O$11,SUM(G7:G13),"")</f>
        <v>475711</v>
      </c>
      <c r="H15" s="128">
        <f>IF(H6&gt;=LOCATION!$O$11,SUM(H7:H13),"")</f>
        <v>475711</v>
      </c>
      <c r="I15" s="128">
        <f>IF(I6&gt;=LOCATION!$O$11,SUM(I7:I13),"")</f>
        <v>596105</v>
      </c>
      <c r="J15" s="128">
        <f>IF(J6&gt;=LOCATION!$O$11,SUM(J7:J13),"")</f>
        <v>596105</v>
      </c>
      <c r="K15" s="128">
        <f>IF(K6&gt;=LOCATION!$O$11,SUM(K7:K13),"")</f>
        <v>596105</v>
      </c>
      <c r="L15" s="128">
        <f>IF(L6&gt;=LOCATION!$O$11,SUM(L7:L13),"")</f>
        <v>596105</v>
      </c>
      <c r="M15" s="128">
        <f>IF(M6&gt;=LOCATION!$O$11,SUM(M7:M13),"")</f>
        <v>632721</v>
      </c>
      <c r="N15" s="128">
        <f>IF(N6&gt;=LOCATION!$O$11,SUM(N7:N13),"")</f>
        <v>0</v>
      </c>
    </row>
    <row r="16" spans="1:31">
      <c r="A16" s="120"/>
      <c r="B16" s="122"/>
      <c r="C16" s="124"/>
      <c r="D16" s="129"/>
      <c r="E16" s="129"/>
      <c r="F16" s="129"/>
      <c r="G16" s="129"/>
      <c r="H16" s="129"/>
      <c r="I16" s="101"/>
      <c r="J16" s="83"/>
    </row>
    <row r="17" spans="1:10">
      <c r="A17" s="78"/>
      <c r="B17" s="78"/>
      <c r="C17" s="78"/>
      <c r="D17" s="83"/>
      <c r="E17" s="83"/>
      <c r="F17" s="83"/>
      <c r="G17" s="83"/>
      <c r="H17" s="83"/>
      <c r="I17" s="83"/>
      <c r="J17" s="83"/>
    </row>
    <row r="18" spans="1:10">
      <c r="D18" s="83"/>
      <c r="E18" s="101"/>
      <c r="F18" s="101"/>
      <c r="G18" s="101"/>
      <c r="H18" s="101"/>
      <c r="I18" s="83"/>
      <c r="J18" s="83"/>
    </row>
    <row r="19" spans="1:10">
      <c r="D19" s="102"/>
      <c r="F19" s="102"/>
      <c r="G19" s="102"/>
      <c r="H19" s="102"/>
      <c r="I19" s="102"/>
      <c r="J19" s="102"/>
    </row>
    <row r="22" spans="1:10">
      <c r="I22" s="81">
        <f>M14/0.045</f>
        <v>14060466.666666668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M35"/>
  <sheetViews>
    <sheetView zoomScale="95" zoomScaleNormal="95" workbookViewId="0">
      <selection activeCell="H24" sqref="H24"/>
    </sheetView>
  </sheetViews>
  <sheetFormatPr baseColWidth="10" defaultRowHeight="15"/>
  <cols>
    <col min="1" max="1" width="34.5" style="294" bestFit="1" customWidth="1"/>
    <col min="2" max="2" width="34.5" style="294" customWidth="1"/>
    <col min="3" max="4" width="10.83203125" style="294"/>
    <col min="5" max="5" width="14.1640625" style="294" bestFit="1" customWidth="1"/>
    <col min="6" max="6" width="12" style="294" bestFit="1" customWidth="1"/>
    <col min="7" max="16384" width="10.83203125" style="294"/>
  </cols>
  <sheetData>
    <row r="1" spans="1:13" ht="21" thickBot="1">
      <c r="A1" s="386" t="s">
        <v>135</v>
      </c>
      <c r="B1" s="357"/>
      <c r="M1" s="296">
        <f ca="1">V23+TODAY()</f>
        <v>43633</v>
      </c>
    </row>
    <row r="2" spans="1:13" ht="16" thickBot="1"/>
    <row r="3" spans="1:13" ht="16" thickBot="1">
      <c r="A3" s="317" t="s">
        <v>93</v>
      </c>
      <c r="B3" s="358" t="s">
        <v>52</v>
      </c>
      <c r="C3" s="359" t="s">
        <v>94</v>
      </c>
      <c r="D3" s="359" t="s">
        <v>95</v>
      </c>
      <c r="E3" s="359" t="s">
        <v>96</v>
      </c>
      <c r="F3" s="359" t="s">
        <v>97</v>
      </c>
      <c r="G3" s="359" t="s">
        <v>98</v>
      </c>
      <c r="H3" s="359" t="s">
        <v>99</v>
      </c>
      <c r="I3" s="359" t="s">
        <v>100</v>
      </c>
      <c r="J3" s="359" t="s">
        <v>101</v>
      </c>
      <c r="K3" s="359" t="s">
        <v>102</v>
      </c>
      <c r="L3" s="359" t="s">
        <v>103</v>
      </c>
      <c r="M3" s="360"/>
    </row>
    <row r="4" spans="1:13">
      <c r="A4" s="306"/>
      <c r="B4" s="76"/>
      <c r="C4" s="76"/>
      <c r="D4" s="76"/>
      <c r="E4" s="76"/>
      <c r="F4" s="76"/>
      <c r="G4" s="76"/>
      <c r="H4" s="76"/>
      <c r="I4" s="76"/>
      <c r="J4" s="76"/>
      <c r="K4" s="76"/>
      <c r="L4" s="76"/>
      <c r="M4" s="322"/>
    </row>
    <row r="5" spans="1:13">
      <c r="A5" s="306"/>
      <c r="B5" s="76"/>
      <c r="C5" s="76"/>
      <c r="D5" s="76"/>
      <c r="E5" s="76"/>
      <c r="F5" s="76"/>
      <c r="G5" s="76"/>
      <c r="H5" s="76"/>
      <c r="I5" s="76"/>
      <c r="J5" s="76"/>
      <c r="K5" s="76"/>
      <c r="L5" s="76"/>
      <c r="M5" s="322"/>
    </row>
    <row r="6" spans="1:13">
      <c r="A6" s="306" t="s">
        <v>122</v>
      </c>
      <c r="B6" s="76"/>
      <c r="C6" s="96">
        <v>69</v>
      </c>
      <c r="D6" s="97">
        <v>53.18</v>
      </c>
      <c r="E6" s="97">
        <f>55+53.18</f>
        <v>108.18</v>
      </c>
      <c r="F6" s="97">
        <v>106</v>
      </c>
      <c r="G6" s="97">
        <v>106</v>
      </c>
      <c r="H6" s="97">
        <v>106</v>
      </c>
      <c r="I6" s="97">
        <v>106</v>
      </c>
      <c r="J6" s="97"/>
      <c r="K6" s="98"/>
      <c r="L6" s="97"/>
      <c r="M6" s="385">
        <f t="shared" ref="M6:M13" si="0">SUM(C6:L6)</f>
        <v>654.36</v>
      </c>
    </row>
    <row r="7" spans="1:13">
      <c r="A7" s="306" t="s">
        <v>123</v>
      </c>
      <c r="B7" s="76"/>
      <c r="C7" s="97"/>
      <c r="D7" s="97"/>
      <c r="E7" s="97"/>
      <c r="F7" s="97">
        <f>170+160</f>
        <v>330</v>
      </c>
      <c r="G7" s="97">
        <f>160+140</f>
        <v>300</v>
      </c>
      <c r="H7" s="97"/>
      <c r="I7" s="97"/>
      <c r="J7" s="97"/>
      <c r="K7" s="98"/>
      <c r="L7" s="97"/>
      <c r="M7" s="385">
        <f t="shared" si="0"/>
        <v>630</v>
      </c>
    </row>
    <row r="8" spans="1:13">
      <c r="A8" s="306" t="s">
        <v>124</v>
      </c>
      <c r="B8" s="76"/>
      <c r="C8" s="97"/>
      <c r="D8" s="97"/>
      <c r="E8" s="97">
        <v>39.380000000000003</v>
      </c>
      <c r="F8" s="97"/>
      <c r="G8" s="97"/>
      <c r="H8" s="97"/>
      <c r="I8" s="97"/>
      <c r="J8" s="97"/>
      <c r="K8" s="98"/>
      <c r="L8" s="97"/>
      <c r="M8" s="385">
        <f t="shared" si="0"/>
        <v>39.380000000000003</v>
      </c>
    </row>
    <row r="9" spans="1:13">
      <c r="A9" s="306" t="s">
        <v>125</v>
      </c>
      <c r="B9" s="76"/>
      <c r="C9" s="97"/>
      <c r="D9" s="97">
        <v>400</v>
      </c>
      <c r="E9" s="97">
        <v>15</v>
      </c>
      <c r="F9" s="97"/>
      <c r="G9" s="97"/>
      <c r="H9" s="97"/>
      <c r="I9" s="97"/>
      <c r="J9" s="97"/>
      <c r="K9" s="98"/>
      <c r="L9" s="97"/>
      <c r="M9" s="385">
        <f t="shared" si="0"/>
        <v>415</v>
      </c>
    </row>
    <row r="10" spans="1:13">
      <c r="A10" s="306" t="s">
        <v>128</v>
      </c>
      <c r="B10" s="76"/>
      <c r="C10" s="97"/>
      <c r="D10" s="97"/>
      <c r="E10" s="97">
        <v>3</v>
      </c>
      <c r="F10" s="97"/>
      <c r="G10" s="97"/>
      <c r="H10" s="97"/>
      <c r="I10" s="97"/>
      <c r="J10" s="97"/>
      <c r="K10" s="98"/>
      <c r="L10" s="97"/>
      <c r="M10" s="385">
        <f t="shared" si="0"/>
        <v>3</v>
      </c>
    </row>
    <row r="11" spans="1:13">
      <c r="A11" s="306"/>
      <c r="B11" s="76"/>
      <c r="C11" s="118"/>
      <c r="D11" s="118"/>
      <c r="E11" s="118"/>
      <c r="F11" s="118"/>
      <c r="G11" s="118"/>
      <c r="H11" s="118"/>
      <c r="I11" s="118"/>
      <c r="J11" s="118"/>
      <c r="K11" s="119"/>
      <c r="L11" s="119"/>
      <c r="M11" s="385">
        <f t="shared" si="0"/>
        <v>0</v>
      </c>
    </row>
    <row r="12" spans="1:13">
      <c r="A12" s="306"/>
      <c r="B12" s="76"/>
      <c r="C12" s="362"/>
      <c r="D12" s="362"/>
      <c r="E12" s="362"/>
      <c r="F12" s="362"/>
      <c r="G12" s="362"/>
      <c r="H12" s="362"/>
      <c r="I12" s="362"/>
      <c r="J12" s="362"/>
      <c r="K12" s="76"/>
      <c r="L12" s="76"/>
      <c r="M12" s="361">
        <f t="shared" si="0"/>
        <v>0</v>
      </c>
    </row>
    <row r="13" spans="1:13" ht="16" thickBot="1">
      <c r="A13" s="306"/>
      <c r="B13" s="76"/>
      <c r="C13" s="362"/>
      <c r="D13" s="362"/>
      <c r="E13" s="362"/>
      <c r="F13" s="362"/>
      <c r="G13" s="362"/>
      <c r="H13" s="362"/>
      <c r="I13" s="362"/>
      <c r="J13" s="362"/>
      <c r="K13" s="76"/>
      <c r="L13" s="76"/>
      <c r="M13" s="361">
        <f t="shared" si="0"/>
        <v>0</v>
      </c>
    </row>
    <row r="14" spans="1:13" ht="16" thickBot="1">
      <c r="A14" s="363" t="s">
        <v>127</v>
      </c>
      <c r="B14" s="364">
        <f>SUM(C14:L14)</f>
        <v>0</v>
      </c>
      <c r="C14" s="365"/>
      <c r="D14" s="365"/>
      <c r="E14" s="365"/>
      <c r="F14" s="365"/>
      <c r="G14" s="365"/>
      <c r="H14" s="366"/>
      <c r="I14" s="366"/>
      <c r="J14" s="366"/>
      <c r="K14" s="367"/>
      <c r="L14" s="368"/>
      <c r="M14" s="369">
        <f>SUM(C14:L14)</f>
        <v>0</v>
      </c>
    </row>
    <row r="15" spans="1:13" ht="16" thickBot="1">
      <c r="A15" s="306"/>
      <c r="B15" s="76"/>
      <c r="C15" s="362"/>
      <c r="D15" s="362"/>
      <c r="E15" s="362"/>
      <c r="F15" s="362"/>
      <c r="G15" s="362"/>
      <c r="H15" s="362"/>
      <c r="I15" s="362"/>
      <c r="J15" s="362"/>
      <c r="K15" s="76"/>
      <c r="L15" s="76"/>
      <c r="M15" s="322"/>
    </row>
    <row r="16" spans="1:13" ht="16" thickBot="1">
      <c r="A16" s="370" t="s">
        <v>57</v>
      </c>
      <c r="B16" s="371">
        <f>SUM(C6:L13)</f>
        <v>1741.7400000000002</v>
      </c>
      <c r="C16" s="367"/>
      <c r="D16" s="367"/>
      <c r="E16" s="367"/>
      <c r="F16" s="367"/>
      <c r="G16" s="367"/>
      <c r="H16" s="367"/>
      <c r="I16" s="367"/>
      <c r="J16" s="367"/>
      <c r="K16" s="368"/>
      <c r="L16" s="368"/>
      <c r="M16" s="293"/>
    </row>
    <row r="17" spans="1:13" ht="16" thickBot="1">
      <c r="A17" s="306"/>
      <c r="B17" s="76"/>
      <c r="C17" s="362"/>
      <c r="D17" s="362"/>
      <c r="E17" s="362"/>
      <c r="F17" s="362"/>
      <c r="G17" s="362"/>
      <c r="H17" s="362"/>
      <c r="I17" s="362"/>
      <c r="J17" s="362"/>
      <c r="K17" s="76"/>
      <c r="L17" s="76"/>
      <c r="M17" s="322"/>
    </row>
    <row r="18" spans="1:13" ht="16" thickBot="1">
      <c r="A18" s="372" t="s">
        <v>104</v>
      </c>
      <c r="B18" s="369">
        <f>SUM(H18:L18)</f>
        <v>0</v>
      </c>
      <c r="C18" s="365"/>
      <c r="D18" s="365"/>
      <c r="E18" s="365"/>
      <c r="F18" s="365"/>
      <c r="G18" s="365"/>
      <c r="H18" s="373"/>
      <c r="I18" s="373"/>
      <c r="J18" s="373"/>
      <c r="K18" s="373"/>
      <c r="L18" s="373"/>
      <c r="M18" s="293"/>
    </row>
    <row r="19" spans="1:13" ht="16" thickBot="1">
      <c r="A19" s="306"/>
      <c r="B19" s="76"/>
      <c r="C19" s="362"/>
      <c r="D19" s="362"/>
      <c r="E19" s="362"/>
      <c r="F19" s="362"/>
      <c r="G19" s="362"/>
      <c r="H19" s="362"/>
      <c r="I19" s="362"/>
      <c r="J19" s="362"/>
      <c r="K19" s="76"/>
      <c r="L19" s="76"/>
      <c r="M19" s="322"/>
    </row>
    <row r="20" spans="1:13" ht="16" thickBot="1">
      <c r="A20" s="374" t="s">
        <v>105</v>
      </c>
      <c r="B20" s="375">
        <f>B16+B18</f>
        <v>1741.7400000000002</v>
      </c>
      <c r="C20" s="376">
        <f t="shared" ref="C20:L20" si="1">SUM(C11:C19)</f>
        <v>0</v>
      </c>
      <c r="D20" s="377">
        <f t="shared" si="1"/>
        <v>0</v>
      </c>
      <c r="E20" s="377">
        <f t="shared" si="1"/>
        <v>0</v>
      </c>
      <c r="F20" s="377">
        <f t="shared" si="1"/>
        <v>0</v>
      </c>
      <c r="G20" s="377">
        <f t="shared" si="1"/>
        <v>0</v>
      </c>
      <c r="H20" s="377">
        <f t="shared" si="1"/>
        <v>0</v>
      </c>
      <c r="I20" s="377">
        <f t="shared" si="1"/>
        <v>0</v>
      </c>
      <c r="J20" s="377">
        <f t="shared" si="1"/>
        <v>0</v>
      </c>
      <c r="K20" s="377">
        <f t="shared" si="1"/>
        <v>0</v>
      </c>
      <c r="L20" s="377">
        <f t="shared" si="1"/>
        <v>0</v>
      </c>
      <c r="M20" s="293"/>
    </row>
    <row r="21" spans="1:13">
      <c r="C21" s="378"/>
      <c r="D21" s="378"/>
      <c r="E21" s="378"/>
      <c r="F21" s="378"/>
      <c r="G21" s="378"/>
      <c r="H21" s="378"/>
      <c r="I21" s="378"/>
      <c r="J21" s="378"/>
    </row>
    <row r="22" spans="1:13">
      <c r="C22" s="378"/>
      <c r="D22" s="378"/>
      <c r="E22" s="378"/>
      <c r="F22" s="378"/>
      <c r="G22" s="378"/>
      <c r="H22" s="378"/>
      <c r="I22" s="378"/>
      <c r="J22" s="378"/>
    </row>
    <row r="23" spans="1:13">
      <c r="C23" s="378"/>
      <c r="D23" s="378"/>
      <c r="E23" s="378"/>
      <c r="F23" s="378"/>
      <c r="G23" s="378"/>
      <c r="H23" s="378"/>
      <c r="I23" s="378"/>
      <c r="J23" s="378"/>
    </row>
    <row r="24" spans="1:13" ht="16" thickBot="1">
      <c r="A24" s="379" t="s">
        <v>106</v>
      </c>
      <c r="B24" s="379"/>
      <c r="C24" s="378"/>
      <c r="D24" s="378"/>
      <c r="E24" s="378"/>
      <c r="F24" s="378"/>
      <c r="G24" s="378"/>
      <c r="H24" s="378"/>
      <c r="I24" s="378"/>
      <c r="J24" s="378"/>
    </row>
    <row r="25" spans="1:13" ht="16" thickBot="1">
      <c r="A25" s="311"/>
      <c r="B25" s="312"/>
      <c r="C25" s="367" t="s">
        <v>107</v>
      </c>
      <c r="D25" s="367" t="s">
        <v>47</v>
      </c>
      <c r="E25" s="380" t="s">
        <v>108</v>
      </c>
      <c r="H25" s="378"/>
      <c r="I25" s="378"/>
      <c r="J25" s="378"/>
    </row>
    <row r="26" spans="1:13">
      <c r="A26" s="306" t="s">
        <v>109</v>
      </c>
      <c r="B26" s="76"/>
      <c r="C26" s="362">
        <f>B16</f>
        <v>1741.7400000000002</v>
      </c>
      <c r="D26" s="117">
        <v>250</v>
      </c>
      <c r="E26" s="381">
        <f>C26*D26</f>
        <v>435435.00000000006</v>
      </c>
      <c r="F26" s="378"/>
      <c r="G26" s="378"/>
      <c r="H26" s="378"/>
      <c r="I26" s="378"/>
      <c r="J26" s="378"/>
    </row>
    <row r="27" spans="1:13">
      <c r="A27" s="306" t="s">
        <v>110</v>
      </c>
      <c r="B27" s="76"/>
      <c r="C27" s="362">
        <f>B14</f>
        <v>0</v>
      </c>
      <c r="D27" s="304">
        <v>1600</v>
      </c>
      <c r="E27" s="381">
        <f>C27*D27</f>
        <v>0</v>
      </c>
      <c r="F27" s="378"/>
      <c r="G27" s="378"/>
      <c r="H27" s="378"/>
      <c r="I27" s="378"/>
      <c r="J27" s="378"/>
    </row>
    <row r="28" spans="1:13">
      <c r="A28" s="306" t="s">
        <v>111</v>
      </c>
      <c r="B28" s="76"/>
      <c r="C28" s="362">
        <f>B18</f>
        <v>0</v>
      </c>
      <c r="D28" s="304">
        <v>2500</v>
      </c>
      <c r="E28" s="381">
        <f>C28*D28</f>
        <v>0</v>
      </c>
      <c r="F28" s="378"/>
      <c r="G28" s="378"/>
      <c r="H28" s="378"/>
      <c r="I28" s="378"/>
      <c r="J28" s="378"/>
    </row>
    <row r="29" spans="1:13">
      <c r="A29" s="306" t="s">
        <v>112</v>
      </c>
      <c r="B29" s="76"/>
      <c r="C29" s="362"/>
      <c r="D29" s="304">
        <v>600</v>
      </c>
      <c r="E29" s="381">
        <f>C29*D29</f>
        <v>0</v>
      </c>
    </row>
    <row r="30" spans="1:13">
      <c r="A30" s="306" t="s">
        <v>113</v>
      </c>
      <c r="B30" s="76"/>
      <c r="C30" s="76"/>
      <c r="D30" s="76"/>
      <c r="E30" s="382">
        <f>SUM(E26:E29)</f>
        <v>435435.00000000006</v>
      </c>
    </row>
    <row r="31" spans="1:13">
      <c r="A31" s="306" t="s">
        <v>114</v>
      </c>
      <c r="B31" s="76"/>
      <c r="C31" s="329">
        <v>0.12</v>
      </c>
      <c r="D31" s="76"/>
      <c r="E31" s="382">
        <f>E30*C31</f>
        <v>52252.200000000004</v>
      </c>
    </row>
    <row r="32" spans="1:13">
      <c r="A32" s="306" t="s">
        <v>115</v>
      </c>
      <c r="B32" s="76"/>
      <c r="C32" s="329">
        <v>0.06</v>
      </c>
      <c r="D32" s="76"/>
      <c r="E32" s="382">
        <f>E30*C32</f>
        <v>26126.100000000002</v>
      </c>
    </row>
    <row r="33" spans="1:7">
      <c r="A33" s="306" t="s">
        <v>116</v>
      </c>
      <c r="B33" s="76"/>
      <c r="C33" s="76"/>
      <c r="D33" s="76"/>
      <c r="E33" s="304"/>
      <c r="F33" s="383">
        <f>'[4]TRI 5 ans Mono loc'!D15</f>
        <v>2018</v>
      </c>
      <c r="G33" s="383">
        <f>'[4]TRI 5 ans Mono loc'!E15</f>
        <v>2019</v>
      </c>
    </row>
    <row r="34" spans="1:7" ht="16" thickBot="1">
      <c r="A34" s="325"/>
      <c r="B34" s="349"/>
      <c r="C34" s="349"/>
      <c r="D34" s="349"/>
      <c r="E34" s="349"/>
      <c r="F34" s="99">
        <v>0.75</v>
      </c>
      <c r="G34" s="99">
        <f>1-F34</f>
        <v>0.25</v>
      </c>
    </row>
    <row r="35" spans="1:7" ht="16" thickBot="1">
      <c r="A35" s="311" t="s">
        <v>117</v>
      </c>
      <c r="B35" s="312"/>
      <c r="C35" s="312"/>
      <c r="D35" s="312"/>
      <c r="E35" s="100">
        <f>SUM(E30:E34)</f>
        <v>513813.30000000005</v>
      </c>
      <c r="F35" s="384">
        <f>$E$35*F34</f>
        <v>385359.97500000003</v>
      </c>
      <c r="G35" s="384">
        <f>$E$35*G34</f>
        <v>128453.32500000001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2:LL375"/>
  <sheetViews>
    <sheetView tabSelected="1" zoomScale="50" zoomScaleNormal="110" workbookViewId="0">
      <selection activeCell="O11" sqref="O11"/>
    </sheetView>
  </sheetViews>
  <sheetFormatPr baseColWidth="10" defaultRowHeight="14" outlineLevelRow="1"/>
  <cols>
    <col min="1" max="1" width="12" style="1" customWidth="1"/>
    <col min="2" max="2" width="9.1640625" style="1" bestFit="1" customWidth="1"/>
    <col min="3" max="3" width="22.5" style="1" customWidth="1"/>
    <col min="4" max="4" width="13.83203125" style="1" customWidth="1"/>
    <col min="5" max="5" width="11" style="1" customWidth="1"/>
    <col min="6" max="6" width="12.83203125" style="1" customWidth="1"/>
    <col min="7" max="8" width="11.33203125" style="1" customWidth="1"/>
    <col min="9" max="9" width="11.5" style="1" customWidth="1"/>
    <col min="10" max="10" width="11.83203125" style="1" customWidth="1"/>
    <col min="11" max="11" width="13.6640625" style="1" customWidth="1"/>
    <col min="12" max="12" width="12" style="1" customWidth="1"/>
    <col min="13" max="13" width="11.6640625" style="1" customWidth="1"/>
    <col min="14" max="14" width="11.5" style="1" customWidth="1"/>
    <col min="15" max="15" width="12.6640625" style="1" bestFit="1" customWidth="1"/>
    <col min="16" max="16" width="11.6640625" style="1" customWidth="1"/>
    <col min="17" max="17" width="12.5" style="1" customWidth="1"/>
    <col min="18" max="18" width="11.33203125" style="1" customWidth="1"/>
    <col min="19" max="19" width="10.6640625" style="1" customWidth="1"/>
    <col min="20" max="20" width="10.83203125" style="1" customWidth="1"/>
    <col min="21" max="21" width="12.5" style="1" customWidth="1"/>
    <col min="22" max="24" width="14.33203125" style="1" bestFit="1" customWidth="1"/>
    <col min="25" max="30" width="12.5" style="1" bestFit="1" customWidth="1"/>
    <col min="31" max="31" width="14.1640625" style="1" bestFit="1" customWidth="1"/>
    <col min="32" max="257" width="11.5" style="1"/>
    <col min="258" max="258" width="10.6640625" style="1" customWidth="1"/>
    <col min="259" max="259" width="48" style="1" bestFit="1" customWidth="1"/>
    <col min="260" max="260" width="14.5" style="1" bestFit="1" customWidth="1"/>
    <col min="261" max="261" width="13.1640625" style="1" customWidth="1"/>
    <col min="262" max="262" width="13.33203125" style="1" bestFit="1" customWidth="1"/>
    <col min="263" max="263" width="31.5" style="1" bestFit="1" customWidth="1"/>
    <col min="264" max="264" width="13.33203125" style="1" bestFit="1" customWidth="1"/>
    <col min="265" max="265" width="14.5" style="1" bestFit="1" customWidth="1"/>
    <col min="266" max="266" width="14.5" style="1" customWidth="1"/>
    <col min="267" max="267" width="14.5" style="1" bestFit="1" customWidth="1"/>
    <col min="268" max="268" width="10.5" style="1" bestFit="1" customWidth="1"/>
    <col min="269" max="269" width="1.83203125" style="1" customWidth="1"/>
    <col min="270" max="270" width="40.83203125" style="1" bestFit="1" customWidth="1"/>
    <col min="271" max="271" width="13.1640625" style="1" customWidth="1"/>
    <col min="272" max="272" width="12.83203125" style="1" customWidth="1"/>
    <col min="273" max="273" width="15.33203125" style="1" customWidth="1"/>
    <col min="274" max="275" width="13.1640625" style="1" customWidth="1"/>
    <col min="276" max="276" width="17.33203125" style="1" customWidth="1"/>
    <col min="277" max="513" width="11.5" style="1"/>
    <col min="514" max="514" width="10.6640625" style="1" customWidth="1"/>
    <col min="515" max="515" width="48" style="1" bestFit="1" customWidth="1"/>
    <col min="516" max="516" width="14.5" style="1" bestFit="1" customWidth="1"/>
    <col min="517" max="517" width="13.1640625" style="1" customWidth="1"/>
    <col min="518" max="518" width="13.33203125" style="1" bestFit="1" customWidth="1"/>
    <col min="519" max="519" width="31.5" style="1" bestFit="1" customWidth="1"/>
    <col min="520" max="520" width="13.33203125" style="1" bestFit="1" customWidth="1"/>
    <col min="521" max="521" width="14.5" style="1" bestFit="1" customWidth="1"/>
    <col min="522" max="522" width="14.5" style="1" customWidth="1"/>
    <col min="523" max="523" width="14.5" style="1" bestFit="1" customWidth="1"/>
    <col min="524" max="524" width="10.5" style="1" bestFit="1" customWidth="1"/>
    <col min="525" max="525" width="1.83203125" style="1" customWidth="1"/>
    <col min="526" max="526" width="40.83203125" style="1" bestFit="1" customWidth="1"/>
    <col min="527" max="527" width="13.1640625" style="1" customWidth="1"/>
    <col min="528" max="528" width="12.83203125" style="1" customWidth="1"/>
    <col min="529" max="529" width="15.33203125" style="1" customWidth="1"/>
    <col min="530" max="531" width="13.1640625" style="1" customWidth="1"/>
    <col min="532" max="532" width="17.33203125" style="1" customWidth="1"/>
    <col min="533" max="769" width="11.5" style="1"/>
    <col min="770" max="770" width="10.6640625" style="1" customWidth="1"/>
    <col min="771" max="771" width="48" style="1" bestFit="1" customWidth="1"/>
    <col min="772" max="772" width="14.5" style="1" bestFit="1" customWidth="1"/>
    <col min="773" max="773" width="13.1640625" style="1" customWidth="1"/>
    <col min="774" max="774" width="13.33203125" style="1" bestFit="1" customWidth="1"/>
    <col min="775" max="775" width="31.5" style="1" bestFit="1" customWidth="1"/>
    <col min="776" max="776" width="13.33203125" style="1" bestFit="1" customWidth="1"/>
    <col min="777" max="777" width="14.5" style="1" bestFit="1" customWidth="1"/>
    <col min="778" max="778" width="14.5" style="1" customWidth="1"/>
    <col min="779" max="779" width="14.5" style="1" bestFit="1" customWidth="1"/>
    <col min="780" max="780" width="10.5" style="1" bestFit="1" customWidth="1"/>
    <col min="781" max="781" width="1.83203125" style="1" customWidth="1"/>
    <col min="782" max="782" width="40.83203125" style="1" bestFit="1" customWidth="1"/>
    <col min="783" max="783" width="13.1640625" style="1" customWidth="1"/>
    <col min="784" max="784" width="12.83203125" style="1" customWidth="1"/>
    <col min="785" max="785" width="15.33203125" style="1" customWidth="1"/>
    <col min="786" max="787" width="13.1640625" style="1" customWidth="1"/>
    <col min="788" max="788" width="17.33203125" style="1" customWidth="1"/>
    <col min="789" max="1025" width="11.5" style="1"/>
    <col min="1026" max="1026" width="10.6640625" style="1" customWidth="1"/>
    <col min="1027" max="1027" width="48" style="1" bestFit="1" customWidth="1"/>
    <col min="1028" max="1028" width="14.5" style="1" bestFit="1" customWidth="1"/>
    <col min="1029" max="1029" width="13.1640625" style="1" customWidth="1"/>
    <col min="1030" max="1030" width="13.33203125" style="1" bestFit="1" customWidth="1"/>
    <col min="1031" max="1031" width="31.5" style="1" bestFit="1" customWidth="1"/>
    <col min="1032" max="1032" width="13.33203125" style="1" bestFit="1" customWidth="1"/>
    <col min="1033" max="1033" width="14.5" style="1" bestFit="1" customWidth="1"/>
    <col min="1034" max="1034" width="14.5" style="1" customWidth="1"/>
    <col min="1035" max="1035" width="14.5" style="1" bestFit="1" customWidth="1"/>
    <col min="1036" max="1036" width="10.5" style="1" bestFit="1" customWidth="1"/>
    <col min="1037" max="1037" width="1.83203125" style="1" customWidth="1"/>
    <col min="1038" max="1038" width="40.83203125" style="1" bestFit="1" customWidth="1"/>
    <col min="1039" max="1039" width="13.1640625" style="1" customWidth="1"/>
    <col min="1040" max="1040" width="12.83203125" style="1" customWidth="1"/>
    <col min="1041" max="1041" width="15.33203125" style="1" customWidth="1"/>
    <col min="1042" max="1043" width="13.1640625" style="1" customWidth="1"/>
    <col min="1044" max="1044" width="17.33203125" style="1" customWidth="1"/>
    <col min="1045" max="1281" width="11.5" style="1"/>
    <col min="1282" max="1282" width="10.6640625" style="1" customWidth="1"/>
    <col min="1283" max="1283" width="48" style="1" bestFit="1" customWidth="1"/>
    <col min="1284" max="1284" width="14.5" style="1" bestFit="1" customWidth="1"/>
    <col min="1285" max="1285" width="13.1640625" style="1" customWidth="1"/>
    <col min="1286" max="1286" width="13.33203125" style="1" bestFit="1" customWidth="1"/>
    <col min="1287" max="1287" width="31.5" style="1" bestFit="1" customWidth="1"/>
    <col min="1288" max="1288" width="13.33203125" style="1" bestFit="1" customWidth="1"/>
    <col min="1289" max="1289" width="14.5" style="1" bestFit="1" customWidth="1"/>
    <col min="1290" max="1290" width="14.5" style="1" customWidth="1"/>
    <col min="1291" max="1291" width="14.5" style="1" bestFit="1" customWidth="1"/>
    <col min="1292" max="1292" width="10.5" style="1" bestFit="1" customWidth="1"/>
    <col min="1293" max="1293" width="1.83203125" style="1" customWidth="1"/>
    <col min="1294" max="1294" width="40.83203125" style="1" bestFit="1" customWidth="1"/>
    <col min="1295" max="1295" width="13.1640625" style="1" customWidth="1"/>
    <col min="1296" max="1296" width="12.83203125" style="1" customWidth="1"/>
    <col min="1297" max="1297" width="15.33203125" style="1" customWidth="1"/>
    <col min="1298" max="1299" width="13.1640625" style="1" customWidth="1"/>
    <col min="1300" max="1300" width="17.33203125" style="1" customWidth="1"/>
    <col min="1301" max="1537" width="11.5" style="1"/>
    <col min="1538" max="1538" width="10.6640625" style="1" customWidth="1"/>
    <col min="1539" max="1539" width="48" style="1" bestFit="1" customWidth="1"/>
    <col min="1540" max="1540" width="14.5" style="1" bestFit="1" customWidth="1"/>
    <col min="1541" max="1541" width="13.1640625" style="1" customWidth="1"/>
    <col min="1542" max="1542" width="13.33203125" style="1" bestFit="1" customWidth="1"/>
    <col min="1543" max="1543" width="31.5" style="1" bestFit="1" customWidth="1"/>
    <col min="1544" max="1544" width="13.33203125" style="1" bestFit="1" customWidth="1"/>
    <col min="1545" max="1545" width="14.5" style="1" bestFit="1" customWidth="1"/>
    <col min="1546" max="1546" width="14.5" style="1" customWidth="1"/>
    <col min="1547" max="1547" width="14.5" style="1" bestFit="1" customWidth="1"/>
    <col min="1548" max="1548" width="10.5" style="1" bestFit="1" customWidth="1"/>
    <col min="1549" max="1549" width="1.83203125" style="1" customWidth="1"/>
    <col min="1550" max="1550" width="40.83203125" style="1" bestFit="1" customWidth="1"/>
    <col min="1551" max="1551" width="13.1640625" style="1" customWidth="1"/>
    <col min="1552" max="1552" width="12.83203125" style="1" customWidth="1"/>
    <col min="1553" max="1553" width="15.33203125" style="1" customWidth="1"/>
    <col min="1554" max="1555" width="13.1640625" style="1" customWidth="1"/>
    <col min="1556" max="1556" width="17.33203125" style="1" customWidth="1"/>
    <col min="1557" max="1793" width="11.5" style="1"/>
    <col min="1794" max="1794" width="10.6640625" style="1" customWidth="1"/>
    <col min="1795" max="1795" width="48" style="1" bestFit="1" customWidth="1"/>
    <col min="1796" max="1796" width="14.5" style="1" bestFit="1" customWidth="1"/>
    <col min="1797" max="1797" width="13.1640625" style="1" customWidth="1"/>
    <col min="1798" max="1798" width="13.33203125" style="1" bestFit="1" customWidth="1"/>
    <col min="1799" max="1799" width="31.5" style="1" bestFit="1" customWidth="1"/>
    <col min="1800" max="1800" width="13.33203125" style="1" bestFit="1" customWidth="1"/>
    <col min="1801" max="1801" width="14.5" style="1" bestFit="1" customWidth="1"/>
    <col min="1802" max="1802" width="14.5" style="1" customWidth="1"/>
    <col min="1803" max="1803" width="14.5" style="1" bestFit="1" customWidth="1"/>
    <col min="1804" max="1804" width="10.5" style="1" bestFit="1" customWidth="1"/>
    <col min="1805" max="1805" width="1.83203125" style="1" customWidth="1"/>
    <col min="1806" max="1806" width="40.83203125" style="1" bestFit="1" customWidth="1"/>
    <col min="1807" max="1807" width="13.1640625" style="1" customWidth="1"/>
    <col min="1808" max="1808" width="12.83203125" style="1" customWidth="1"/>
    <col min="1809" max="1809" width="15.33203125" style="1" customWidth="1"/>
    <col min="1810" max="1811" width="13.1640625" style="1" customWidth="1"/>
    <col min="1812" max="1812" width="17.33203125" style="1" customWidth="1"/>
    <col min="1813" max="2049" width="11.5" style="1"/>
    <col min="2050" max="2050" width="10.6640625" style="1" customWidth="1"/>
    <col min="2051" max="2051" width="48" style="1" bestFit="1" customWidth="1"/>
    <col min="2052" max="2052" width="14.5" style="1" bestFit="1" customWidth="1"/>
    <col min="2053" max="2053" width="13.1640625" style="1" customWidth="1"/>
    <col min="2054" max="2054" width="13.33203125" style="1" bestFit="1" customWidth="1"/>
    <col min="2055" max="2055" width="31.5" style="1" bestFit="1" customWidth="1"/>
    <col min="2056" max="2056" width="13.33203125" style="1" bestFit="1" customWidth="1"/>
    <col min="2057" max="2057" width="14.5" style="1" bestFit="1" customWidth="1"/>
    <col min="2058" max="2058" width="14.5" style="1" customWidth="1"/>
    <col min="2059" max="2059" width="14.5" style="1" bestFit="1" customWidth="1"/>
    <col min="2060" max="2060" width="10.5" style="1" bestFit="1" customWidth="1"/>
    <col min="2061" max="2061" width="1.83203125" style="1" customWidth="1"/>
    <col min="2062" max="2062" width="40.83203125" style="1" bestFit="1" customWidth="1"/>
    <col min="2063" max="2063" width="13.1640625" style="1" customWidth="1"/>
    <col min="2064" max="2064" width="12.83203125" style="1" customWidth="1"/>
    <col min="2065" max="2065" width="15.33203125" style="1" customWidth="1"/>
    <col min="2066" max="2067" width="13.1640625" style="1" customWidth="1"/>
    <col min="2068" max="2068" width="17.33203125" style="1" customWidth="1"/>
    <col min="2069" max="2305" width="11.5" style="1"/>
    <col min="2306" max="2306" width="10.6640625" style="1" customWidth="1"/>
    <col min="2307" max="2307" width="48" style="1" bestFit="1" customWidth="1"/>
    <col min="2308" max="2308" width="14.5" style="1" bestFit="1" customWidth="1"/>
    <col min="2309" max="2309" width="13.1640625" style="1" customWidth="1"/>
    <col min="2310" max="2310" width="13.33203125" style="1" bestFit="1" customWidth="1"/>
    <col min="2311" max="2311" width="31.5" style="1" bestFit="1" customWidth="1"/>
    <col min="2312" max="2312" width="13.33203125" style="1" bestFit="1" customWidth="1"/>
    <col min="2313" max="2313" width="14.5" style="1" bestFit="1" customWidth="1"/>
    <col min="2314" max="2314" width="14.5" style="1" customWidth="1"/>
    <col min="2315" max="2315" width="14.5" style="1" bestFit="1" customWidth="1"/>
    <col min="2316" max="2316" width="10.5" style="1" bestFit="1" customWidth="1"/>
    <col min="2317" max="2317" width="1.83203125" style="1" customWidth="1"/>
    <col min="2318" max="2318" width="40.83203125" style="1" bestFit="1" customWidth="1"/>
    <col min="2319" max="2319" width="13.1640625" style="1" customWidth="1"/>
    <col min="2320" max="2320" width="12.83203125" style="1" customWidth="1"/>
    <col min="2321" max="2321" width="15.33203125" style="1" customWidth="1"/>
    <col min="2322" max="2323" width="13.1640625" style="1" customWidth="1"/>
    <col min="2324" max="2324" width="17.33203125" style="1" customWidth="1"/>
    <col min="2325" max="2561" width="11.5" style="1"/>
    <col min="2562" max="2562" width="10.6640625" style="1" customWidth="1"/>
    <col min="2563" max="2563" width="48" style="1" bestFit="1" customWidth="1"/>
    <col min="2564" max="2564" width="14.5" style="1" bestFit="1" customWidth="1"/>
    <col min="2565" max="2565" width="13.1640625" style="1" customWidth="1"/>
    <col min="2566" max="2566" width="13.33203125" style="1" bestFit="1" customWidth="1"/>
    <col min="2567" max="2567" width="31.5" style="1" bestFit="1" customWidth="1"/>
    <col min="2568" max="2568" width="13.33203125" style="1" bestFit="1" customWidth="1"/>
    <col min="2569" max="2569" width="14.5" style="1" bestFit="1" customWidth="1"/>
    <col min="2570" max="2570" width="14.5" style="1" customWidth="1"/>
    <col min="2571" max="2571" width="14.5" style="1" bestFit="1" customWidth="1"/>
    <col min="2572" max="2572" width="10.5" style="1" bestFit="1" customWidth="1"/>
    <col min="2573" max="2573" width="1.83203125" style="1" customWidth="1"/>
    <col min="2574" max="2574" width="40.83203125" style="1" bestFit="1" customWidth="1"/>
    <col min="2575" max="2575" width="13.1640625" style="1" customWidth="1"/>
    <col min="2576" max="2576" width="12.83203125" style="1" customWidth="1"/>
    <col min="2577" max="2577" width="15.33203125" style="1" customWidth="1"/>
    <col min="2578" max="2579" width="13.1640625" style="1" customWidth="1"/>
    <col min="2580" max="2580" width="17.33203125" style="1" customWidth="1"/>
    <col min="2581" max="2817" width="11.5" style="1"/>
    <col min="2818" max="2818" width="10.6640625" style="1" customWidth="1"/>
    <col min="2819" max="2819" width="48" style="1" bestFit="1" customWidth="1"/>
    <col min="2820" max="2820" width="14.5" style="1" bestFit="1" customWidth="1"/>
    <col min="2821" max="2821" width="13.1640625" style="1" customWidth="1"/>
    <col min="2822" max="2822" width="13.33203125" style="1" bestFit="1" customWidth="1"/>
    <col min="2823" max="2823" width="31.5" style="1" bestFit="1" customWidth="1"/>
    <col min="2824" max="2824" width="13.33203125" style="1" bestFit="1" customWidth="1"/>
    <col min="2825" max="2825" width="14.5" style="1" bestFit="1" customWidth="1"/>
    <col min="2826" max="2826" width="14.5" style="1" customWidth="1"/>
    <col min="2827" max="2827" width="14.5" style="1" bestFit="1" customWidth="1"/>
    <col min="2828" max="2828" width="10.5" style="1" bestFit="1" customWidth="1"/>
    <col min="2829" max="2829" width="1.83203125" style="1" customWidth="1"/>
    <col min="2830" max="2830" width="40.83203125" style="1" bestFit="1" customWidth="1"/>
    <col min="2831" max="2831" width="13.1640625" style="1" customWidth="1"/>
    <col min="2832" max="2832" width="12.83203125" style="1" customWidth="1"/>
    <col min="2833" max="2833" width="15.33203125" style="1" customWidth="1"/>
    <col min="2834" max="2835" width="13.1640625" style="1" customWidth="1"/>
    <col min="2836" max="2836" width="17.33203125" style="1" customWidth="1"/>
    <col min="2837" max="3073" width="11.5" style="1"/>
    <col min="3074" max="3074" width="10.6640625" style="1" customWidth="1"/>
    <col min="3075" max="3075" width="48" style="1" bestFit="1" customWidth="1"/>
    <col min="3076" max="3076" width="14.5" style="1" bestFit="1" customWidth="1"/>
    <col min="3077" max="3077" width="13.1640625" style="1" customWidth="1"/>
    <col min="3078" max="3078" width="13.33203125" style="1" bestFit="1" customWidth="1"/>
    <col min="3079" max="3079" width="31.5" style="1" bestFit="1" customWidth="1"/>
    <col min="3080" max="3080" width="13.33203125" style="1" bestFit="1" customWidth="1"/>
    <col min="3081" max="3081" width="14.5" style="1" bestFit="1" customWidth="1"/>
    <col min="3082" max="3082" width="14.5" style="1" customWidth="1"/>
    <col min="3083" max="3083" width="14.5" style="1" bestFit="1" customWidth="1"/>
    <col min="3084" max="3084" width="10.5" style="1" bestFit="1" customWidth="1"/>
    <col min="3085" max="3085" width="1.83203125" style="1" customWidth="1"/>
    <col min="3086" max="3086" width="40.83203125" style="1" bestFit="1" customWidth="1"/>
    <col min="3087" max="3087" width="13.1640625" style="1" customWidth="1"/>
    <col min="3088" max="3088" width="12.83203125" style="1" customWidth="1"/>
    <col min="3089" max="3089" width="15.33203125" style="1" customWidth="1"/>
    <col min="3090" max="3091" width="13.1640625" style="1" customWidth="1"/>
    <col min="3092" max="3092" width="17.33203125" style="1" customWidth="1"/>
    <col min="3093" max="3329" width="11.5" style="1"/>
    <col min="3330" max="3330" width="10.6640625" style="1" customWidth="1"/>
    <col min="3331" max="3331" width="48" style="1" bestFit="1" customWidth="1"/>
    <col min="3332" max="3332" width="14.5" style="1" bestFit="1" customWidth="1"/>
    <col min="3333" max="3333" width="13.1640625" style="1" customWidth="1"/>
    <col min="3334" max="3334" width="13.33203125" style="1" bestFit="1" customWidth="1"/>
    <col min="3335" max="3335" width="31.5" style="1" bestFit="1" customWidth="1"/>
    <col min="3336" max="3336" width="13.33203125" style="1" bestFit="1" customWidth="1"/>
    <col min="3337" max="3337" width="14.5" style="1" bestFit="1" customWidth="1"/>
    <col min="3338" max="3338" width="14.5" style="1" customWidth="1"/>
    <col min="3339" max="3339" width="14.5" style="1" bestFit="1" customWidth="1"/>
    <col min="3340" max="3340" width="10.5" style="1" bestFit="1" customWidth="1"/>
    <col min="3341" max="3341" width="1.83203125" style="1" customWidth="1"/>
    <col min="3342" max="3342" width="40.83203125" style="1" bestFit="1" customWidth="1"/>
    <col min="3343" max="3343" width="13.1640625" style="1" customWidth="1"/>
    <col min="3344" max="3344" width="12.83203125" style="1" customWidth="1"/>
    <col min="3345" max="3345" width="15.33203125" style="1" customWidth="1"/>
    <col min="3346" max="3347" width="13.1640625" style="1" customWidth="1"/>
    <col min="3348" max="3348" width="17.33203125" style="1" customWidth="1"/>
    <col min="3349" max="3585" width="11.5" style="1"/>
    <col min="3586" max="3586" width="10.6640625" style="1" customWidth="1"/>
    <col min="3587" max="3587" width="48" style="1" bestFit="1" customWidth="1"/>
    <col min="3588" max="3588" width="14.5" style="1" bestFit="1" customWidth="1"/>
    <col min="3589" max="3589" width="13.1640625" style="1" customWidth="1"/>
    <col min="3590" max="3590" width="13.33203125" style="1" bestFit="1" customWidth="1"/>
    <col min="3591" max="3591" width="31.5" style="1" bestFit="1" customWidth="1"/>
    <col min="3592" max="3592" width="13.33203125" style="1" bestFit="1" customWidth="1"/>
    <col min="3593" max="3593" width="14.5" style="1" bestFit="1" customWidth="1"/>
    <col min="3594" max="3594" width="14.5" style="1" customWidth="1"/>
    <col min="3595" max="3595" width="14.5" style="1" bestFit="1" customWidth="1"/>
    <col min="3596" max="3596" width="10.5" style="1" bestFit="1" customWidth="1"/>
    <col min="3597" max="3597" width="1.83203125" style="1" customWidth="1"/>
    <col min="3598" max="3598" width="40.83203125" style="1" bestFit="1" customWidth="1"/>
    <col min="3599" max="3599" width="13.1640625" style="1" customWidth="1"/>
    <col min="3600" max="3600" width="12.83203125" style="1" customWidth="1"/>
    <col min="3601" max="3601" width="15.33203125" style="1" customWidth="1"/>
    <col min="3602" max="3603" width="13.1640625" style="1" customWidth="1"/>
    <col min="3604" max="3604" width="17.33203125" style="1" customWidth="1"/>
    <col min="3605" max="3841" width="11.5" style="1"/>
    <col min="3842" max="3842" width="10.6640625" style="1" customWidth="1"/>
    <col min="3843" max="3843" width="48" style="1" bestFit="1" customWidth="1"/>
    <col min="3844" max="3844" width="14.5" style="1" bestFit="1" customWidth="1"/>
    <col min="3845" max="3845" width="13.1640625" style="1" customWidth="1"/>
    <col min="3846" max="3846" width="13.33203125" style="1" bestFit="1" customWidth="1"/>
    <col min="3847" max="3847" width="31.5" style="1" bestFit="1" customWidth="1"/>
    <col min="3848" max="3848" width="13.33203125" style="1" bestFit="1" customWidth="1"/>
    <col min="3849" max="3849" width="14.5" style="1" bestFit="1" customWidth="1"/>
    <col min="3850" max="3850" width="14.5" style="1" customWidth="1"/>
    <col min="3851" max="3851" width="14.5" style="1" bestFit="1" customWidth="1"/>
    <col min="3852" max="3852" width="10.5" style="1" bestFit="1" customWidth="1"/>
    <col min="3853" max="3853" width="1.83203125" style="1" customWidth="1"/>
    <col min="3854" max="3854" width="40.83203125" style="1" bestFit="1" customWidth="1"/>
    <col min="3855" max="3855" width="13.1640625" style="1" customWidth="1"/>
    <col min="3856" max="3856" width="12.83203125" style="1" customWidth="1"/>
    <col min="3857" max="3857" width="15.33203125" style="1" customWidth="1"/>
    <col min="3858" max="3859" width="13.1640625" style="1" customWidth="1"/>
    <col min="3860" max="3860" width="17.33203125" style="1" customWidth="1"/>
    <col min="3861" max="4097" width="11.5" style="1"/>
    <col min="4098" max="4098" width="10.6640625" style="1" customWidth="1"/>
    <col min="4099" max="4099" width="48" style="1" bestFit="1" customWidth="1"/>
    <col min="4100" max="4100" width="14.5" style="1" bestFit="1" customWidth="1"/>
    <col min="4101" max="4101" width="13.1640625" style="1" customWidth="1"/>
    <col min="4102" max="4102" width="13.33203125" style="1" bestFit="1" customWidth="1"/>
    <col min="4103" max="4103" width="31.5" style="1" bestFit="1" customWidth="1"/>
    <col min="4104" max="4104" width="13.33203125" style="1" bestFit="1" customWidth="1"/>
    <col min="4105" max="4105" width="14.5" style="1" bestFit="1" customWidth="1"/>
    <col min="4106" max="4106" width="14.5" style="1" customWidth="1"/>
    <col min="4107" max="4107" width="14.5" style="1" bestFit="1" customWidth="1"/>
    <col min="4108" max="4108" width="10.5" style="1" bestFit="1" customWidth="1"/>
    <col min="4109" max="4109" width="1.83203125" style="1" customWidth="1"/>
    <col min="4110" max="4110" width="40.83203125" style="1" bestFit="1" customWidth="1"/>
    <col min="4111" max="4111" width="13.1640625" style="1" customWidth="1"/>
    <col min="4112" max="4112" width="12.83203125" style="1" customWidth="1"/>
    <col min="4113" max="4113" width="15.33203125" style="1" customWidth="1"/>
    <col min="4114" max="4115" width="13.1640625" style="1" customWidth="1"/>
    <col min="4116" max="4116" width="17.33203125" style="1" customWidth="1"/>
    <col min="4117" max="4353" width="11.5" style="1"/>
    <col min="4354" max="4354" width="10.6640625" style="1" customWidth="1"/>
    <col min="4355" max="4355" width="48" style="1" bestFit="1" customWidth="1"/>
    <col min="4356" max="4356" width="14.5" style="1" bestFit="1" customWidth="1"/>
    <col min="4357" max="4357" width="13.1640625" style="1" customWidth="1"/>
    <col min="4358" max="4358" width="13.33203125" style="1" bestFit="1" customWidth="1"/>
    <col min="4359" max="4359" width="31.5" style="1" bestFit="1" customWidth="1"/>
    <col min="4360" max="4360" width="13.33203125" style="1" bestFit="1" customWidth="1"/>
    <col min="4361" max="4361" width="14.5" style="1" bestFit="1" customWidth="1"/>
    <col min="4362" max="4362" width="14.5" style="1" customWidth="1"/>
    <col min="4363" max="4363" width="14.5" style="1" bestFit="1" customWidth="1"/>
    <col min="4364" max="4364" width="10.5" style="1" bestFit="1" customWidth="1"/>
    <col min="4365" max="4365" width="1.83203125" style="1" customWidth="1"/>
    <col min="4366" max="4366" width="40.83203125" style="1" bestFit="1" customWidth="1"/>
    <col min="4367" max="4367" width="13.1640625" style="1" customWidth="1"/>
    <col min="4368" max="4368" width="12.83203125" style="1" customWidth="1"/>
    <col min="4369" max="4369" width="15.33203125" style="1" customWidth="1"/>
    <col min="4370" max="4371" width="13.1640625" style="1" customWidth="1"/>
    <col min="4372" max="4372" width="17.33203125" style="1" customWidth="1"/>
    <col min="4373" max="4609" width="11.5" style="1"/>
    <col min="4610" max="4610" width="10.6640625" style="1" customWidth="1"/>
    <col min="4611" max="4611" width="48" style="1" bestFit="1" customWidth="1"/>
    <col min="4612" max="4612" width="14.5" style="1" bestFit="1" customWidth="1"/>
    <col min="4613" max="4613" width="13.1640625" style="1" customWidth="1"/>
    <col min="4614" max="4614" width="13.33203125" style="1" bestFit="1" customWidth="1"/>
    <col min="4615" max="4615" width="31.5" style="1" bestFit="1" customWidth="1"/>
    <col min="4616" max="4616" width="13.33203125" style="1" bestFit="1" customWidth="1"/>
    <col min="4617" max="4617" width="14.5" style="1" bestFit="1" customWidth="1"/>
    <col min="4618" max="4618" width="14.5" style="1" customWidth="1"/>
    <col min="4619" max="4619" width="14.5" style="1" bestFit="1" customWidth="1"/>
    <col min="4620" max="4620" width="10.5" style="1" bestFit="1" customWidth="1"/>
    <col min="4621" max="4621" width="1.83203125" style="1" customWidth="1"/>
    <col min="4622" max="4622" width="40.83203125" style="1" bestFit="1" customWidth="1"/>
    <col min="4623" max="4623" width="13.1640625" style="1" customWidth="1"/>
    <col min="4624" max="4624" width="12.83203125" style="1" customWidth="1"/>
    <col min="4625" max="4625" width="15.33203125" style="1" customWidth="1"/>
    <col min="4626" max="4627" width="13.1640625" style="1" customWidth="1"/>
    <col min="4628" max="4628" width="17.33203125" style="1" customWidth="1"/>
    <col min="4629" max="4865" width="11.5" style="1"/>
    <col min="4866" max="4866" width="10.6640625" style="1" customWidth="1"/>
    <col min="4867" max="4867" width="48" style="1" bestFit="1" customWidth="1"/>
    <col min="4868" max="4868" width="14.5" style="1" bestFit="1" customWidth="1"/>
    <col min="4869" max="4869" width="13.1640625" style="1" customWidth="1"/>
    <col min="4870" max="4870" width="13.33203125" style="1" bestFit="1" customWidth="1"/>
    <col min="4871" max="4871" width="31.5" style="1" bestFit="1" customWidth="1"/>
    <col min="4872" max="4872" width="13.33203125" style="1" bestFit="1" customWidth="1"/>
    <col min="4873" max="4873" width="14.5" style="1" bestFit="1" customWidth="1"/>
    <col min="4874" max="4874" width="14.5" style="1" customWidth="1"/>
    <col min="4875" max="4875" width="14.5" style="1" bestFit="1" customWidth="1"/>
    <col min="4876" max="4876" width="10.5" style="1" bestFit="1" customWidth="1"/>
    <col min="4877" max="4877" width="1.83203125" style="1" customWidth="1"/>
    <col min="4878" max="4878" width="40.83203125" style="1" bestFit="1" customWidth="1"/>
    <col min="4879" max="4879" width="13.1640625" style="1" customWidth="1"/>
    <col min="4880" max="4880" width="12.83203125" style="1" customWidth="1"/>
    <col min="4881" max="4881" width="15.33203125" style="1" customWidth="1"/>
    <col min="4882" max="4883" width="13.1640625" style="1" customWidth="1"/>
    <col min="4884" max="4884" width="17.33203125" style="1" customWidth="1"/>
    <col min="4885" max="5121" width="11.5" style="1"/>
    <col min="5122" max="5122" width="10.6640625" style="1" customWidth="1"/>
    <col min="5123" max="5123" width="48" style="1" bestFit="1" customWidth="1"/>
    <col min="5124" max="5124" width="14.5" style="1" bestFit="1" customWidth="1"/>
    <col min="5125" max="5125" width="13.1640625" style="1" customWidth="1"/>
    <col min="5126" max="5126" width="13.33203125" style="1" bestFit="1" customWidth="1"/>
    <col min="5127" max="5127" width="31.5" style="1" bestFit="1" customWidth="1"/>
    <col min="5128" max="5128" width="13.33203125" style="1" bestFit="1" customWidth="1"/>
    <col min="5129" max="5129" width="14.5" style="1" bestFit="1" customWidth="1"/>
    <col min="5130" max="5130" width="14.5" style="1" customWidth="1"/>
    <col min="5131" max="5131" width="14.5" style="1" bestFit="1" customWidth="1"/>
    <col min="5132" max="5132" width="10.5" style="1" bestFit="1" customWidth="1"/>
    <col min="5133" max="5133" width="1.83203125" style="1" customWidth="1"/>
    <col min="5134" max="5134" width="40.83203125" style="1" bestFit="1" customWidth="1"/>
    <col min="5135" max="5135" width="13.1640625" style="1" customWidth="1"/>
    <col min="5136" max="5136" width="12.83203125" style="1" customWidth="1"/>
    <col min="5137" max="5137" width="15.33203125" style="1" customWidth="1"/>
    <col min="5138" max="5139" width="13.1640625" style="1" customWidth="1"/>
    <col min="5140" max="5140" width="17.33203125" style="1" customWidth="1"/>
    <col min="5141" max="5377" width="11.5" style="1"/>
    <col min="5378" max="5378" width="10.6640625" style="1" customWidth="1"/>
    <col min="5379" max="5379" width="48" style="1" bestFit="1" customWidth="1"/>
    <col min="5380" max="5380" width="14.5" style="1" bestFit="1" customWidth="1"/>
    <col min="5381" max="5381" width="13.1640625" style="1" customWidth="1"/>
    <col min="5382" max="5382" width="13.33203125" style="1" bestFit="1" customWidth="1"/>
    <col min="5383" max="5383" width="31.5" style="1" bestFit="1" customWidth="1"/>
    <col min="5384" max="5384" width="13.33203125" style="1" bestFit="1" customWidth="1"/>
    <col min="5385" max="5385" width="14.5" style="1" bestFit="1" customWidth="1"/>
    <col min="5386" max="5386" width="14.5" style="1" customWidth="1"/>
    <col min="5387" max="5387" width="14.5" style="1" bestFit="1" customWidth="1"/>
    <col min="5388" max="5388" width="10.5" style="1" bestFit="1" customWidth="1"/>
    <col min="5389" max="5389" width="1.83203125" style="1" customWidth="1"/>
    <col min="5390" max="5390" width="40.83203125" style="1" bestFit="1" customWidth="1"/>
    <col min="5391" max="5391" width="13.1640625" style="1" customWidth="1"/>
    <col min="5392" max="5392" width="12.83203125" style="1" customWidth="1"/>
    <col min="5393" max="5393" width="15.33203125" style="1" customWidth="1"/>
    <col min="5394" max="5395" width="13.1640625" style="1" customWidth="1"/>
    <col min="5396" max="5396" width="17.33203125" style="1" customWidth="1"/>
    <col min="5397" max="5633" width="11.5" style="1"/>
    <col min="5634" max="5634" width="10.6640625" style="1" customWidth="1"/>
    <col min="5635" max="5635" width="48" style="1" bestFit="1" customWidth="1"/>
    <col min="5636" max="5636" width="14.5" style="1" bestFit="1" customWidth="1"/>
    <col min="5637" max="5637" width="13.1640625" style="1" customWidth="1"/>
    <col min="5638" max="5638" width="13.33203125" style="1" bestFit="1" customWidth="1"/>
    <col min="5639" max="5639" width="31.5" style="1" bestFit="1" customWidth="1"/>
    <col min="5640" max="5640" width="13.33203125" style="1" bestFit="1" customWidth="1"/>
    <col min="5641" max="5641" width="14.5" style="1" bestFit="1" customWidth="1"/>
    <col min="5642" max="5642" width="14.5" style="1" customWidth="1"/>
    <col min="5643" max="5643" width="14.5" style="1" bestFit="1" customWidth="1"/>
    <col min="5644" max="5644" width="10.5" style="1" bestFit="1" customWidth="1"/>
    <col min="5645" max="5645" width="1.83203125" style="1" customWidth="1"/>
    <col min="5646" max="5646" width="40.83203125" style="1" bestFit="1" customWidth="1"/>
    <col min="5647" max="5647" width="13.1640625" style="1" customWidth="1"/>
    <col min="5648" max="5648" width="12.83203125" style="1" customWidth="1"/>
    <col min="5649" max="5649" width="15.33203125" style="1" customWidth="1"/>
    <col min="5650" max="5651" width="13.1640625" style="1" customWidth="1"/>
    <col min="5652" max="5652" width="17.33203125" style="1" customWidth="1"/>
    <col min="5653" max="5889" width="11.5" style="1"/>
    <col min="5890" max="5890" width="10.6640625" style="1" customWidth="1"/>
    <col min="5891" max="5891" width="48" style="1" bestFit="1" customWidth="1"/>
    <col min="5892" max="5892" width="14.5" style="1" bestFit="1" customWidth="1"/>
    <col min="5893" max="5893" width="13.1640625" style="1" customWidth="1"/>
    <col min="5894" max="5894" width="13.33203125" style="1" bestFit="1" customWidth="1"/>
    <col min="5895" max="5895" width="31.5" style="1" bestFit="1" customWidth="1"/>
    <col min="5896" max="5896" width="13.33203125" style="1" bestFit="1" customWidth="1"/>
    <col min="5897" max="5897" width="14.5" style="1" bestFit="1" customWidth="1"/>
    <col min="5898" max="5898" width="14.5" style="1" customWidth="1"/>
    <col min="5899" max="5899" width="14.5" style="1" bestFit="1" customWidth="1"/>
    <col min="5900" max="5900" width="10.5" style="1" bestFit="1" customWidth="1"/>
    <col min="5901" max="5901" width="1.83203125" style="1" customWidth="1"/>
    <col min="5902" max="5902" width="40.83203125" style="1" bestFit="1" customWidth="1"/>
    <col min="5903" max="5903" width="13.1640625" style="1" customWidth="1"/>
    <col min="5904" max="5904" width="12.83203125" style="1" customWidth="1"/>
    <col min="5905" max="5905" width="15.33203125" style="1" customWidth="1"/>
    <col min="5906" max="5907" width="13.1640625" style="1" customWidth="1"/>
    <col min="5908" max="5908" width="17.33203125" style="1" customWidth="1"/>
    <col min="5909" max="6145" width="11.5" style="1"/>
    <col min="6146" max="6146" width="10.6640625" style="1" customWidth="1"/>
    <col min="6147" max="6147" width="48" style="1" bestFit="1" customWidth="1"/>
    <col min="6148" max="6148" width="14.5" style="1" bestFit="1" customWidth="1"/>
    <col min="6149" max="6149" width="13.1640625" style="1" customWidth="1"/>
    <col min="6150" max="6150" width="13.33203125" style="1" bestFit="1" customWidth="1"/>
    <col min="6151" max="6151" width="31.5" style="1" bestFit="1" customWidth="1"/>
    <col min="6152" max="6152" width="13.33203125" style="1" bestFit="1" customWidth="1"/>
    <col min="6153" max="6153" width="14.5" style="1" bestFit="1" customWidth="1"/>
    <col min="6154" max="6154" width="14.5" style="1" customWidth="1"/>
    <col min="6155" max="6155" width="14.5" style="1" bestFit="1" customWidth="1"/>
    <col min="6156" max="6156" width="10.5" style="1" bestFit="1" customWidth="1"/>
    <col min="6157" max="6157" width="1.83203125" style="1" customWidth="1"/>
    <col min="6158" max="6158" width="40.83203125" style="1" bestFit="1" customWidth="1"/>
    <col min="6159" max="6159" width="13.1640625" style="1" customWidth="1"/>
    <col min="6160" max="6160" width="12.83203125" style="1" customWidth="1"/>
    <col min="6161" max="6161" width="15.33203125" style="1" customWidth="1"/>
    <col min="6162" max="6163" width="13.1640625" style="1" customWidth="1"/>
    <col min="6164" max="6164" width="17.33203125" style="1" customWidth="1"/>
    <col min="6165" max="6401" width="11.5" style="1"/>
    <col min="6402" max="6402" width="10.6640625" style="1" customWidth="1"/>
    <col min="6403" max="6403" width="48" style="1" bestFit="1" customWidth="1"/>
    <col min="6404" max="6404" width="14.5" style="1" bestFit="1" customWidth="1"/>
    <col min="6405" max="6405" width="13.1640625" style="1" customWidth="1"/>
    <col min="6406" max="6406" width="13.33203125" style="1" bestFit="1" customWidth="1"/>
    <col min="6407" max="6407" width="31.5" style="1" bestFit="1" customWidth="1"/>
    <col min="6408" max="6408" width="13.33203125" style="1" bestFit="1" customWidth="1"/>
    <col min="6409" max="6409" width="14.5" style="1" bestFit="1" customWidth="1"/>
    <col min="6410" max="6410" width="14.5" style="1" customWidth="1"/>
    <col min="6411" max="6411" width="14.5" style="1" bestFit="1" customWidth="1"/>
    <col min="6412" max="6412" width="10.5" style="1" bestFit="1" customWidth="1"/>
    <col min="6413" max="6413" width="1.83203125" style="1" customWidth="1"/>
    <col min="6414" max="6414" width="40.83203125" style="1" bestFit="1" customWidth="1"/>
    <col min="6415" max="6415" width="13.1640625" style="1" customWidth="1"/>
    <col min="6416" max="6416" width="12.83203125" style="1" customWidth="1"/>
    <col min="6417" max="6417" width="15.33203125" style="1" customWidth="1"/>
    <col min="6418" max="6419" width="13.1640625" style="1" customWidth="1"/>
    <col min="6420" max="6420" width="17.33203125" style="1" customWidth="1"/>
    <col min="6421" max="6657" width="11.5" style="1"/>
    <col min="6658" max="6658" width="10.6640625" style="1" customWidth="1"/>
    <col min="6659" max="6659" width="48" style="1" bestFit="1" customWidth="1"/>
    <col min="6660" max="6660" width="14.5" style="1" bestFit="1" customWidth="1"/>
    <col min="6661" max="6661" width="13.1640625" style="1" customWidth="1"/>
    <col min="6662" max="6662" width="13.33203125" style="1" bestFit="1" customWidth="1"/>
    <col min="6663" max="6663" width="31.5" style="1" bestFit="1" customWidth="1"/>
    <col min="6664" max="6664" width="13.33203125" style="1" bestFit="1" customWidth="1"/>
    <col min="6665" max="6665" width="14.5" style="1" bestFit="1" customWidth="1"/>
    <col min="6666" max="6666" width="14.5" style="1" customWidth="1"/>
    <col min="6667" max="6667" width="14.5" style="1" bestFit="1" customWidth="1"/>
    <col min="6668" max="6668" width="10.5" style="1" bestFit="1" customWidth="1"/>
    <col min="6669" max="6669" width="1.83203125" style="1" customWidth="1"/>
    <col min="6670" max="6670" width="40.83203125" style="1" bestFit="1" customWidth="1"/>
    <col min="6671" max="6671" width="13.1640625" style="1" customWidth="1"/>
    <col min="6672" max="6672" width="12.83203125" style="1" customWidth="1"/>
    <col min="6673" max="6673" width="15.33203125" style="1" customWidth="1"/>
    <col min="6674" max="6675" width="13.1640625" style="1" customWidth="1"/>
    <col min="6676" max="6676" width="17.33203125" style="1" customWidth="1"/>
    <col min="6677" max="6913" width="11.5" style="1"/>
    <col min="6914" max="6914" width="10.6640625" style="1" customWidth="1"/>
    <col min="6915" max="6915" width="48" style="1" bestFit="1" customWidth="1"/>
    <col min="6916" max="6916" width="14.5" style="1" bestFit="1" customWidth="1"/>
    <col min="6917" max="6917" width="13.1640625" style="1" customWidth="1"/>
    <col min="6918" max="6918" width="13.33203125" style="1" bestFit="1" customWidth="1"/>
    <col min="6919" max="6919" width="31.5" style="1" bestFit="1" customWidth="1"/>
    <col min="6920" max="6920" width="13.33203125" style="1" bestFit="1" customWidth="1"/>
    <col min="6921" max="6921" width="14.5" style="1" bestFit="1" customWidth="1"/>
    <col min="6922" max="6922" width="14.5" style="1" customWidth="1"/>
    <col min="6923" max="6923" width="14.5" style="1" bestFit="1" customWidth="1"/>
    <col min="6924" max="6924" width="10.5" style="1" bestFit="1" customWidth="1"/>
    <col min="6925" max="6925" width="1.83203125" style="1" customWidth="1"/>
    <col min="6926" max="6926" width="40.83203125" style="1" bestFit="1" customWidth="1"/>
    <col min="6927" max="6927" width="13.1640625" style="1" customWidth="1"/>
    <col min="6928" max="6928" width="12.83203125" style="1" customWidth="1"/>
    <col min="6929" max="6929" width="15.33203125" style="1" customWidth="1"/>
    <col min="6930" max="6931" width="13.1640625" style="1" customWidth="1"/>
    <col min="6932" max="6932" width="17.33203125" style="1" customWidth="1"/>
    <col min="6933" max="7169" width="11.5" style="1"/>
    <col min="7170" max="7170" width="10.6640625" style="1" customWidth="1"/>
    <col min="7171" max="7171" width="48" style="1" bestFit="1" customWidth="1"/>
    <col min="7172" max="7172" width="14.5" style="1" bestFit="1" customWidth="1"/>
    <col min="7173" max="7173" width="13.1640625" style="1" customWidth="1"/>
    <col min="7174" max="7174" width="13.33203125" style="1" bestFit="1" customWidth="1"/>
    <col min="7175" max="7175" width="31.5" style="1" bestFit="1" customWidth="1"/>
    <col min="7176" max="7176" width="13.33203125" style="1" bestFit="1" customWidth="1"/>
    <col min="7177" max="7177" width="14.5" style="1" bestFit="1" customWidth="1"/>
    <col min="7178" max="7178" width="14.5" style="1" customWidth="1"/>
    <col min="7179" max="7179" width="14.5" style="1" bestFit="1" customWidth="1"/>
    <col min="7180" max="7180" width="10.5" style="1" bestFit="1" customWidth="1"/>
    <col min="7181" max="7181" width="1.83203125" style="1" customWidth="1"/>
    <col min="7182" max="7182" width="40.83203125" style="1" bestFit="1" customWidth="1"/>
    <col min="7183" max="7183" width="13.1640625" style="1" customWidth="1"/>
    <col min="7184" max="7184" width="12.83203125" style="1" customWidth="1"/>
    <col min="7185" max="7185" width="15.33203125" style="1" customWidth="1"/>
    <col min="7186" max="7187" width="13.1640625" style="1" customWidth="1"/>
    <col min="7188" max="7188" width="17.33203125" style="1" customWidth="1"/>
    <col min="7189" max="7425" width="11.5" style="1"/>
    <col min="7426" max="7426" width="10.6640625" style="1" customWidth="1"/>
    <col min="7427" max="7427" width="48" style="1" bestFit="1" customWidth="1"/>
    <col min="7428" max="7428" width="14.5" style="1" bestFit="1" customWidth="1"/>
    <col min="7429" max="7429" width="13.1640625" style="1" customWidth="1"/>
    <col min="7430" max="7430" width="13.33203125" style="1" bestFit="1" customWidth="1"/>
    <col min="7431" max="7431" width="31.5" style="1" bestFit="1" customWidth="1"/>
    <col min="7432" max="7432" width="13.33203125" style="1" bestFit="1" customWidth="1"/>
    <col min="7433" max="7433" width="14.5" style="1" bestFit="1" customWidth="1"/>
    <col min="7434" max="7434" width="14.5" style="1" customWidth="1"/>
    <col min="7435" max="7435" width="14.5" style="1" bestFit="1" customWidth="1"/>
    <col min="7436" max="7436" width="10.5" style="1" bestFit="1" customWidth="1"/>
    <col min="7437" max="7437" width="1.83203125" style="1" customWidth="1"/>
    <col min="7438" max="7438" width="40.83203125" style="1" bestFit="1" customWidth="1"/>
    <col min="7439" max="7439" width="13.1640625" style="1" customWidth="1"/>
    <col min="7440" max="7440" width="12.83203125" style="1" customWidth="1"/>
    <col min="7441" max="7441" width="15.33203125" style="1" customWidth="1"/>
    <col min="7442" max="7443" width="13.1640625" style="1" customWidth="1"/>
    <col min="7444" max="7444" width="17.33203125" style="1" customWidth="1"/>
    <col min="7445" max="7681" width="11.5" style="1"/>
    <col min="7682" max="7682" width="10.6640625" style="1" customWidth="1"/>
    <col min="7683" max="7683" width="48" style="1" bestFit="1" customWidth="1"/>
    <col min="7684" max="7684" width="14.5" style="1" bestFit="1" customWidth="1"/>
    <col min="7685" max="7685" width="13.1640625" style="1" customWidth="1"/>
    <col min="7686" max="7686" width="13.33203125" style="1" bestFit="1" customWidth="1"/>
    <col min="7687" max="7687" width="31.5" style="1" bestFit="1" customWidth="1"/>
    <col min="7688" max="7688" width="13.33203125" style="1" bestFit="1" customWidth="1"/>
    <col min="7689" max="7689" width="14.5" style="1" bestFit="1" customWidth="1"/>
    <col min="7690" max="7690" width="14.5" style="1" customWidth="1"/>
    <col min="7691" max="7691" width="14.5" style="1" bestFit="1" customWidth="1"/>
    <col min="7692" max="7692" width="10.5" style="1" bestFit="1" customWidth="1"/>
    <col min="7693" max="7693" width="1.83203125" style="1" customWidth="1"/>
    <col min="7694" max="7694" width="40.83203125" style="1" bestFit="1" customWidth="1"/>
    <col min="7695" max="7695" width="13.1640625" style="1" customWidth="1"/>
    <col min="7696" max="7696" width="12.83203125" style="1" customWidth="1"/>
    <col min="7697" max="7697" width="15.33203125" style="1" customWidth="1"/>
    <col min="7698" max="7699" width="13.1640625" style="1" customWidth="1"/>
    <col min="7700" max="7700" width="17.33203125" style="1" customWidth="1"/>
    <col min="7701" max="7937" width="11.5" style="1"/>
    <col min="7938" max="7938" width="10.6640625" style="1" customWidth="1"/>
    <col min="7939" max="7939" width="48" style="1" bestFit="1" customWidth="1"/>
    <col min="7940" max="7940" width="14.5" style="1" bestFit="1" customWidth="1"/>
    <col min="7941" max="7941" width="13.1640625" style="1" customWidth="1"/>
    <col min="7942" max="7942" width="13.33203125" style="1" bestFit="1" customWidth="1"/>
    <col min="7943" max="7943" width="31.5" style="1" bestFit="1" customWidth="1"/>
    <col min="7944" max="7944" width="13.33203125" style="1" bestFit="1" customWidth="1"/>
    <col min="7945" max="7945" width="14.5" style="1" bestFit="1" customWidth="1"/>
    <col min="7946" max="7946" width="14.5" style="1" customWidth="1"/>
    <col min="7947" max="7947" width="14.5" style="1" bestFit="1" customWidth="1"/>
    <col min="7948" max="7948" width="10.5" style="1" bestFit="1" customWidth="1"/>
    <col min="7949" max="7949" width="1.83203125" style="1" customWidth="1"/>
    <col min="7950" max="7950" width="40.83203125" style="1" bestFit="1" customWidth="1"/>
    <col min="7951" max="7951" width="13.1640625" style="1" customWidth="1"/>
    <col min="7952" max="7952" width="12.83203125" style="1" customWidth="1"/>
    <col min="7953" max="7953" width="15.33203125" style="1" customWidth="1"/>
    <col min="7954" max="7955" width="13.1640625" style="1" customWidth="1"/>
    <col min="7956" max="7956" width="17.33203125" style="1" customWidth="1"/>
    <col min="7957" max="8193" width="11.5" style="1"/>
    <col min="8194" max="8194" width="10.6640625" style="1" customWidth="1"/>
    <col min="8195" max="8195" width="48" style="1" bestFit="1" customWidth="1"/>
    <col min="8196" max="8196" width="14.5" style="1" bestFit="1" customWidth="1"/>
    <col min="8197" max="8197" width="13.1640625" style="1" customWidth="1"/>
    <col min="8198" max="8198" width="13.33203125" style="1" bestFit="1" customWidth="1"/>
    <col min="8199" max="8199" width="31.5" style="1" bestFit="1" customWidth="1"/>
    <col min="8200" max="8200" width="13.33203125" style="1" bestFit="1" customWidth="1"/>
    <col min="8201" max="8201" width="14.5" style="1" bestFit="1" customWidth="1"/>
    <col min="8202" max="8202" width="14.5" style="1" customWidth="1"/>
    <col min="8203" max="8203" width="14.5" style="1" bestFit="1" customWidth="1"/>
    <col min="8204" max="8204" width="10.5" style="1" bestFit="1" customWidth="1"/>
    <col min="8205" max="8205" width="1.83203125" style="1" customWidth="1"/>
    <col min="8206" max="8206" width="40.83203125" style="1" bestFit="1" customWidth="1"/>
    <col min="8207" max="8207" width="13.1640625" style="1" customWidth="1"/>
    <col min="8208" max="8208" width="12.83203125" style="1" customWidth="1"/>
    <col min="8209" max="8209" width="15.33203125" style="1" customWidth="1"/>
    <col min="8210" max="8211" width="13.1640625" style="1" customWidth="1"/>
    <col min="8212" max="8212" width="17.33203125" style="1" customWidth="1"/>
    <col min="8213" max="8449" width="11.5" style="1"/>
    <col min="8450" max="8450" width="10.6640625" style="1" customWidth="1"/>
    <col min="8451" max="8451" width="48" style="1" bestFit="1" customWidth="1"/>
    <col min="8452" max="8452" width="14.5" style="1" bestFit="1" customWidth="1"/>
    <col min="8453" max="8453" width="13.1640625" style="1" customWidth="1"/>
    <col min="8454" max="8454" width="13.33203125" style="1" bestFit="1" customWidth="1"/>
    <col min="8455" max="8455" width="31.5" style="1" bestFit="1" customWidth="1"/>
    <col min="8456" max="8456" width="13.33203125" style="1" bestFit="1" customWidth="1"/>
    <col min="8457" max="8457" width="14.5" style="1" bestFit="1" customWidth="1"/>
    <col min="8458" max="8458" width="14.5" style="1" customWidth="1"/>
    <col min="8459" max="8459" width="14.5" style="1" bestFit="1" customWidth="1"/>
    <col min="8460" max="8460" width="10.5" style="1" bestFit="1" customWidth="1"/>
    <col min="8461" max="8461" width="1.83203125" style="1" customWidth="1"/>
    <col min="8462" max="8462" width="40.83203125" style="1" bestFit="1" customWidth="1"/>
    <col min="8463" max="8463" width="13.1640625" style="1" customWidth="1"/>
    <col min="8464" max="8464" width="12.83203125" style="1" customWidth="1"/>
    <col min="8465" max="8465" width="15.33203125" style="1" customWidth="1"/>
    <col min="8466" max="8467" width="13.1640625" style="1" customWidth="1"/>
    <col min="8468" max="8468" width="17.33203125" style="1" customWidth="1"/>
    <col min="8469" max="8705" width="11.5" style="1"/>
    <col min="8706" max="8706" width="10.6640625" style="1" customWidth="1"/>
    <col min="8707" max="8707" width="48" style="1" bestFit="1" customWidth="1"/>
    <col min="8708" max="8708" width="14.5" style="1" bestFit="1" customWidth="1"/>
    <col min="8709" max="8709" width="13.1640625" style="1" customWidth="1"/>
    <col min="8710" max="8710" width="13.33203125" style="1" bestFit="1" customWidth="1"/>
    <col min="8711" max="8711" width="31.5" style="1" bestFit="1" customWidth="1"/>
    <col min="8712" max="8712" width="13.33203125" style="1" bestFit="1" customWidth="1"/>
    <col min="8713" max="8713" width="14.5" style="1" bestFit="1" customWidth="1"/>
    <col min="8714" max="8714" width="14.5" style="1" customWidth="1"/>
    <col min="8715" max="8715" width="14.5" style="1" bestFit="1" customWidth="1"/>
    <col min="8716" max="8716" width="10.5" style="1" bestFit="1" customWidth="1"/>
    <col min="8717" max="8717" width="1.83203125" style="1" customWidth="1"/>
    <col min="8718" max="8718" width="40.83203125" style="1" bestFit="1" customWidth="1"/>
    <col min="8719" max="8719" width="13.1640625" style="1" customWidth="1"/>
    <col min="8720" max="8720" width="12.83203125" style="1" customWidth="1"/>
    <col min="8721" max="8721" width="15.33203125" style="1" customWidth="1"/>
    <col min="8722" max="8723" width="13.1640625" style="1" customWidth="1"/>
    <col min="8724" max="8724" width="17.33203125" style="1" customWidth="1"/>
    <col min="8725" max="8961" width="11.5" style="1"/>
    <col min="8962" max="8962" width="10.6640625" style="1" customWidth="1"/>
    <col min="8963" max="8963" width="48" style="1" bestFit="1" customWidth="1"/>
    <col min="8964" max="8964" width="14.5" style="1" bestFit="1" customWidth="1"/>
    <col min="8965" max="8965" width="13.1640625" style="1" customWidth="1"/>
    <col min="8966" max="8966" width="13.33203125" style="1" bestFit="1" customWidth="1"/>
    <col min="8967" max="8967" width="31.5" style="1" bestFit="1" customWidth="1"/>
    <col min="8968" max="8968" width="13.33203125" style="1" bestFit="1" customWidth="1"/>
    <col min="8969" max="8969" width="14.5" style="1" bestFit="1" customWidth="1"/>
    <col min="8970" max="8970" width="14.5" style="1" customWidth="1"/>
    <col min="8971" max="8971" width="14.5" style="1" bestFit="1" customWidth="1"/>
    <col min="8972" max="8972" width="10.5" style="1" bestFit="1" customWidth="1"/>
    <col min="8973" max="8973" width="1.83203125" style="1" customWidth="1"/>
    <col min="8974" max="8974" width="40.83203125" style="1" bestFit="1" customWidth="1"/>
    <col min="8975" max="8975" width="13.1640625" style="1" customWidth="1"/>
    <col min="8976" max="8976" width="12.83203125" style="1" customWidth="1"/>
    <col min="8977" max="8977" width="15.33203125" style="1" customWidth="1"/>
    <col min="8978" max="8979" width="13.1640625" style="1" customWidth="1"/>
    <col min="8980" max="8980" width="17.33203125" style="1" customWidth="1"/>
    <col min="8981" max="9217" width="11.5" style="1"/>
    <col min="9218" max="9218" width="10.6640625" style="1" customWidth="1"/>
    <col min="9219" max="9219" width="48" style="1" bestFit="1" customWidth="1"/>
    <col min="9220" max="9220" width="14.5" style="1" bestFit="1" customWidth="1"/>
    <col min="9221" max="9221" width="13.1640625" style="1" customWidth="1"/>
    <col min="9222" max="9222" width="13.33203125" style="1" bestFit="1" customWidth="1"/>
    <col min="9223" max="9223" width="31.5" style="1" bestFit="1" customWidth="1"/>
    <col min="9224" max="9224" width="13.33203125" style="1" bestFit="1" customWidth="1"/>
    <col min="9225" max="9225" width="14.5" style="1" bestFit="1" customWidth="1"/>
    <col min="9226" max="9226" width="14.5" style="1" customWidth="1"/>
    <col min="9227" max="9227" width="14.5" style="1" bestFit="1" customWidth="1"/>
    <col min="9228" max="9228" width="10.5" style="1" bestFit="1" customWidth="1"/>
    <col min="9229" max="9229" width="1.83203125" style="1" customWidth="1"/>
    <col min="9230" max="9230" width="40.83203125" style="1" bestFit="1" customWidth="1"/>
    <col min="9231" max="9231" width="13.1640625" style="1" customWidth="1"/>
    <col min="9232" max="9232" width="12.83203125" style="1" customWidth="1"/>
    <col min="9233" max="9233" width="15.33203125" style="1" customWidth="1"/>
    <col min="9234" max="9235" width="13.1640625" style="1" customWidth="1"/>
    <col min="9236" max="9236" width="17.33203125" style="1" customWidth="1"/>
    <col min="9237" max="9473" width="11.5" style="1"/>
    <col min="9474" max="9474" width="10.6640625" style="1" customWidth="1"/>
    <col min="9475" max="9475" width="48" style="1" bestFit="1" customWidth="1"/>
    <col min="9476" max="9476" width="14.5" style="1" bestFit="1" customWidth="1"/>
    <col min="9477" max="9477" width="13.1640625" style="1" customWidth="1"/>
    <col min="9478" max="9478" width="13.33203125" style="1" bestFit="1" customWidth="1"/>
    <col min="9479" max="9479" width="31.5" style="1" bestFit="1" customWidth="1"/>
    <col min="9480" max="9480" width="13.33203125" style="1" bestFit="1" customWidth="1"/>
    <col min="9481" max="9481" width="14.5" style="1" bestFit="1" customWidth="1"/>
    <col min="9482" max="9482" width="14.5" style="1" customWidth="1"/>
    <col min="9483" max="9483" width="14.5" style="1" bestFit="1" customWidth="1"/>
    <col min="9484" max="9484" width="10.5" style="1" bestFit="1" customWidth="1"/>
    <col min="9485" max="9485" width="1.83203125" style="1" customWidth="1"/>
    <col min="9486" max="9486" width="40.83203125" style="1" bestFit="1" customWidth="1"/>
    <col min="9487" max="9487" width="13.1640625" style="1" customWidth="1"/>
    <col min="9488" max="9488" width="12.83203125" style="1" customWidth="1"/>
    <col min="9489" max="9489" width="15.33203125" style="1" customWidth="1"/>
    <col min="9490" max="9491" width="13.1640625" style="1" customWidth="1"/>
    <col min="9492" max="9492" width="17.33203125" style="1" customWidth="1"/>
    <col min="9493" max="9729" width="11.5" style="1"/>
    <col min="9730" max="9730" width="10.6640625" style="1" customWidth="1"/>
    <col min="9731" max="9731" width="48" style="1" bestFit="1" customWidth="1"/>
    <col min="9732" max="9732" width="14.5" style="1" bestFit="1" customWidth="1"/>
    <col min="9733" max="9733" width="13.1640625" style="1" customWidth="1"/>
    <col min="9734" max="9734" width="13.33203125" style="1" bestFit="1" customWidth="1"/>
    <col min="9735" max="9735" width="31.5" style="1" bestFit="1" customWidth="1"/>
    <col min="9736" max="9736" width="13.33203125" style="1" bestFit="1" customWidth="1"/>
    <col min="9737" max="9737" width="14.5" style="1" bestFit="1" customWidth="1"/>
    <col min="9738" max="9738" width="14.5" style="1" customWidth="1"/>
    <col min="9739" max="9739" width="14.5" style="1" bestFit="1" customWidth="1"/>
    <col min="9740" max="9740" width="10.5" style="1" bestFit="1" customWidth="1"/>
    <col min="9741" max="9741" width="1.83203125" style="1" customWidth="1"/>
    <col min="9742" max="9742" width="40.83203125" style="1" bestFit="1" customWidth="1"/>
    <col min="9743" max="9743" width="13.1640625" style="1" customWidth="1"/>
    <col min="9744" max="9744" width="12.83203125" style="1" customWidth="1"/>
    <col min="9745" max="9745" width="15.33203125" style="1" customWidth="1"/>
    <col min="9746" max="9747" width="13.1640625" style="1" customWidth="1"/>
    <col min="9748" max="9748" width="17.33203125" style="1" customWidth="1"/>
    <col min="9749" max="9985" width="11.5" style="1"/>
    <col min="9986" max="9986" width="10.6640625" style="1" customWidth="1"/>
    <col min="9987" max="9987" width="48" style="1" bestFit="1" customWidth="1"/>
    <col min="9988" max="9988" width="14.5" style="1" bestFit="1" customWidth="1"/>
    <col min="9989" max="9989" width="13.1640625" style="1" customWidth="1"/>
    <col min="9990" max="9990" width="13.33203125" style="1" bestFit="1" customWidth="1"/>
    <col min="9991" max="9991" width="31.5" style="1" bestFit="1" customWidth="1"/>
    <col min="9992" max="9992" width="13.33203125" style="1" bestFit="1" customWidth="1"/>
    <col min="9993" max="9993" width="14.5" style="1" bestFit="1" customWidth="1"/>
    <col min="9994" max="9994" width="14.5" style="1" customWidth="1"/>
    <col min="9995" max="9995" width="14.5" style="1" bestFit="1" customWidth="1"/>
    <col min="9996" max="9996" width="10.5" style="1" bestFit="1" customWidth="1"/>
    <col min="9997" max="9997" width="1.83203125" style="1" customWidth="1"/>
    <col min="9998" max="9998" width="40.83203125" style="1" bestFit="1" customWidth="1"/>
    <col min="9999" max="9999" width="13.1640625" style="1" customWidth="1"/>
    <col min="10000" max="10000" width="12.83203125" style="1" customWidth="1"/>
    <col min="10001" max="10001" width="15.33203125" style="1" customWidth="1"/>
    <col min="10002" max="10003" width="13.1640625" style="1" customWidth="1"/>
    <col min="10004" max="10004" width="17.33203125" style="1" customWidth="1"/>
    <col min="10005" max="10241" width="11.5" style="1"/>
    <col min="10242" max="10242" width="10.6640625" style="1" customWidth="1"/>
    <col min="10243" max="10243" width="48" style="1" bestFit="1" customWidth="1"/>
    <col min="10244" max="10244" width="14.5" style="1" bestFit="1" customWidth="1"/>
    <col min="10245" max="10245" width="13.1640625" style="1" customWidth="1"/>
    <col min="10246" max="10246" width="13.33203125" style="1" bestFit="1" customWidth="1"/>
    <col min="10247" max="10247" width="31.5" style="1" bestFit="1" customWidth="1"/>
    <col min="10248" max="10248" width="13.33203125" style="1" bestFit="1" customWidth="1"/>
    <col min="10249" max="10249" width="14.5" style="1" bestFit="1" customWidth="1"/>
    <col min="10250" max="10250" width="14.5" style="1" customWidth="1"/>
    <col min="10251" max="10251" width="14.5" style="1" bestFit="1" customWidth="1"/>
    <col min="10252" max="10252" width="10.5" style="1" bestFit="1" customWidth="1"/>
    <col min="10253" max="10253" width="1.83203125" style="1" customWidth="1"/>
    <col min="10254" max="10254" width="40.83203125" style="1" bestFit="1" customWidth="1"/>
    <col min="10255" max="10255" width="13.1640625" style="1" customWidth="1"/>
    <col min="10256" max="10256" width="12.83203125" style="1" customWidth="1"/>
    <col min="10257" max="10257" width="15.33203125" style="1" customWidth="1"/>
    <col min="10258" max="10259" width="13.1640625" style="1" customWidth="1"/>
    <col min="10260" max="10260" width="17.33203125" style="1" customWidth="1"/>
    <col min="10261" max="10497" width="11.5" style="1"/>
    <col min="10498" max="10498" width="10.6640625" style="1" customWidth="1"/>
    <col min="10499" max="10499" width="48" style="1" bestFit="1" customWidth="1"/>
    <col min="10500" max="10500" width="14.5" style="1" bestFit="1" customWidth="1"/>
    <col min="10501" max="10501" width="13.1640625" style="1" customWidth="1"/>
    <col min="10502" max="10502" width="13.33203125" style="1" bestFit="1" customWidth="1"/>
    <col min="10503" max="10503" width="31.5" style="1" bestFit="1" customWidth="1"/>
    <col min="10504" max="10504" width="13.33203125" style="1" bestFit="1" customWidth="1"/>
    <col min="10505" max="10505" width="14.5" style="1" bestFit="1" customWidth="1"/>
    <col min="10506" max="10506" width="14.5" style="1" customWidth="1"/>
    <col min="10507" max="10507" width="14.5" style="1" bestFit="1" customWidth="1"/>
    <col min="10508" max="10508" width="10.5" style="1" bestFit="1" customWidth="1"/>
    <col min="10509" max="10509" width="1.83203125" style="1" customWidth="1"/>
    <col min="10510" max="10510" width="40.83203125" style="1" bestFit="1" customWidth="1"/>
    <col min="10511" max="10511" width="13.1640625" style="1" customWidth="1"/>
    <col min="10512" max="10512" width="12.83203125" style="1" customWidth="1"/>
    <col min="10513" max="10513" width="15.33203125" style="1" customWidth="1"/>
    <col min="10514" max="10515" width="13.1640625" style="1" customWidth="1"/>
    <col min="10516" max="10516" width="17.33203125" style="1" customWidth="1"/>
    <col min="10517" max="10753" width="11.5" style="1"/>
    <col min="10754" max="10754" width="10.6640625" style="1" customWidth="1"/>
    <col min="10755" max="10755" width="48" style="1" bestFit="1" customWidth="1"/>
    <col min="10756" max="10756" width="14.5" style="1" bestFit="1" customWidth="1"/>
    <col min="10757" max="10757" width="13.1640625" style="1" customWidth="1"/>
    <col min="10758" max="10758" width="13.33203125" style="1" bestFit="1" customWidth="1"/>
    <col min="10759" max="10759" width="31.5" style="1" bestFit="1" customWidth="1"/>
    <col min="10760" max="10760" width="13.33203125" style="1" bestFit="1" customWidth="1"/>
    <col min="10761" max="10761" width="14.5" style="1" bestFit="1" customWidth="1"/>
    <col min="10762" max="10762" width="14.5" style="1" customWidth="1"/>
    <col min="10763" max="10763" width="14.5" style="1" bestFit="1" customWidth="1"/>
    <col min="10764" max="10764" width="10.5" style="1" bestFit="1" customWidth="1"/>
    <col min="10765" max="10765" width="1.83203125" style="1" customWidth="1"/>
    <col min="10766" max="10766" width="40.83203125" style="1" bestFit="1" customWidth="1"/>
    <col min="10767" max="10767" width="13.1640625" style="1" customWidth="1"/>
    <col min="10768" max="10768" width="12.83203125" style="1" customWidth="1"/>
    <col min="10769" max="10769" width="15.33203125" style="1" customWidth="1"/>
    <col min="10770" max="10771" width="13.1640625" style="1" customWidth="1"/>
    <col min="10772" max="10772" width="17.33203125" style="1" customWidth="1"/>
    <col min="10773" max="11009" width="11.5" style="1"/>
    <col min="11010" max="11010" width="10.6640625" style="1" customWidth="1"/>
    <col min="11011" max="11011" width="48" style="1" bestFit="1" customWidth="1"/>
    <col min="11012" max="11012" width="14.5" style="1" bestFit="1" customWidth="1"/>
    <col min="11013" max="11013" width="13.1640625" style="1" customWidth="1"/>
    <col min="11014" max="11014" width="13.33203125" style="1" bestFit="1" customWidth="1"/>
    <col min="11015" max="11015" width="31.5" style="1" bestFit="1" customWidth="1"/>
    <col min="11016" max="11016" width="13.33203125" style="1" bestFit="1" customWidth="1"/>
    <col min="11017" max="11017" width="14.5" style="1" bestFit="1" customWidth="1"/>
    <col min="11018" max="11018" width="14.5" style="1" customWidth="1"/>
    <col min="11019" max="11019" width="14.5" style="1" bestFit="1" customWidth="1"/>
    <col min="11020" max="11020" width="10.5" style="1" bestFit="1" customWidth="1"/>
    <col min="11021" max="11021" width="1.83203125" style="1" customWidth="1"/>
    <col min="11022" max="11022" width="40.83203125" style="1" bestFit="1" customWidth="1"/>
    <col min="11023" max="11023" width="13.1640625" style="1" customWidth="1"/>
    <col min="11024" max="11024" width="12.83203125" style="1" customWidth="1"/>
    <col min="11025" max="11025" width="15.33203125" style="1" customWidth="1"/>
    <col min="11026" max="11027" width="13.1640625" style="1" customWidth="1"/>
    <col min="11028" max="11028" width="17.33203125" style="1" customWidth="1"/>
    <col min="11029" max="11265" width="11.5" style="1"/>
    <col min="11266" max="11266" width="10.6640625" style="1" customWidth="1"/>
    <col min="11267" max="11267" width="48" style="1" bestFit="1" customWidth="1"/>
    <col min="11268" max="11268" width="14.5" style="1" bestFit="1" customWidth="1"/>
    <col min="11269" max="11269" width="13.1640625" style="1" customWidth="1"/>
    <col min="11270" max="11270" width="13.33203125" style="1" bestFit="1" customWidth="1"/>
    <col min="11271" max="11271" width="31.5" style="1" bestFit="1" customWidth="1"/>
    <col min="11272" max="11272" width="13.33203125" style="1" bestFit="1" customWidth="1"/>
    <col min="11273" max="11273" width="14.5" style="1" bestFit="1" customWidth="1"/>
    <col min="11274" max="11274" width="14.5" style="1" customWidth="1"/>
    <col min="11275" max="11275" width="14.5" style="1" bestFit="1" customWidth="1"/>
    <col min="11276" max="11276" width="10.5" style="1" bestFit="1" customWidth="1"/>
    <col min="11277" max="11277" width="1.83203125" style="1" customWidth="1"/>
    <col min="11278" max="11278" width="40.83203125" style="1" bestFit="1" customWidth="1"/>
    <col min="11279" max="11279" width="13.1640625" style="1" customWidth="1"/>
    <col min="11280" max="11280" width="12.83203125" style="1" customWidth="1"/>
    <col min="11281" max="11281" width="15.33203125" style="1" customWidth="1"/>
    <col min="11282" max="11283" width="13.1640625" style="1" customWidth="1"/>
    <col min="11284" max="11284" width="17.33203125" style="1" customWidth="1"/>
    <col min="11285" max="11521" width="11.5" style="1"/>
    <col min="11522" max="11522" width="10.6640625" style="1" customWidth="1"/>
    <col min="11523" max="11523" width="48" style="1" bestFit="1" customWidth="1"/>
    <col min="11524" max="11524" width="14.5" style="1" bestFit="1" customWidth="1"/>
    <col min="11525" max="11525" width="13.1640625" style="1" customWidth="1"/>
    <col min="11526" max="11526" width="13.33203125" style="1" bestFit="1" customWidth="1"/>
    <col min="11527" max="11527" width="31.5" style="1" bestFit="1" customWidth="1"/>
    <col min="11528" max="11528" width="13.33203125" style="1" bestFit="1" customWidth="1"/>
    <col min="11529" max="11529" width="14.5" style="1" bestFit="1" customWidth="1"/>
    <col min="11530" max="11530" width="14.5" style="1" customWidth="1"/>
    <col min="11531" max="11531" width="14.5" style="1" bestFit="1" customWidth="1"/>
    <col min="11532" max="11532" width="10.5" style="1" bestFit="1" customWidth="1"/>
    <col min="11533" max="11533" width="1.83203125" style="1" customWidth="1"/>
    <col min="11534" max="11534" width="40.83203125" style="1" bestFit="1" customWidth="1"/>
    <col min="11535" max="11535" width="13.1640625" style="1" customWidth="1"/>
    <col min="11536" max="11536" width="12.83203125" style="1" customWidth="1"/>
    <col min="11537" max="11537" width="15.33203125" style="1" customWidth="1"/>
    <col min="11538" max="11539" width="13.1640625" style="1" customWidth="1"/>
    <col min="11540" max="11540" width="17.33203125" style="1" customWidth="1"/>
    <col min="11541" max="11777" width="11.5" style="1"/>
    <col min="11778" max="11778" width="10.6640625" style="1" customWidth="1"/>
    <col min="11779" max="11779" width="48" style="1" bestFit="1" customWidth="1"/>
    <col min="11780" max="11780" width="14.5" style="1" bestFit="1" customWidth="1"/>
    <col min="11781" max="11781" width="13.1640625" style="1" customWidth="1"/>
    <col min="11782" max="11782" width="13.33203125" style="1" bestFit="1" customWidth="1"/>
    <col min="11783" max="11783" width="31.5" style="1" bestFit="1" customWidth="1"/>
    <col min="11784" max="11784" width="13.33203125" style="1" bestFit="1" customWidth="1"/>
    <col min="11785" max="11785" width="14.5" style="1" bestFit="1" customWidth="1"/>
    <col min="11786" max="11786" width="14.5" style="1" customWidth="1"/>
    <col min="11787" max="11787" width="14.5" style="1" bestFit="1" customWidth="1"/>
    <col min="11788" max="11788" width="10.5" style="1" bestFit="1" customWidth="1"/>
    <col min="11789" max="11789" width="1.83203125" style="1" customWidth="1"/>
    <col min="11790" max="11790" width="40.83203125" style="1" bestFit="1" customWidth="1"/>
    <col min="11791" max="11791" width="13.1640625" style="1" customWidth="1"/>
    <col min="11792" max="11792" width="12.83203125" style="1" customWidth="1"/>
    <col min="11793" max="11793" width="15.33203125" style="1" customWidth="1"/>
    <col min="11794" max="11795" width="13.1640625" style="1" customWidth="1"/>
    <col min="11796" max="11796" width="17.33203125" style="1" customWidth="1"/>
    <col min="11797" max="12033" width="11.5" style="1"/>
    <col min="12034" max="12034" width="10.6640625" style="1" customWidth="1"/>
    <col min="12035" max="12035" width="48" style="1" bestFit="1" customWidth="1"/>
    <col min="12036" max="12036" width="14.5" style="1" bestFit="1" customWidth="1"/>
    <col min="12037" max="12037" width="13.1640625" style="1" customWidth="1"/>
    <col min="12038" max="12038" width="13.33203125" style="1" bestFit="1" customWidth="1"/>
    <col min="12039" max="12039" width="31.5" style="1" bestFit="1" customWidth="1"/>
    <col min="12040" max="12040" width="13.33203125" style="1" bestFit="1" customWidth="1"/>
    <col min="12041" max="12041" width="14.5" style="1" bestFit="1" customWidth="1"/>
    <col min="12042" max="12042" width="14.5" style="1" customWidth="1"/>
    <col min="12043" max="12043" width="14.5" style="1" bestFit="1" customWidth="1"/>
    <col min="12044" max="12044" width="10.5" style="1" bestFit="1" customWidth="1"/>
    <col min="12045" max="12045" width="1.83203125" style="1" customWidth="1"/>
    <col min="12046" max="12046" width="40.83203125" style="1" bestFit="1" customWidth="1"/>
    <col min="12047" max="12047" width="13.1640625" style="1" customWidth="1"/>
    <col min="12048" max="12048" width="12.83203125" style="1" customWidth="1"/>
    <col min="12049" max="12049" width="15.33203125" style="1" customWidth="1"/>
    <col min="12050" max="12051" width="13.1640625" style="1" customWidth="1"/>
    <col min="12052" max="12052" width="17.33203125" style="1" customWidth="1"/>
    <col min="12053" max="12289" width="11.5" style="1"/>
    <col min="12290" max="12290" width="10.6640625" style="1" customWidth="1"/>
    <col min="12291" max="12291" width="48" style="1" bestFit="1" customWidth="1"/>
    <col min="12292" max="12292" width="14.5" style="1" bestFit="1" customWidth="1"/>
    <col min="12293" max="12293" width="13.1640625" style="1" customWidth="1"/>
    <col min="12294" max="12294" width="13.33203125" style="1" bestFit="1" customWidth="1"/>
    <col min="12295" max="12295" width="31.5" style="1" bestFit="1" customWidth="1"/>
    <col min="12296" max="12296" width="13.33203125" style="1" bestFit="1" customWidth="1"/>
    <col min="12297" max="12297" width="14.5" style="1" bestFit="1" customWidth="1"/>
    <col min="12298" max="12298" width="14.5" style="1" customWidth="1"/>
    <col min="12299" max="12299" width="14.5" style="1" bestFit="1" customWidth="1"/>
    <col min="12300" max="12300" width="10.5" style="1" bestFit="1" customWidth="1"/>
    <col min="12301" max="12301" width="1.83203125" style="1" customWidth="1"/>
    <col min="12302" max="12302" width="40.83203125" style="1" bestFit="1" customWidth="1"/>
    <col min="12303" max="12303" width="13.1640625" style="1" customWidth="1"/>
    <col min="12304" max="12304" width="12.83203125" style="1" customWidth="1"/>
    <col min="12305" max="12305" width="15.33203125" style="1" customWidth="1"/>
    <col min="12306" max="12307" width="13.1640625" style="1" customWidth="1"/>
    <col min="12308" max="12308" width="17.33203125" style="1" customWidth="1"/>
    <col min="12309" max="12545" width="11.5" style="1"/>
    <col min="12546" max="12546" width="10.6640625" style="1" customWidth="1"/>
    <col min="12547" max="12547" width="48" style="1" bestFit="1" customWidth="1"/>
    <col min="12548" max="12548" width="14.5" style="1" bestFit="1" customWidth="1"/>
    <col min="12549" max="12549" width="13.1640625" style="1" customWidth="1"/>
    <col min="12550" max="12550" width="13.33203125" style="1" bestFit="1" customWidth="1"/>
    <col min="12551" max="12551" width="31.5" style="1" bestFit="1" customWidth="1"/>
    <col min="12552" max="12552" width="13.33203125" style="1" bestFit="1" customWidth="1"/>
    <col min="12553" max="12553" width="14.5" style="1" bestFit="1" customWidth="1"/>
    <col min="12554" max="12554" width="14.5" style="1" customWidth="1"/>
    <col min="12555" max="12555" width="14.5" style="1" bestFit="1" customWidth="1"/>
    <col min="12556" max="12556" width="10.5" style="1" bestFit="1" customWidth="1"/>
    <col min="12557" max="12557" width="1.83203125" style="1" customWidth="1"/>
    <col min="12558" max="12558" width="40.83203125" style="1" bestFit="1" customWidth="1"/>
    <col min="12559" max="12559" width="13.1640625" style="1" customWidth="1"/>
    <col min="12560" max="12560" width="12.83203125" style="1" customWidth="1"/>
    <col min="12561" max="12561" width="15.33203125" style="1" customWidth="1"/>
    <col min="12562" max="12563" width="13.1640625" style="1" customWidth="1"/>
    <col min="12564" max="12564" width="17.33203125" style="1" customWidth="1"/>
    <col min="12565" max="12801" width="11.5" style="1"/>
    <col min="12802" max="12802" width="10.6640625" style="1" customWidth="1"/>
    <col min="12803" max="12803" width="48" style="1" bestFit="1" customWidth="1"/>
    <col min="12804" max="12804" width="14.5" style="1" bestFit="1" customWidth="1"/>
    <col min="12805" max="12805" width="13.1640625" style="1" customWidth="1"/>
    <col min="12806" max="12806" width="13.33203125" style="1" bestFit="1" customWidth="1"/>
    <col min="12807" max="12807" width="31.5" style="1" bestFit="1" customWidth="1"/>
    <col min="12808" max="12808" width="13.33203125" style="1" bestFit="1" customWidth="1"/>
    <col min="12809" max="12809" width="14.5" style="1" bestFit="1" customWidth="1"/>
    <col min="12810" max="12810" width="14.5" style="1" customWidth="1"/>
    <col min="12811" max="12811" width="14.5" style="1" bestFit="1" customWidth="1"/>
    <col min="12812" max="12812" width="10.5" style="1" bestFit="1" customWidth="1"/>
    <col min="12813" max="12813" width="1.83203125" style="1" customWidth="1"/>
    <col min="12814" max="12814" width="40.83203125" style="1" bestFit="1" customWidth="1"/>
    <col min="12815" max="12815" width="13.1640625" style="1" customWidth="1"/>
    <col min="12816" max="12816" width="12.83203125" style="1" customWidth="1"/>
    <col min="12817" max="12817" width="15.33203125" style="1" customWidth="1"/>
    <col min="12818" max="12819" width="13.1640625" style="1" customWidth="1"/>
    <col min="12820" max="12820" width="17.33203125" style="1" customWidth="1"/>
    <col min="12821" max="13057" width="11.5" style="1"/>
    <col min="13058" max="13058" width="10.6640625" style="1" customWidth="1"/>
    <col min="13059" max="13059" width="48" style="1" bestFit="1" customWidth="1"/>
    <col min="13060" max="13060" width="14.5" style="1" bestFit="1" customWidth="1"/>
    <col min="13061" max="13061" width="13.1640625" style="1" customWidth="1"/>
    <col min="13062" max="13062" width="13.33203125" style="1" bestFit="1" customWidth="1"/>
    <col min="13063" max="13063" width="31.5" style="1" bestFit="1" customWidth="1"/>
    <col min="13064" max="13064" width="13.33203125" style="1" bestFit="1" customWidth="1"/>
    <col min="13065" max="13065" width="14.5" style="1" bestFit="1" customWidth="1"/>
    <col min="13066" max="13066" width="14.5" style="1" customWidth="1"/>
    <col min="13067" max="13067" width="14.5" style="1" bestFit="1" customWidth="1"/>
    <col min="13068" max="13068" width="10.5" style="1" bestFit="1" customWidth="1"/>
    <col min="13069" max="13069" width="1.83203125" style="1" customWidth="1"/>
    <col min="13070" max="13070" width="40.83203125" style="1" bestFit="1" customWidth="1"/>
    <col min="13071" max="13071" width="13.1640625" style="1" customWidth="1"/>
    <col min="13072" max="13072" width="12.83203125" style="1" customWidth="1"/>
    <col min="13073" max="13073" width="15.33203125" style="1" customWidth="1"/>
    <col min="13074" max="13075" width="13.1640625" style="1" customWidth="1"/>
    <col min="13076" max="13076" width="17.33203125" style="1" customWidth="1"/>
    <col min="13077" max="13313" width="11.5" style="1"/>
    <col min="13314" max="13314" width="10.6640625" style="1" customWidth="1"/>
    <col min="13315" max="13315" width="48" style="1" bestFit="1" customWidth="1"/>
    <col min="13316" max="13316" width="14.5" style="1" bestFit="1" customWidth="1"/>
    <col min="13317" max="13317" width="13.1640625" style="1" customWidth="1"/>
    <col min="13318" max="13318" width="13.33203125" style="1" bestFit="1" customWidth="1"/>
    <col min="13319" max="13319" width="31.5" style="1" bestFit="1" customWidth="1"/>
    <col min="13320" max="13320" width="13.33203125" style="1" bestFit="1" customWidth="1"/>
    <col min="13321" max="13321" width="14.5" style="1" bestFit="1" customWidth="1"/>
    <col min="13322" max="13322" width="14.5" style="1" customWidth="1"/>
    <col min="13323" max="13323" width="14.5" style="1" bestFit="1" customWidth="1"/>
    <col min="13324" max="13324" width="10.5" style="1" bestFit="1" customWidth="1"/>
    <col min="13325" max="13325" width="1.83203125" style="1" customWidth="1"/>
    <col min="13326" max="13326" width="40.83203125" style="1" bestFit="1" customWidth="1"/>
    <col min="13327" max="13327" width="13.1640625" style="1" customWidth="1"/>
    <col min="13328" max="13328" width="12.83203125" style="1" customWidth="1"/>
    <col min="13329" max="13329" width="15.33203125" style="1" customWidth="1"/>
    <col min="13330" max="13331" width="13.1640625" style="1" customWidth="1"/>
    <col min="13332" max="13332" width="17.33203125" style="1" customWidth="1"/>
    <col min="13333" max="13569" width="11.5" style="1"/>
    <col min="13570" max="13570" width="10.6640625" style="1" customWidth="1"/>
    <col min="13571" max="13571" width="48" style="1" bestFit="1" customWidth="1"/>
    <col min="13572" max="13572" width="14.5" style="1" bestFit="1" customWidth="1"/>
    <col min="13573" max="13573" width="13.1640625" style="1" customWidth="1"/>
    <col min="13574" max="13574" width="13.33203125" style="1" bestFit="1" customWidth="1"/>
    <col min="13575" max="13575" width="31.5" style="1" bestFit="1" customWidth="1"/>
    <col min="13576" max="13576" width="13.33203125" style="1" bestFit="1" customWidth="1"/>
    <col min="13577" max="13577" width="14.5" style="1" bestFit="1" customWidth="1"/>
    <col min="13578" max="13578" width="14.5" style="1" customWidth="1"/>
    <col min="13579" max="13579" width="14.5" style="1" bestFit="1" customWidth="1"/>
    <col min="13580" max="13580" width="10.5" style="1" bestFit="1" customWidth="1"/>
    <col min="13581" max="13581" width="1.83203125" style="1" customWidth="1"/>
    <col min="13582" max="13582" width="40.83203125" style="1" bestFit="1" customWidth="1"/>
    <col min="13583" max="13583" width="13.1640625" style="1" customWidth="1"/>
    <col min="13584" max="13584" width="12.83203125" style="1" customWidth="1"/>
    <col min="13585" max="13585" width="15.33203125" style="1" customWidth="1"/>
    <col min="13586" max="13587" width="13.1640625" style="1" customWidth="1"/>
    <col min="13588" max="13588" width="17.33203125" style="1" customWidth="1"/>
    <col min="13589" max="13825" width="11.5" style="1"/>
    <col min="13826" max="13826" width="10.6640625" style="1" customWidth="1"/>
    <col min="13827" max="13827" width="48" style="1" bestFit="1" customWidth="1"/>
    <col min="13828" max="13828" width="14.5" style="1" bestFit="1" customWidth="1"/>
    <col min="13829" max="13829" width="13.1640625" style="1" customWidth="1"/>
    <col min="13830" max="13830" width="13.33203125" style="1" bestFit="1" customWidth="1"/>
    <col min="13831" max="13831" width="31.5" style="1" bestFit="1" customWidth="1"/>
    <col min="13832" max="13832" width="13.33203125" style="1" bestFit="1" customWidth="1"/>
    <col min="13833" max="13833" width="14.5" style="1" bestFit="1" customWidth="1"/>
    <col min="13834" max="13834" width="14.5" style="1" customWidth="1"/>
    <col min="13835" max="13835" width="14.5" style="1" bestFit="1" customWidth="1"/>
    <col min="13836" max="13836" width="10.5" style="1" bestFit="1" customWidth="1"/>
    <col min="13837" max="13837" width="1.83203125" style="1" customWidth="1"/>
    <col min="13838" max="13838" width="40.83203125" style="1" bestFit="1" customWidth="1"/>
    <col min="13839" max="13839" width="13.1640625" style="1" customWidth="1"/>
    <col min="13840" max="13840" width="12.83203125" style="1" customWidth="1"/>
    <col min="13841" max="13841" width="15.33203125" style="1" customWidth="1"/>
    <col min="13842" max="13843" width="13.1640625" style="1" customWidth="1"/>
    <col min="13844" max="13844" width="17.33203125" style="1" customWidth="1"/>
    <col min="13845" max="14081" width="11.5" style="1"/>
    <col min="14082" max="14082" width="10.6640625" style="1" customWidth="1"/>
    <col min="14083" max="14083" width="48" style="1" bestFit="1" customWidth="1"/>
    <col min="14084" max="14084" width="14.5" style="1" bestFit="1" customWidth="1"/>
    <col min="14085" max="14085" width="13.1640625" style="1" customWidth="1"/>
    <col min="14086" max="14086" width="13.33203125" style="1" bestFit="1" customWidth="1"/>
    <col min="14087" max="14087" width="31.5" style="1" bestFit="1" customWidth="1"/>
    <col min="14088" max="14088" width="13.33203125" style="1" bestFit="1" customWidth="1"/>
    <col min="14089" max="14089" width="14.5" style="1" bestFit="1" customWidth="1"/>
    <col min="14090" max="14090" width="14.5" style="1" customWidth="1"/>
    <col min="14091" max="14091" width="14.5" style="1" bestFit="1" customWidth="1"/>
    <col min="14092" max="14092" width="10.5" style="1" bestFit="1" customWidth="1"/>
    <col min="14093" max="14093" width="1.83203125" style="1" customWidth="1"/>
    <col min="14094" max="14094" width="40.83203125" style="1" bestFit="1" customWidth="1"/>
    <col min="14095" max="14095" width="13.1640625" style="1" customWidth="1"/>
    <col min="14096" max="14096" width="12.83203125" style="1" customWidth="1"/>
    <col min="14097" max="14097" width="15.33203125" style="1" customWidth="1"/>
    <col min="14098" max="14099" width="13.1640625" style="1" customWidth="1"/>
    <col min="14100" max="14100" width="17.33203125" style="1" customWidth="1"/>
    <col min="14101" max="14337" width="11.5" style="1"/>
    <col min="14338" max="14338" width="10.6640625" style="1" customWidth="1"/>
    <col min="14339" max="14339" width="48" style="1" bestFit="1" customWidth="1"/>
    <col min="14340" max="14340" width="14.5" style="1" bestFit="1" customWidth="1"/>
    <col min="14341" max="14341" width="13.1640625" style="1" customWidth="1"/>
    <col min="14342" max="14342" width="13.33203125" style="1" bestFit="1" customWidth="1"/>
    <col min="14343" max="14343" width="31.5" style="1" bestFit="1" customWidth="1"/>
    <col min="14344" max="14344" width="13.33203125" style="1" bestFit="1" customWidth="1"/>
    <col min="14345" max="14345" width="14.5" style="1" bestFit="1" customWidth="1"/>
    <col min="14346" max="14346" width="14.5" style="1" customWidth="1"/>
    <col min="14347" max="14347" width="14.5" style="1" bestFit="1" customWidth="1"/>
    <col min="14348" max="14348" width="10.5" style="1" bestFit="1" customWidth="1"/>
    <col min="14349" max="14349" width="1.83203125" style="1" customWidth="1"/>
    <col min="14350" max="14350" width="40.83203125" style="1" bestFit="1" customWidth="1"/>
    <col min="14351" max="14351" width="13.1640625" style="1" customWidth="1"/>
    <col min="14352" max="14352" width="12.83203125" style="1" customWidth="1"/>
    <col min="14353" max="14353" width="15.33203125" style="1" customWidth="1"/>
    <col min="14354" max="14355" width="13.1640625" style="1" customWidth="1"/>
    <col min="14356" max="14356" width="17.33203125" style="1" customWidth="1"/>
    <col min="14357" max="14593" width="11.5" style="1"/>
    <col min="14594" max="14594" width="10.6640625" style="1" customWidth="1"/>
    <col min="14595" max="14595" width="48" style="1" bestFit="1" customWidth="1"/>
    <col min="14596" max="14596" width="14.5" style="1" bestFit="1" customWidth="1"/>
    <col min="14597" max="14597" width="13.1640625" style="1" customWidth="1"/>
    <col min="14598" max="14598" width="13.33203125" style="1" bestFit="1" customWidth="1"/>
    <col min="14599" max="14599" width="31.5" style="1" bestFit="1" customWidth="1"/>
    <col min="14600" max="14600" width="13.33203125" style="1" bestFit="1" customWidth="1"/>
    <col min="14601" max="14601" width="14.5" style="1" bestFit="1" customWidth="1"/>
    <col min="14602" max="14602" width="14.5" style="1" customWidth="1"/>
    <col min="14603" max="14603" width="14.5" style="1" bestFit="1" customWidth="1"/>
    <col min="14604" max="14604" width="10.5" style="1" bestFit="1" customWidth="1"/>
    <col min="14605" max="14605" width="1.83203125" style="1" customWidth="1"/>
    <col min="14606" max="14606" width="40.83203125" style="1" bestFit="1" customWidth="1"/>
    <col min="14607" max="14607" width="13.1640625" style="1" customWidth="1"/>
    <col min="14608" max="14608" width="12.83203125" style="1" customWidth="1"/>
    <col min="14609" max="14609" width="15.33203125" style="1" customWidth="1"/>
    <col min="14610" max="14611" width="13.1640625" style="1" customWidth="1"/>
    <col min="14612" max="14612" width="17.33203125" style="1" customWidth="1"/>
    <col min="14613" max="14849" width="11.5" style="1"/>
    <col min="14850" max="14850" width="10.6640625" style="1" customWidth="1"/>
    <col min="14851" max="14851" width="48" style="1" bestFit="1" customWidth="1"/>
    <col min="14852" max="14852" width="14.5" style="1" bestFit="1" customWidth="1"/>
    <col min="14853" max="14853" width="13.1640625" style="1" customWidth="1"/>
    <col min="14854" max="14854" width="13.33203125" style="1" bestFit="1" customWidth="1"/>
    <col min="14855" max="14855" width="31.5" style="1" bestFit="1" customWidth="1"/>
    <col min="14856" max="14856" width="13.33203125" style="1" bestFit="1" customWidth="1"/>
    <col min="14857" max="14857" width="14.5" style="1" bestFit="1" customWidth="1"/>
    <col min="14858" max="14858" width="14.5" style="1" customWidth="1"/>
    <col min="14859" max="14859" width="14.5" style="1" bestFit="1" customWidth="1"/>
    <col min="14860" max="14860" width="10.5" style="1" bestFit="1" customWidth="1"/>
    <col min="14861" max="14861" width="1.83203125" style="1" customWidth="1"/>
    <col min="14862" max="14862" width="40.83203125" style="1" bestFit="1" customWidth="1"/>
    <col min="14863" max="14863" width="13.1640625" style="1" customWidth="1"/>
    <col min="14864" max="14864" width="12.83203125" style="1" customWidth="1"/>
    <col min="14865" max="14865" width="15.33203125" style="1" customWidth="1"/>
    <col min="14866" max="14867" width="13.1640625" style="1" customWidth="1"/>
    <col min="14868" max="14868" width="17.33203125" style="1" customWidth="1"/>
    <col min="14869" max="15105" width="11.5" style="1"/>
    <col min="15106" max="15106" width="10.6640625" style="1" customWidth="1"/>
    <col min="15107" max="15107" width="48" style="1" bestFit="1" customWidth="1"/>
    <col min="15108" max="15108" width="14.5" style="1" bestFit="1" customWidth="1"/>
    <col min="15109" max="15109" width="13.1640625" style="1" customWidth="1"/>
    <col min="15110" max="15110" width="13.33203125" style="1" bestFit="1" customWidth="1"/>
    <col min="15111" max="15111" width="31.5" style="1" bestFit="1" customWidth="1"/>
    <col min="15112" max="15112" width="13.33203125" style="1" bestFit="1" customWidth="1"/>
    <col min="15113" max="15113" width="14.5" style="1" bestFit="1" customWidth="1"/>
    <col min="15114" max="15114" width="14.5" style="1" customWidth="1"/>
    <col min="15115" max="15115" width="14.5" style="1" bestFit="1" customWidth="1"/>
    <col min="15116" max="15116" width="10.5" style="1" bestFit="1" customWidth="1"/>
    <col min="15117" max="15117" width="1.83203125" style="1" customWidth="1"/>
    <col min="15118" max="15118" width="40.83203125" style="1" bestFit="1" customWidth="1"/>
    <col min="15119" max="15119" width="13.1640625" style="1" customWidth="1"/>
    <col min="15120" max="15120" width="12.83203125" style="1" customWidth="1"/>
    <col min="15121" max="15121" width="15.33203125" style="1" customWidth="1"/>
    <col min="15122" max="15123" width="13.1640625" style="1" customWidth="1"/>
    <col min="15124" max="15124" width="17.33203125" style="1" customWidth="1"/>
    <col min="15125" max="15361" width="11.5" style="1"/>
    <col min="15362" max="15362" width="10.6640625" style="1" customWidth="1"/>
    <col min="15363" max="15363" width="48" style="1" bestFit="1" customWidth="1"/>
    <col min="15364" max="15364" width="14.5" style="1" bestFit="1" customWidth="1"/>
    <col min="15365" max="15365" width="13.1640625" style="1" customWidth="1"/>
    <col min="15366" max="15366" width="13.33203125" style="1" bestFit="1" customWidth="1"/>
    <col min="15367" max="15367" width="31.5" style="1" bestFit="1" customWidth="1"/>
    <col min="15368" max="15368" width="13.33203125" style="1" bestFit="1" customWidth="1"/>
    <col min="15369" max="15369" width="14.5" style="1" bestFit="1" customWidth="1"/>
    <col min="15370" max="15370" width="14.5" style="1" customWidth="1"/>
    <col min="15371" max="15371" width="14.5" style="1" bestFit="1" customWidth="1"/>
    <col min="15372" max="15372" width="10.5" style="1" bestFit="1" customWidth="1"/>
    <col min="15373" max="15373" width="1.83203125" style="1" customWidth="1"/>
    <col min="15374" max="15374" width="40.83203125" style="1" bestFit="1" customWidth="1"/>
    <col min="15375" max="15375" width="13.1640625" style="1" customWidth="1"/>
    <col min="15376" max="15376" width="12.83203125" style="1" customWidth="1"/>
    <col min="15377" max="15377" width="15.33203125" style="1" customWidth="1"/>
    <col min="15378" max="15379" width="13.1640625" style="1" customWidth="1"/>
    <col min="15380" max="15380" width="17.33203125" style="1" customWidth="1"/>
    <col min="15381" max="15617" width="11.5" style="1"/>
    <col min="15618" max="15618" width="10.6640625" style="1" customWidth="1"/>
    <col min="15619" max="15619" width="48" style="1" bestFit="1" customWidth="1"/>
    <col min="15620" max="15620" width="14.5" style="1" bestFit="1" customWidth="1"/>
    <col min="15621" max="15621" width="13.1640625" style="1" customWidth="1"/>
    <col min="15622" max="15622" width="13.33203125" style="1" bestFit="1" customWidth="1"/>
    <col min="15623" max="15623" width="31.5" style="1" bestFit="1" customWidth="1"/>
    <col min="15624" max="15624" width="13.33203125" style="1" bestFit="1" customWidth="1"/>
    <col min="15625" max="15625" width="14.5" style="1" bestFit="1" customWidth="1"/>
    <col min="15626" max="15626" width="14.5" style="1" customWidth="1"/>
    <col min="15627" max="15627" width="14.5" style="1" bestFit="1" customWidth="1"/>
    <col min="15628" max="15628" width="10.5" style="1" bestFit="1" customWidth="1"/>
    <col min="15629" max="15629" width="1.83203125" style="1" customWidth="1"/>
    <col min="15630" max="15630" width="40.83203125" style="1" bestFit="1" customWidth="1"/>
    <col min="15631" max="15631" width="13.1640625" style="1" customWidth="1"/>
    <col min="15632" max="15632" width="12.83203125" style="1" customWidth="1"/>
    <col min="15633" max="15633" width="15.33203125" style="1" customWidth="1"/>
    <col min="15634" max="15635" width="13.1640625" style="1" customWidth="1"/>
    <col min="15636" max="15636" width="17.33203125" style="1" customWidth="1"/>
    <col min="15637" max="15873" width="11.5" style="1"/>
    <col min="15874" max="15874" width="10.6640625" style="1" customWidth="1"/>
    <col min="15875" max="15875" width="48" style="1" bestFit="1" customWidth="1"/>
    <col min="15876" max="15876" width="14.5" style="1" bestFit="1" customWidth="1"/>
    <col min="15877" max="15877" width="13.1640625" style="1" customWidth="1"/>
    <col min="15878" max="15878" width="13.33203125" style="1" bestFit="1" customWidth="1"/>
    <col min="15879" max="15879" width="31.5" style="1" bestFit="1" customWidth="1"/>
    <col min="15880" max="15880" width="13.33203125" style="1" bestFit="1" customWidth="1"/>
    <col min="15881" max="15881" width="14.5" style="1" bestFit="1" customWidth="1"/>
    <col min="15882" max="15882" width="14.5" style="1" customWidth="1"/>
    <col min="15883" max="15883" width="14.5" style="1" bestFit="1" customWidth="1"/>
    <col min="15884" max="15884" width="10.5" style="1" bestFit="1" customWidth="1"/>
    <col min="15885" max="15885" width="1.83203125" style="1" customWidth="1"/>
    <col min="15886" max="15886" width="40.83203125" style="1" bestFit="1" customWidth="1"/>
    <col min="15887" max="15887" width="13.1640625" style="1" customWidth="1"/>
    <col min="15888" max="15888" width="12.83203125" style="1" customWidth="1"/>
    <col min="15889" max="15889" width="15.33203125" style="1" customWidth="1"/>
    <col min="15890" max="15891" width="13.1640625" style="1" customWidth="1"/>
    <col min="15892" max="15892" width="17.33203125" style="1" customWidth="1"/>
    <col min="15893" max="16129" width="11.5" style="1"/>
    <col min="16130" max="16130" width="10.6640625" style="1" customWidth="1"/>
    <col min="16131" max="16131" width="48" style="1" bestFit="1" customWidth="1"/>
    <col min="16132" max="16132" width="14.5" style="1" bestFit="1" customWidth="1"/>
    <col min="16133" max="16133" width="13.1640625" style="1" customWidth="1"/>
    <col min="16134" max="16134" width="13.33203125" style="1" bestFit="1" customWidth="1"/>
    <col min="16135" max="16135" width="31.5" style="1" bestFit="1" customWidth="1"/>
    <col min="16136" max="16136" width="13.33203125" style="1" bestFit="1" customWidth="1"/>
    <col min="16137" max="16137" width="14.5" style="1" bestFit="1" customWidth="1"/>
    <col min="16138" max="16138" width="14.5" style="1" customWidth="1"/>
    <col min="16139" max="16139" width="14.5" style="1" bestFit="1" customWidth="1"/>
    <col min="16140" max="16140" width="10.5" style="1" bestFit="1" customWidth="1"/>
    <col min="16141" max="16141" width="1.83203125" style="1" customWidth="1"/>
    <col min="16142" max="16142" width="40.83203125" style="1" bestFit="1" customWidth="1"/>
    <col min="16143" max="16143" width="13.1640625" style="1" customWidth="1"/>
    <col min="16144" max="16144" width="12.83203125" style="1" customWidth="1"/>
    <col min="16145" max="16145" width="15.33203125" style="1" customWidth="1"/>
    <col min="16146" max="16147" width="13.1640625" style="1" customWidth="1"/>
    <col min="16148" max="16148" width="17.33203125" style="1" customWidth="1"/>
    <col min="16149" max="16384" width="11.5" style="1"/>
  </cols>
  <sheetData>
    <row r="2" spans="1:38" ht="20.25" customHeight="1" thickBot="1">
      <c r="C2" s="2" t="s">
        <v>53</v>
      </c>
    </row>
    <row r="3" spans="1:38" ht="16">
      <c r="B3" s="427">
        <f ca="1">TODAY()</f>
        <v>43633</v>
      </c>
      <c r="C3" s="3" t="s">
        <v>0</v>
      </c>
      <c r="D3" s="435" t="s">
        <v>135</v>
      </c>
      <c r="E3" s="436"/>
      <c r="F3" s="436"/>
      <c r="G3" s="436"/>
      <c r="H3" s="436"/>
      <c r="I3" s="436"/>
      <c r="J3" s="436"/>
      <c r="K3" s="436"/>
      <c r="L3" s="437"/>
      <c r="M3" s="4"/>
      <c r="N3" s="4"/>
      <c r="O3" s="4"/>
      <c r="P3" s="4"/>
      <c r="Q3" s="4"/>
      <c r="R3" s="4"/>
      <c r="S3" s="5"/>
    </row>
    <row r="4" spans="1:38" ht="16">
      <c r="B4" s="6"/>
      <c r="C4" s="159" t="s">
        <v>1</v>
      </c>
      <c r="D4" s="438"/>
      <c r="E4" s="439"/>
      <c r="F4" s="439"/>
      <c r="G4" s="439"/>
      <c r="H4" s="439"/>
      <c r="I4" s="439"/>
      <c r="J4" s="439"/>
      <c r="K4" s="439"/>
      <c r="L4" s="440"/>
      <c r="M4" s="7"/>
      <c r="N4" s="7"/>
      <c r="O4" s="7"/>
      <c r="P4" s="7"/>
      <c r="Q4" s="7"/>
      <c r="R4" s="7"/>
      <c r="S4" s="8"/>
      <c r="U4" s="157"/>
    </row>
    <row r="5" spans="1:38" ht="16">
      <c r="B5" s="6"/>
      <c r="C5" s="159" t="s">
        <v>2</v>
      </c>
      <c r="D5" s="438"/>
      <c r="E5" s="439"/>
      <c r="F5" s="439"/>
      <c r="G5" s="439"/>
      <c r="H5" s="439"/>
      <c r="I5" s="439"/>
      <c r="J5" s="439"/>
      <c r="K5" s="439"/>
      <c r="L5" s="440"/>
      <c r="M5" s="7"/>
      <c r="N5" s="7"/>
      <c r="O5" s="7"/>
      <c r="P5" s="7"/>
      <c r="Q5" s="7"/>
      <c r="R5" s="7"/>
      <c r="S5" s="8"/>
      <c r="U5" s="157"/>
    </row>
    <row r="6" spans="1:38" ht="15" thickBot="1">
      <c r="B6" s="6"/>
      <c r="C6" s="9"/>
      <c r="D6" s="9"/>
      <c r="E6" s="10"/>
      <c r="F6" s="11"/>
      <c r="G6" s="11"/>
      <c r="H6" s="10"/>
      <c r="I6" s="10"/>
      <c r="J6" s="10"/>
      <c r="K6" s="10"/>
      <c r="L6" s="12"/>
      <c r="M6" s="10"/>
      <c r="N6" s="11"/>
      <c r="O6" s="11"/>
      <c r="P6" s="11"/>
      <c r="Q6" s="11"/>
      <c r="R6" s="11"/>
      <c r="S6" s="13"/>
    </row>
    <row r="7" spans="1:38" s="20" customFormat="1" ht="17" thickBot="1">
      <c r="B7" s="14"/>
      <c r="C7" s="60" t="s">
        <v>3</v>
      </c>
      <c r="D7" s="250" t="s">
        <v>4</v>
      </c>
      <c r="E7" s="250"/>
      <c r="F7" s="250" t="s">
        <v>5</v>
      </c>
      <c r="G7" s="15" t="s">
        <v>6</v>
      </c>
      <c r="H7" s="16"/>
      <c r="I7" s="16"/>
      <c r="J7" s="16"/>
      <c r="K7" s="16" t="s">
        <v>7</v>
      </c>
      <c r="L7" s="16" t="s">
        <v>8</v>
      </c>
      <c r="M7" s="17"/>
      <c r="N7" s="7" t="s">
        <v>9</v>
      </c>
      <c r="O7" s="18"/>
      <c r="P7" s="18"/>
      <c r="Q7" s="18"/>
      <c r="R7" s="18"/>
      <c r="S7" s="19"/>
      <c r="V7" s="158"/>
    </row>
    <row r="8" spans="1:38" ht="15.75" customHeight="1">
      <c r="B8" s="21"/>
      <c r="C8" s="245" t="s">
        <v>10</v>
      </c>
      <c r="D8" s="256">
        <f>'ETAT SURFACE - EVALUATION TRVX'!B20</f>
        <v>1741.7400000000002</v>
      </c>
      <c r="E8" s="251"/>
      <c r="F8" s="261">
        <f>F14/D8</f>
        <v>417.60617759434979</v>
      </c>
      <c r="G8" s="442" t="s">
        <v>11</v>
      </c>
      <c r="H8" s="442"/>
      <c r="I8" s="442"/>
      <c r="J8" s="61"/>
      <c r="K8" s="109">
        <f>'ACQUISITION FINANCEMENT'!F4</f>
        <v>9500000</v>
      </c>
      <c r="L8" s="22">
        <f t="shared" ref="L8:L13" si="0">K8/$D$8</f>
        <v>5454.3157991433845</v>
      </c>
      <c r="M8" s="265"/>
      <c r="N8" s="268" t="s">
        <v>54</v>
      </c>
      <c r="O8" s="69">
        <f>2020</f>
        <v>2020</v>
      </c>
      <c r="P8" s="23"/>
      <c r="Q8" s="23"/>
      <c r="R8" s="23"/>
      <c r="S8" s="24"/>
    </row>
    <row r="9" spans="1:38" ht="15.75" customHeight="1">
      <c r="B9" s="21"/>
      <c r="C9" s="25"/>
      <c r="D9" s="257"/>
      <c r="E9" s="252"/>
      <c r="F9" s="262"/>
      <c r="G9" s="443" t="s">
        <v>12</v>
      </c>
      <c r="H9" s="443"/>
      <c r="I9" s="443"/>
      <c r="J9" s="26"/>
      <c r="K9" s="30">
        <f>D23</f>
        <v>570000</v>
      </c>
      <c r="L9" s="22">
        <f t="shared" si="0"/>
        <v>327.25894794860307</v>
      </c>
      <c r="M9" s="266"/>
      <c r="N9" s="25" t="s">
        <v>13</v>
      </c>
      <c r="O9" s="21">
        <f>'ACQUISITION FINANCEMENT'!B14</f>
        <v>0.7</v>
      </c>
      <c r="P9" s="27">
        <f>K8*O9</f>
        <v>6650000</v>
      </c>
      <c r="Q9" s="28" t="s">
        <v>14</v>
      </c>
      <c r="R9" s="203">
        <f>'ACQUISITION FINANCEMENT'!C25</f>
        <v>0.01</v>
      </c>
      <c r="S9" s="29"/>
    </row>
    <row r="10" spans="1:38" ht="15.75" customHeight="1">
      <c r="B10" s="21"/>
      <c r="C10" s="25"/>
      <c r="D10" s="257"/>
      <c r="E10" s="252"/>
      <c r="F10" s="262"/>
      <c r="G10" s="443" t="s">
        <v>15</v>
      </c>
      <c r="H10" s="443"/>
      <c r="I10" s="443"/>
      <c r="J10" s="243"/>
      <c r="K10" s="30">
        <f>SUM(A24:A26)</f>
        <v>2232786.6024097754</v>
      </c>
      <c r="L10" s="22">
        <f t="shared" si="0"/>
        <v>1281.9287622778229</v>
      </c>
      <c r="M10" s="266"/>
      <c r="N10" s="25" t="s">
        <v>16</v>
      </c>
      <c r="O10" s="21">
        <f>'ACQUISITION FINANCEMENT'!B17</f>
        <v>0.9</v>
      </c>
      <c r="P10" s="27">
        <f>K11*O10</f>
        <v>462431.97000000003</v>
      </c>
      <c r="Q10" s="6"/>
      <c r="R10" s="6"/>
      <c r="S10" s="29"/>
    </row>
    <row r="11" spans="1:38" ht="15.75" customHeight="1">
      <c r="B11" s="21"/>
      <c r="C11" s="25"/>
      <c r="D11" s="257"/>
      <c r="E11" s="252"/>
      <c r="F11" s="262"/>
      <c r="G11" s="443" t="s">
        <v>17</v>
      </c>
      <c r="H11" s="443"/>
      <c r="I11" s="443"/>
      <c r="J11" s="244"/>
      <c r="K11" s="244">
        <f>'ACQUISITION FINANCEMENT'!F7</f>
        <v>513813.30000000005</v>
      </c>
      <c r="L11" s="22">
        <f>K11/$D$8</f>
        <v>295</v>
      </c>
      <c r="M11" s="266"/>
      <c r="N11" s="25" t="s">
        <v>18</v>
      </c>
      <c r="O11" s="103">
        <v>25</v>
      </c>
      <c r="P11" s="28"/>
      <c r="Q11" s="31" t="s">
        <v>19</v>
      </c>
      <c r="R11" s="203">
        <f>'ACQUISITION FINANCEMENT'!C26</f>
        <v>0.01</v>
      </c>
      <c r="S11" s="29"/>
    </row>
    <row r="12" spans="1:38" ht="15.75" customHeight="1" thickBot="1">
      <c r="B12" s="21"/>
      <c r="C12" s="32"/>
      <c r="D12" s="257"/>
      <c r="E12" s="253"/>
      <c r="F12" s="263"/>
      <c r="G12" s="444" t="s">
        <v>20</v>
      </c>
      <c r="H12" s="444"/>
      <c r="I12" s="444"/>
      <c r="J12" s="30"/>
      <c r="K12" s="30">
        <f>A38</f>
        <v>3226199.141592002</v>
      </c>
      <c r="L12" s="22">
        <f t="shared" si="0"/>
        <v>1852.2851525440087</v>
      </c>
      <c r="M12" s="266"/>
      <c r="N12" s="269" t="s">
        <v>55</v>
      </c>
      <c r="O12" s="270">
        <f>O8+O11</f>
        <v>2045</v>
      </c>
      <c r="P12" s="28"/>
      <c r="Q12" s="37" t="s">
        <v>23</v>
      </c>
      <c r="R12" s="37" t="s">
        <v>23</v>
      </c>
      <c r="S12" s="29"/>
    </row>
    <row r="13" spans="1:38" ht="15.75" customHeight="1" thickBot="1">
      <c r="B13" s="21"/>
      <c r="C13" s="32"/>
      <c r="D13" s="258"/>
      <c r="E13" s="254"/>
      <c r="F13" s="264" t="s">
        <v>21</v>
      </c>
      <c r="G13" s="260" t="s">
        <v>22</v>
      </c>
      <c r="H13" s="33"/>
      <c r="I13" s="34"/>
      <c r="J13" s="34"/>
      <c r="K13" s="35">
        <f>SUM(I8:K12)</f>
        <v>16042799.044001779</v>
      </c>
      <c r="L13" s="22">
        <f t="shared" si="0"/>
        <v>9210.7886619138189</v>
      </c>
      <c r="M13" s="36"/>
      <c r="N13" s="25" t="s">
        <v>132</v>
      </c>
      <c r="O13" s="105">
        <f>'ACQUISITION FINANCEMENT'!C23</f>
        <v>2.8000000000000001E-2</v>
      </c>
      <c r="P13" s="36"/>
      <c r="Q13" s="6" t="s">
        <v>133</v>
      </c>
      <c r="R13" s="271">
        <f>'ACQUISITION FINANCEMENT'!C22</f>
        <v>0.03</v>
      </c>
      <c r="S13" s="29"/>
      <c r="AA13" s="6"/>
      <c r="AB13" s="6"/>
      <c r="AC13" s="6"/>
      <c r="AD13" s="6"/>
      <c r="AE13" s="6"/>
      <c r="AF13" s="6"/>
      <c r="AG13" s="6"/>
    </row>
    <row r="14" spans="1:38" ht="15.75" customHeight="1">
      <c r="B14" s="21"/>
      <c r="C14" s="246" t="s">
        <v>24</v>
      </c>
      <c r="D14" s="259"/>
      <c r="E14" s="255"/>
      <c r="F14" s="264">
        <f>MAX(F17:AE17)</f>
        <v>727361.38376318291</v>
      </c>
      <c r="G14" s="441" t="s">
        <v>25</v>
      </c>
      <c r="H14" s="441"/>
      <c r="I14" s="39"/>
      <c r="J14" s="39"/>
      <c r="K14" s="36">
        <f>F14/K13</f>
        <v>4.5338807883100372E-2</v>
      </c>
      <c r="L14" s="28"/>
      <c r="M14" s="267"/>
      <c r="N14" s="25" t="s">
        <v>26</v>
      </c>
      <c r="O14" s="106">
        <f>'ACQUISITION FINANCEMENT'!C24</f>
        <v>0.6</v>
      </c>
      <c r="P14" s="27">
        <f>(P9+P10)*O14</f>
        <v>4267459.182</v>
      </c>
      <c r="Q14" s="28" t="s">
        <v>130</v>
      </c>
      <c r="R14" s="242"/>
      <c r="S14" s="29"/>
      <c r="U14" s="6"/>
      <c r="V14" s="6"/>
      <c r="W14" s="6"/>
      <c r="X14" s="6"/>
      <c r="Y14" s="6"/>
      <c r="Z14" s="6"/>
      <c r="AA14" s="6"/>
      <c r="AB14" s="6"/>
      <c r="AC14" s="6"/>
      <c r="AD14" s="6"/>
      <c r="AE14" s="6"/>
      <c r="AF14" s="6"/>
      <c r="AG14" s="6"/>
    </row>
    <row r="15" spans="1:38" ht="15" thickBot="1">
      <c r="B15" s="21"/>
      <c r="C15" s="9"/>
      <c r="D15" s="9"/>
      <c r="E15" s="13"/>
      <c r="F15" s="282"/>
      <c r="G15" s="70"/>
      <c r="H15" s="38"/>
      <c r="I15" s="6"/>
      <c r="J15" s="6"/>
      <c r="K15" s="38"/>
      <c r="L15" s="38"/>
      <c r="M15" s="38"/>
      <c r="N15" s="276" t="s">
        <v>129</v>
      </c>
      <c r="O15" s="21">
        <f>1-O14</f>
        <v>0.4</v>
      </c>
      <c r="P15" s="277">
        <f>(P9+P10)*O15</f>
        <v>2844972.7880000002</v>
      </c>
      <c r="Q15" s="38" t="s">
        <v>131</v>
      </c>
      <c r="R15" s="242">
        <v>2</v>
      </c>
      <c r="S15" s="278"/>
      <c r="U15" s="6"/>
      <c r="V15" s="6"/>
      <c r="W15" s="6"/>
      <c r="X15" s="6"/>
      <c r="Y15" s="6"/>
      <c r="Z15" s="6"/>
      <c r="AA15" s="6"/>
      <c r="AB15" s="6"/>
      <c r="AC15" s="6"/>
      <c r="AD15" s="6"/>
      <c r="AE15" s="6"/>
      <c r="AF15" s="6"/>
      <c r="AG15" s="6"/>
    </row>
    <row r="16" spans="1:38" ht="28.5" customHeight="1" thickBot="1">
      <c r="A16" s="68" t="s">
        <v>52</v>
      </c>
      <c r="B16" s="40"/>
      <c r="C16" s="65"/>
      <c r="D16" s="66">
        <v>0</v>
      </c>
      <c r="E16" s="66">
        <v>2019</v>
      </c>
      <c r="F16" s="67">
        <f>O8</f>
        <v>2020</v>
      </c>
      <c r="G16" s="72">
        <f>IF($O$11&gt;=1,F16+1,"")</f>
        <v>2021</v>
      </c>
      <c r="H16" s="72">
        <f>IF($O$11&gt;=2,G16+1,"")</f>
        <v>2022</v>
      </c>
      <c r="I16" s="72">
        <f>IF($O$11&gt;=3,H16+1,"")</f>
        <v>2023</v>
      </c>
      <c r="J16" s="72">
        <f>IF($O$11&gt;=4,I16+1,"")</f>
        <v>2024</v>
      </c>
      <c r="K16" s="72">
        <f>IF($O$11&gt;=5,J16+1,"")</f>
        <v>2025</v>
      </c>
      <c r="L16" s="72">
        <f>IF($O$11&gt;=6,K16+1,"")</f>
        <v>2026</v>
      </c>
      <c r="M16" s="72">
        <f>IF($O$11&gt;=7,L16+1,"")</f>
        <v>2027</v>
      </c>
      <c r="N16" s="72">
        <f>IF($O$11&gt;=8,M16+1,"")</f>
        <v>2028</v>
      </c>
      <c r="O16" s="72">
        <f>IF($O$11&gt;=9,N16+1,"")</f>
        <v>2029</v>
      </c>
      <c r="P16" s="72">
        <f>IF($O$11&gt;=10,O16+1,"")</f>
        <v>2030</v>
      </c>
      <c r="Q16" s="72">
        <f>IF($O$11&gt;=11,P16+1,"")</f>
        <v>2031</v>
      </c>
      <c r="R16" s="72">
        <f>IF($O$11&gt;=12,Q16+1,"")</f>
        <v>2032</v>
      </c>
      <c r="S16" s="72">
        <f>IF($O$11&gt;=13,R16+1,"")</f>
        <v>2033</v>
      </c>
      <c r="T16" s="72">
        <f>IF($O$11&gt;=14,S16+1,"")</f>
        <v>2034</v>
      </c>
      <c r="U16" s="72">
        <f>IF($O$11&gt;=15,T16+1,"")</f>
        <v>2035</v>
      </c>
      <c r="V16" s="72">
        <f>IF($O$11&gt;=16,U16+1,"")</f>
        <v>2036</v>
      </c>
      <c r="W16" s="72">
        <f>IF($O$11&gt;=17,V16+1,"")</f>
        <v>2037</v>
      </c>
      <c r="X16" s="72">
        <f>IF($O$11&gt;=18,W16+1,"")</f>
        <v>2038</v>
      </c>
      <c r="Y16" s="72">
        <f>IF($O$11&gt;=19,X16+1,"")</f>
        <v>2039</v>
      </c>
      <c r="Z16" s="72">
        <f>IF($O$11&gt;=20,Y16+1,"")</f>
        <v>2040</v>
      </c>
      <c r="AA16" s="72">
        <f>IF($O$11&gt;=21,Z16+1,"")</f>
        <v>2041</v>
      </c>
      <c r="AB16" s="72">
        <f>IF($O$11&gt;=22,AA16+1,"")</f>
        <v>2042</v>
      </c>
      <c r="AC16" s="72">
        <f>IF($O$11&gt;=23,AB16+1,"")</f>
        <v>2043</v>
      </c>
      <c r="AD16" s="72">
        <f>IF($O$11&gt;=24,AC16+1,"")</f>
        <v>2044</v>
      </c>
      <c r="AE16" s="73">
        <f>IF($O$11&gt;=25,AD16+1,"")</f>
        <v>2045</v>
      </c>
      <c r="AF16" s="290"/>
      <c r="AG16" s="6"/>
      <c r="AH16" s="6"/>
      <c r="AI16" s="6"/>
      <c r="AJ16" s="6"/>
      <c r="AK16" s="6"/>
      <c r="AL16" s="6"/>
    </row>
    <row r="17" spans="1:133" ht="26.25" customHeight="1">
      <c r="A17" s="235">
        <f>SUM(D17:AE17)</f>
        <v>16231554.760081461</v>
      </c>
      <c r="C17" s="219" t="s">
        <v>27</v>
      </c>
      <c r="D17" s="220">
        <v>0</v>
      </c>
      <c r="E17" s="164"/>
      <c r="F17" s="416">
        <f>LOCATION!D14</f>
        <v>475711</v>
      </c>
      <c r="G17" s="416">
        <f>IF($O$11&gt;=1,LOCATION!E14,"")</f>
        <v>475711</v>
      </c>
      <c r="H17" s="416">
        <f>IF($O$11&gt;=2,LOCATION!F14,"")</f>
        <v>475711</v>
      </c>
      <c r="I17" s="416">
        <f>IF($O$11&gt;=3,LOCATION!G14,"")</f>
        <v>475711</v>
      </c>
      <c r="J17" s="416">
        <f>IF($O$11&gt;=4,LOCATION!H14,"")</f>
        <v>475711</v>
      </c>
      <c r="K17" s="416">
        <f>IF($O$11&gt;=5,LOCATION!I14,"")</f>
        <v>596105</v>
      </c>
      <c r="L17" s="416">
        <f>IF($O$11&gt;=6,K17+(K17*$R$9),"")</f>
        <v>602066.05000000005</v>
      </c>
      <c r="M17" s="416">
        <f>IF($O$11&gt;=7,L17+(L17*$R$9),"")</f>
        <v>608086.71050000004</v>
      </c>
      <c r="N17" s="416">
        <f>IF($O$11&gt;=8,M17+(M17*$R$9),"")</f>
        <v>614167.577605</v>
      </c>
      <c r="O17" s="416">
        <f>IF($O$11&gt;=9,N17+(N17*$R$9),"")</f>
        <v>620309.25338104996</v>
      </c>
      <c r="P17" s="416">
        <f>IF($O$11&gt;=10,O17+(O17*$R$9),"")</f>
        <v>626512.34591486049</v>
      </c>
      <c r="Q17" s="416">
        <f>IF($O$11&gt;=11,P17+(P17*$R$9),"")</f>
        <v>632777.46937400906</v>
      </c>
      <c r="R17" s="416">
        <f>IF($O$11&gt;=12,Q17+(Q17*$R$9),"")</f>
        <v>639105.24406774912</v>
      </c>
      <c r="S17" s="416">
        <f>IF($O$11&gt;=13,R17+(R17*$R$9),"")</f>
        <v>645496.29650842666</v>
      </c>
      <c r="T17" s="416">
        <f>IF($O$11&gt;=14,S17+(S17*$R$9),"")</f>
        <v>651951.2594735109</v>
      </c>
      <c r="U17" s="416">
        <f>IF($O$11&gt;=15,T17+(T17*$R$9),"")</f>
        <v>658470.77206824603</v>
      </c>
      <c r="V17" s="416">
        <f t="shared" ref="V17:AE17" si="1">IF($O$11&gt;=15,U17+(U17*$R$9),"")</f>
        <v>665055.47978892853</v>
      </c>
      <c r="W17" s="416">
        <f t="shared" si="1"/>
        <v>671706.03458681784</v>
      </c>
      <c r="X17" s="416">
        <f t="shared" si="1"/>
        <v>678423.09493268607</v>
      </c>
      <c r="Y17" s="416">
        <f t="shared" si="1"/>
        <v>685207.32588201296</v>
      </c>
      <c r="Z17" s="416">
        <f t="shared" si="1"/>
        <v>692059.39914083306</v>
      </c>
      <c r="AA17" s="416">
        <f t="shared" si="1"/>
        <v>698979.99313224142</v>
      </c>
      <c r="AB17" s="416">
        <f t="shared" si="1"/>
        <v>705969.79306356388</v>
      </c>
      <c r="AC17" s="416">
        <f t="shared" si="1"/>
        <v>713029.49099419953</v>
      </c>
      <c r="AD17" s="416">
        <f t="shared" si="1"/>
        <v>720159.78590414149</v>
      </c>
      <c r="AE17" s="421">
        <f t="shared" si="1"/>
        <v>727361.38376318291</v>
      </c>
      <c r="AF17" s="428"/>
      <c r="AG17" s="6"/>
      <c r="AH17" s="6"/>
      <c r="AI17" s="6"/>
      <c r="AJ17" s="6"/>
      <c r="AK17" s="6"/>
      <c r="AL17" s="6"/>
    </row>
    <row r="18" spans="1:133" ht="16">
      <c r="A18" s="235"/>
      <c r="B18" s="63"/>
      <c r="C18" s="247" t="s">
        <v>28</v>
      </c>
      <c r="D18" s="41"/>
      <c r="E18" s="165">
        <v>0</v>
      </c>
      <c r="F18" s="166">
        <f>$R$9</f>
        <v>0.01</v>
      </c>
      <c r="G18" s="166">
        <f>IF($O$11&gt;=1,$R$9,"")</f>
        <v>0.01</v>
      </c>
      <c r="H18" s="166">
        <f>IF($O$11&gt;=2,$R$9,"")</f>
        <v>0.01</v>
      </c>
      <c r="I18" s="166">
        <f>IF($O$11&gt;=3,$R$9,"")</f>
        <v>0.01</v>
      </c>
      <c r="J18" s="166">
        <f>IF($O$11&gt;=4,$R$9,"")</f>
        <v>0.01</v>
      </c>
      <c r="K18" s="166">
        <f>IF($O$11&gt;=5,$R$9,"")</f>
        <v>0.01</v>
      </c>
      <c r="L18" s="166">
        <f>IF($O$11&gt;=6,$R$9,"")</f>
        <v>0.01</v>
      </c>
      <c r="M18" s="166">
        <f>IF($O$11&gt;=7,$R$9,"")</f>
        <v>0.01</v>
      </c>
      <c r="N18" s="166">
        <f>IF($O$11&gt;=8,$R$9,"")</f>
        <v>0.01</v>
      </c>
      <c r="O18" s="166">
        <f>IF($O$11&gt;=9,$R$9,"")</f>
        <v>0.01</v>
      </c>
      <c r="P18" s="166">
        <f>IF($O$11&gt;=10,$R$9,"")</f>
        <v>0.01</v>
      </c>
      <c r="Q18" s="166">
        <f>IF($O$11&gt;=11,$R$9,"")</f>
        <v>0.01</v>
      </c>
      <c r="R18" s="166">
        <f>IF($O$11&gt;=12,$R$9,"")</f>
        <v>0.01</v>
      </c>
      <c r="S18" s="166">
        <f>IF($O$11&gt;=13,$R$9,"")</f>
        <v>0.01</v>
      </c>
      <c r="T18" s="166">
        <f>IF($O$11&gt;=14,$R$9,"")</f>
        <v>0.01</v>
      </c>
      <c r="U18" s="166">
        <f>IF($O$11&gt;=15,$R$9,"")</f>
        <v>0.01</v>
      </c>
      <c r="V18" s="166">
        <f>IF($O$11&gt;=16,$R$9,"")</f>
        <v>0.01</v>
      </c>
      <c r="W18" s="166">
        <f>IF($O$11&gt;=17,$R$9,"")</f>
        <v>0.01</v>
      </c>
      <c r="X18" s="166">
        <f>IF($O$11&gt;=18,$R$9,"")</f>
        <v>0.01</v>
      </c>
      <c r="Y18" s="166">
        <f>IF($O$11&gt;=19,$R$9,"")</f>
        <v>0.01</v>
      </c>
      <c r="Z18" s="166">
        <f>IF($O$11&gt;=20,$R$9,"")</f>
        <v>0.01</v>
      </c>
      <c r="AA18" s="166">
        <f>IF($O$11&gt;=21,$R$9,"")</f>
        <v>0.01</v>
      </c>
      <c r="AB18" s="166">
        <f>IF($O$11&gt;=22,$R$9,"")</f>
        <v>0.01</v>
      </c>
      <c r="AC18" s="166">
        <f>IF($O$11&gt;=23,$R$9,"")</f>
        <v>0.01</v>
      </c>
      <c r="AD18" s="166">
        <f>IF($O$11&gt;=24,$R$9,"")</f>
        <v>0.01</v>
      </c>
      <c r="AE18" s="167">
        <f>IF($O$11&gt;=25,$R$9,"")</f>
        <v>0.01</v>
      </c>
      <c r="AF18" s="290"/>
      <c r="AG18" s="6"/>
      <c r="AH18" s="6"/>
      <c r="AI18" s="6"/>
      <c r="AJ18" s="6"/>
      <c r="AK18" s="6"/>
      <c r="AL18" s="6"/>
    </row>
    <row r="19" spans="1:133" ht="16" outlineLevel="1">
      <c r="A19" s="235">
        <f t="shared" ref="A19:A25" si="2">SUM(D19:AE19)</f>
        <v>7255216.8243642496</v>
      </c>
      <c r="B19" s="64"/>
      <c r="C19" s="42" t="s">
        <v>29</v>
      </c>
      <c r="D19" s="43">
        <f>'ACQUISITION FINANCEMENT'!C14</f>
        <v>7255216.8243642496</v>
      </c>
      <c r="E19" s="168"/>
      <c r="F19" s="169"/>
      <c r="G19" s="170"/>
      <c r="H19" s="169"/>
      <c r="I19" s="169"/>
      <c r="J19" s="169"/>
      <c r="K19" s="171"/>
      <c r="L19" s="169"/>
      <c r="M19" s="169"/>
      <c r="N19" s="169"/>
      <c r="O19" s="169"/>
      <c r="P19" s="169"/>
      <c r="Q19" s="169"/>
      <c r="R19" s="169"/>
      <c r="S19" s="169"/>
      <c r="T19" s="169"/>
      <c r="U19" s="169"/>
      <c r="V19" s="169"/>
      <c r="W19" s="169"/>
      <c r="X19" s="169"/>
      <c r="Y19" s="169"/>
      <c r="Z19" s="169"/>
      <c r="AA19" s="169"/>
      <c r="AB19" s="169"/>
      <c r="AC19" s="169"/>
      <c r="AD19" s="169"/>
      <c r="AE19" s="172"/>
      <c r="AF19" s="290"/>
      <c r="AG19" s="6"/>
      <c r="AH19" s="6"/>
      <c r="AI19" s="6"/>
      <c r="AJ19" s="6"/>
      <c r="AK19" s="6"/>
      <c r="AL19" s="6"/>
    </row>
    <row r="20" spans="1:133" ht="17" outlineLevel="1" thickBot="1">
      <c r="A20" s="235">
        <f t="shared" si="2"/>
        <v>462431.97000000003</v>
      </c>
      <c r="B20" s="62"/>
      <c r="C20" s="42" t="s">
        <v>16</v>
      </c>
      <c r="D20" s="43"/>
      <c r="E20" s="214">
        <f>'ACQUISITION FINANCEMENT'!C17</f>
        <v>462431.97000000003</v>
      </c>
      <c r="F20" s="215"/>
      <c r="G20" s="216"/>
      <c r="H20" s="215"/>
      <c r="I20" s="215"/>
      <c r="J20" s="215"/>
      <c r="K20" s="215"/>
      <c r="L20" s="195"/>
      <c r="M20" s="195"/>
      <c r="N20" s="195"/>
      <c r="O20" s="195"/>
      <c r="P20" s="195"/>
      <c r="Q20" s="195"/>
      <c r="R20" s="195"/>
      <c r="S20" s="195"/>
      <c r="T20" s="195"/>
      <c r="U20" s="195"/>
      <c r="V20" s="195"/>
      <c r="W20" s="195"/>
      <c r="X20" s="195"/>
      <c r="Y20" s="195"/>
      <c r="Z20" s="195"/>
      <c r="AA20" s="195"/>
      <c r="AB20" s="195"/>
      <c r="AC20" s="195"/>
      <c r="AD20" s="195"/>
      <c r="AE20" s="196"/>
      <c r="AF20" s="290"/>
      <c r="AG20" s="6"/>
      <c r="AH20" s="6"/>
      <c r="AI20" s="6"/>
      <c r="AJ20" s="6"/>
      <c r="AK20" s="6"/>
      <c r="AL20" s="6"/>
    </row>
    <row r="21" spans="1:133" ht="17" thickBot="1">
      <c r="A21" s="236">
        <f t="shared" si="2"/>
        <v>23949203.814445704</v>
      </c>
      <c r="B21" s="161"/>
      <c r="C21" s="60" t="s">
        <v>30</v>
      </c>
      <c r="D21" s="44">
        <f>SUM(D19:D20)</f>
        <v>7255216.8243642496</v>
      </c>
      <c r="E21" s="204">
        <f>SUM(E19:E20)</f>
        <v>462431.97000000003</v>
      </c>
      <c r="F21" s="173">
        <f>SUM(F17:F20)</f>
        <v>475711.01</v>
      </c>
      <c r="G21" s="173">
        <f>SUM(G17:G20)</f>
        <v>475711.01</v>
      </c>
      <c r="H21" s="173">
        <f>SUM(H17:H20)</f>
        <v>475711.01</v>
      </c>
      <c r="I21" s="173">
        <f>SUM(I17:I20)</f>
        <v>475711.01</v>
      </c>
      <c r="J21" s="173">
        <f t="shared" ref="J21:AE21" si="3">SUM(J17:J20)</f>
        <v>475711.01</v>
      </c>
      <c r="K21" s="173">
        <f t="shared" si="3"/>
        <v>596105.01</v>
      </c>
      <c r="L21" s="173">
        <f t="shared" si="3"/>
        <v>602066.06000000006</v>
      </c>
      <c r="M21" s="173">
        <f t="shared" si="3"/>
        <v>608086.72050000005</v>
      </c>
      <c r="N21" s="173">
        <f t="shared" si="3"/>
        <v>614167.58760500001</v>
      </c>
      <c r="O21" s="173">
        <f t="shared" si="3"/>
        <v>620309.26338104997</v>
      </c>
      <c r="P21" s="173">
        <f t="shared" si="3"/>
        <v>626512.3559148605</v>
      </c>
      <c r="Q21" s="173">
        <f t="shared" si="3"/>
        <v>632777.47937400907</v>
      </c>
      <c r="R21" s="173">
        <f t="shared" si="3"/>
        <v>639105.25406774913</v>
      </c>
      <c r="S21" s="173">
        <f t="shared" si="3"/>
        <v>645496.30650842667</v>
      </c>
      <c r="T21" s="173">
        <f t="shared" si="3"/>
        <v>651951.26947351091</v>
      </c>
      <c r="U21" s="173">
        <f t="shared" si="3"/>
        <v>658470.78206824604</v>
      </c>
      <c r="V21" s="173">
        <f t="shared" si="3"/>
        <v>665055.48978892853</v>
      </c>
      <c r="W21" s="173">
        <f t="shared" si="3"/>
        <v>671706.04458681785</v>
      </c>
      <c r="X21" s="173">
        <f t="shared" si="3"/>
        <v>678423.10493268608</v>
      </c>
      <c r="Y21" s="173">
        <f t="shared" si="3"/>
        <v>685207.33588201297</v>
      </c>
      <c r="Z21" s="173">
        <f t="shared" si="3"/>
        <v>692059.40914083307</v>
      </c>
      <c r="AA21" s="173">
        <f t="shared" si="3"/>
        <v>698980.00313224143</v>
      </c>
      <c r="AB21" s="173">
        <f t="shared" si="3"/>
        <v>705969.80306356389</v>
      </c>
      <c r="AC21" s="173">
        <f t="shared" si="3"/>
        <v>713029.50099419954</v>
      </c>
      <c r="AD21" s="173">
        <f t="shared" si="3"/>
        <v>720159.7959041415</v>
      </c>
      <c r="AE21" s="174">
        <f t="shared" si="3"/>
        <v>727361.39376318292</v>
      </c>
      <c r="AF21" s="290"/>
      <c r="AG21" s="6"/>
      <c r="AH21" s="6"/>
      <c r="AI21" s="6"/>
      <c r="AJ21" s="6"/>
      <c r="AK21" s="6"/>
      <c r="AL21" s="6"/>
    </row>
    <row r="22" spans="1:133" ht="34" outlineLevel="1">
      <c r="A22" s="237">
        <f t="shared" si="2"/>
        <v>9500000</v>
      </c>
      <c r="B22" s="227"/>
      <c r="C22" s="217" t="s">
        <v>31</v>
      </c>
      <c r="D22" s="429">
        <f>'ACQUISITION FINANCEMENT'!F4</f>
        <v>9500000</v>
      </c>
      <c r="E22" s="430"/>
      <c r="F22" s="417"/>
      <c r="G22" s="417"/>
      <c r="H22" s="417"/>
      <c r="I22" s="417"/>
      <c r="J22" s="417"/>
      <c r="K22" s="417"/>
      <c r="L22" s="420"/>
      <c r="M22" s="420"/>
      <c r="N22" s="420"/>
      <c r="O22" s="420"/>
      <c r="P22" s="420"/>
      <c r="Q22" s="420"/>
      <c r="R22" s="420"/>
      <c r="S22" s="420"/>
      <c r="T22" s="420"/>
      <c r="U22" s="420"/>
      <c r="V22" s="420"/>
      <c r="W22" s="420"/>
      <c r="X22" s="420"/>
      <c r="Y22" s="420"/>
      <c r="Z22" s="420"/>
      <c r="AA22" s="420"/>
      <c r="AB22" s="420"/>
      <c r="AC22" s="420"/>
      <c r="AD22" s="420"/>
      <c r="AE22" s="422"/>
      <c r="AF22" s="290"/>
      <c r="AG22" s="6"/>
      <c r="AH22" s="6"/>
      <c r="AI22" s="6"/>
      <c r="AJ22" s="6"/>
      <c r="AK22" s="6"/>
      <c r="AL22" s="6"/>
    </row>
    <row r="23" spans="1:133" ht="16" outlineLevel="1">
      <c r="A23" s="237">
        <f t="shared" si="2"/>
        <v>570000</v>
      </c>
      <c r="B23" s="228">
        <f>'ACQUISITION FINANCEMENT'!C27</f>
        <v>0.06</v>
      </c>
      <c r="C23" s="42" t="s">
        <v>32</v>
      </c>
      <c r="D23" s="45">
        <f>$B23*D$22</f>
        <v>570000</v>
      </c>
      <c r="E23" s="175"/>
      <c r="F23" s="176"/>
      <c r="G23" s="176">
        <f>$B23*G$22</f>
        <v>0</v>
      </c>
      <c r="H23" s="176">
        <f t="shared" ref="H23:I23" si="4">$B23*H$22</f>
        <v>0</v>
      </c>
      <c r="I23" s="176">
        <f t="shared" si="4"/>
        <v>0</v>
      </c>
      <c r="J23" s="176"/>
      <c r="K23" s="176"/>
      <c r="L23" s="169"/>
      <c r="M23" s="169"/>
      <c r="N23" s="169"/>
      <c r="O23" s="169"/>
      <c r="P23" s="169"/>
      <c r="Q23" s="169"/>
      <c r="R23" s="169"/>
      <c r="S23" s="169"/>
      <c r="T23" s="169"/>
      <c r="U23" s="169"/>
      <c r="V23" s="169"/>
      <c r="W23" s="169"/>
      <c r="X23" s="169"/>
      <c r="Y23" s="169"/>
      <c r="Z23" s="169"/>
      <c r="AA23" s="169"/>
      <c r="AB23" s="169"/>
      <c r="AC23" s="169"/>
      <c r="AD23" s="169"/>
      <c r="AE23" s="172"/>
      <c r="AF23" s="290"/>
      <c r="AG23" s="6"/>
      <c r="AH23" s="6"/>
      <c r="AI23" s="6"/>
      <c r="AJ23" s="6"/>
      <c r="AK23" s="6"/>
      <c r="AL23" s="6"/>
    </row>
    <row r="24" spans="1:133" ht="16" outlineLevel="1">
      <c r="A24" s="237">
        <f t="shared" si="2"/>
        <v>285000</v>
      </c>
      <c r="B24" s="228">
        <f>'ACQUISITION FINANCEMENT'!C29</f>
        <v>0.03</v>
      </c>
      <c r="C24" s="42" t="s">
        <v>33</v>
      </c>
      <c r="D24" s="45">
        <f>$B24*D$22</f>
        <v>285000</v>
      </c>
      <c r="E24" s="177">
        <f>E17*$B$24</f>
        <v>0</v>
      </c>
      <c r="F24" s="178"/>
      <c r="G24" s="178"/>
      <c r="H24" s="178"/>
      <c r="I24" s="178"/>
      <c r="J24" s="178"/>
      <c r="K24" s="178"/>
      <c r="L24" s="178"/>
      <c r="M24" s="178"/>
      <c r="N24" s="178"/>
      <c r="O24" s="178"/>
      <c r="P24" s="178"/>
      <c r="Q24" s="178"/>
      <c r="R24" s="178"/>
      <c r="S24" s="178"/>
      <c r="T24" s="178"/>
      <c r="U24" s="178"/>
      <c r="V24" s="178"/>
      <c r="W24" s="178"/>
      <c r="X24" s="178"/>
      <c r="Y24" s="178"/>
      <c r="Z24" s="178"/>
      <c r="AA24" s="178"/>
      <c r="AB24" s="178"/>
      <c r="AC24" s="178"/>
      <c r="AD24" s="178"/>
      <c r="AE24" s="179"/>
      <c r="AF24" s="290"/>
      <c r="AG24" s="6"/>
      <c r="AH24" s="6"/>
      <c r="AI24" s="6"/>
      <c r="AJ24" s="6"/>
      <c r="AK24" s="6"/>
      <c r="AL24" s="6"/>
    </row>
    <row r="25" spans="1:133" ht="34" outlineLevel="1">
      <c r="A25" s="237">
        <f t="shared" si="2"/>
        <v>1136208.8514057023</v>
      </c>
      <c r="B25" s="228">
        <f>'ACQUISITION FINANCEMENT'!C30</f>
        <v>7.0000000000000007E-2</v>
      </c>
      <c r="C25" s="217" t="s">
        <v>34</v>
      </c>
      <c r="D25" s="45"/>
      <c r="E25" s="175">
        <f>E17*B25</f>
        <v>0</v>
      </c>
      <c r="F25" s="176">
        <f>F21*$B$25</f>
        <v>33299.770700000001</v>
      </c>
      <c r="G25" s="176">
        <f t="shared" ref="G25:AE25" si="5">G21*$B$25</f>
        <v>33299.770700000001</v>
      </c>
      <c r="H25" s="176">
        <f t="shared" si="5"/>
        <v>33299.770700000001</v>
      </c>
      <c r="I25" s="176">
        <f t="shared" si="5"/>
        <v>33299.770700000001</v>
      </c>
      <c r="J25" s="176">
        <f t="shared" si="5"/>
        <v>33299.770700000001</v>
      </c>
      <c r="K25" s="176">
        <f t="shared" si="5"/>
        <v>41727.350700000003</v>
      </c>
      <c r="L25" s="176">
        <f t="shared" si="5"/>
        <v>42144.624200000006</v>
      </c>
      <c r="M25" s="176">
        <f t="shared" si="5"/>
        <v>42566.070435000009</v>
      </c>
      <c r="N25" s="176">
        <f t="shared" si="5"/>
        <v>42991.731132350003</v>
      </c>
      <c r="O25" s="176">
        <f t="shared" si="5"/>
        <v>43421.648436673502</v>
      </c>
      <c r="P25" s="176">
        <f t="shared" si="5"/>
        <v>43855.864914040241</v>
      </c>
      <c r="Q25" s="176">
        <f t="shared" si="5"/>
        <v>44294.423556180642</v>
      </c>
      <c r="R25" s="176">
        <f t="shared" si="5"/>
        <v>44737.367784742441</v>
      </c>
      <c r="S25" s="176">
        <f t="shared" si="5"/>
        <v>45184.741455589872</v>
      </c>
      <c r="T25" s="176">
        <f t="shared" si="5"/>
        <v>45636.588863145771</v>
      </c>
      <c r="U25" s="176">
        <f t="shared" si="5"/>
        <v>46092.954744777227</v>
      </c>
      <c r="V25" s="176">
        <f t="shared" si="5"/>
        <v>46553.884285225002</v>
      </c>
      <c r="W25" s="176">
        <f t="shared" si="5"/>
        <v>47019.423121077256</v>
      </c>
      <c r="X25" s="176">
        <f t="shared" si="5"/>
        <v>47489.617345288032</v>
      </c>
      <c r="Y25" s="176">
        <f t="shared" si="5"/>
        <v>47964.513511740915</v>
      </c>
      <c r="Z25" s="176">
        <f t="shared" si="5"/>
        <v>48444.158639858317</v>
      </c>
      <c r="AA25" s="176">
        <f t="shared" si="5"/>
        <v>48928.600219256907</v>
      </c>
      <c r="AB25" s="176">
        <f t="shared" si="5"/>
        <v>49417.886214449478</v>
      </c>
      <c r="AC25" s="176">
        <f t="shared" si="5"/>
        <v>49912.065069593969</v>
      </c>
      <c r="AD25" s="176">
        <f t="shared" si="5"/>
        <v>50411.185713289909</v>
      </c>
      <c r="AE25" s="180">
        <f t="shared" si="5"/>
        <v>50915.297563422806</v>
      </c>
      <c r="AF25" s="290"/>
      <c r="AG25" s="6"/>
      <c r="AH25" s="6"/>
      <c r="AI25" s="6"/>
      <c r="AJ25" s="6"/>
      <c r="AK25" s="6"/>
      <c r="AL25" s="6"/>
    </row>
    <row r="26" spans="1:133" ht="16" outlineLevel="1">
      <c r="A26" s="237">
        <f>SUM(D26:AE26)</f>
        <v>811577.75100407295</v>
      </c>
      <c r="B26" s="228">
        <f>'ACQUISITION FINANCEMENT'!C31</f>
        <v>0.05</v>
      </c>
      <c r="C26" s="42" t="s">
        <v>35</v>
      </c>
      <c r="D26" s="45"/>
      <c r="E26" s="177"/>
      <c r="F26" s="176">
        <f>$B$26*F21</f>
        <v>23785.550500000001</v>
      </c>
      <c r="G26" s="176">
        <f t="shared" ref="G26:AE26" si="6">$B$26*G21</f>
        <v>23785.550500000001</v>
      </c>
      <c r="H26" s="176">
        <f t="shared" si="6"/>
        <v>23785.550500000001</v>
      </c>
      <c r="I26" s="176">
        <f t="shared" si="6"/>
        <v>23785.550500000001</v>
      </c>
      <c r="J26" s="176">
        <f t="shared" si="6"/>
        <v>23785.550500000001</v>
      </c>
      <c r="K26" s="176">
        <f t="shared" si="6"/>
        <v>29805.250500000002</v>
      </c>
      <c r="L26" s="176">
        <f t="shared" si="6"/>
        <v>30103.303000000004</v>
      </c>
      <c r="M26" s="176">
        <f t="shared" si="6"/>
        <v>30404.336025000004</v>
      </c>
      <c r="N26" s="176">
        <f t="shared" si="6"/>
        <v>30708.37938025</v>
      </c>
      <c r="O26" s="176">
        <f t="shared" si="6"/>
        <v>31015.463169052498</v>
      </c>
      <c r="P26" s="176">
        <f t="shared" si="6"/>
        <v>31325.617795743026</v>
      </c>
      <c r="Q26" s="176">
        <f t="shared" si="6"/>
        <v>31638.873968700456</v>
      </c>
      <c r="R26" s="176">
        <f t="shared" si="6"/>
        <v>31955.26270338746</v>
      </c>
      <c r="S26" s="176">
        <f t="shared" si="6"/>
        <v>32274.815325421336</v>
      </c>
      <c r="T26" s="176">
        <f t="shared" si="6"/>
        <v>32597.563473675546</v>
      </c>
      <c r="U26" s="176">
        <f t="shared" si="6"/>
        <v>32923.539103412302</v>
      </c>
      <c r="V26" s="176">
        <f t="shared" si="6"/>
        <v>33252.774489446427</v>
      </c>
      <c r="W26" s="176">
        <f t="shared" si="6"/>
        <v>33585.302229340894</v>
      </c>
      <c r="X26" s="176">
        <f t="shared" si="6"/>
        <v>33921.155246634306</v>
      </c>
      <c r="Y26" s="176">
        <f t="shared" si="6"/>
        <v>34260.36679410065</v>
      </c>
      <c r="Z26" s="176">
        <f t="shared" si="6"/>
        <v>34602.970457041658</v>
      </c>
      <c r="AA26" s="176">
        <f t="shared" si="6"/>
        <v>34949.00015661207</v>
      </c>
      <c r="AB26" s="176">
        <f t="shared" si="6"/>
        <v>35298.490153178194</v>
      </c>
      <c r="AC26" s="176">
        <f t="shared" si="6"/>
        <v>35651.475049709981</v>
      </c>
      <c r="AD26" s="176">
        <f t="shared" si="6"/>
        <v>36007.989795207075</v>
      </c>
      <c r="AE26" s="180">
        <f t="shared" si="6"/>
        <v>36368.06968815915</v>
      </c>
      <c r="AF26" s="290"/>
      <c r="AG26" s="6"/>
      <c r="AH26" s="6"/>
      <c r="AI26" s="6"/>
      <c r="AJ26" s="6"/>
      <c r="AK26" s="6"/>
      <c r="AL26" s="6"/>
    </row>
    <row r="27" spans="1:133" ht="16" outlineLevel="1">
      <c r="A27" s="237"/>
      <c r="B27" s="228"/>
      <c r="C27" s="42" t="s">
        <v>36</v>
      </c>
      <c r="D27" s="45">
        <f>-$B27*1000</f>
        <v>0</v>
      </c>
      <c r="E27" s="175"/>
      <c r="F27" s="176"/>
      <c r="G27" s="176"/>
      <c r="H27" s="176"/>
      <c r="I27" s="176"/>
      <c r="J27" s="176"/>
      <c r="K27" s="176"/>
      <c r="L27" s="169"/>
      <c r="M27" s="169"/>
      <c r="N27" s="169"/>
      <c r="O27" s="169"/>
      <c r="P27" s="169"/>
      <c r="Q27" s="169"/>
      <c r="R27" s="169"/>
      <c r="S27" s="169"/>
      <c r="T27" s="169"/>
      <c r="U27" s="169"/>
      <c r="V27" s="169"/>
      <c r="W27" s="169"/>
      <c r="X27" s="169"/>
      <c r="Y27" s="169"/>
      <c r="Z27" s="169"/>
      <c r="AA27" s="169"/>
      <c r="AB27" s="169"/>
      <c r="AC27" s="169"/>
      <c r="AD27" s="169"/>
      <c r="AE27" s="172"/>
      <c r="AF27" s="290"/>
      <c r="AG27" s="6"/>
      <c r="AH27" s="6"/>
      <c r="AI27" s="6"/>
      <c r="AJ27" s="6"/>
      <c r="AK27" s="6"/>
      <c r="AL27" s="6"/>
    </row>
    <row r="28" spans="1:133" ht="51" outlineLevel="1">
      <c r="A28" s="237">
        <f>SUM(D28:AE28)</f>
        <v>513813.30000000005</v>
      </c>
      <c r="B28" s="229"/>
      <c r="C28" s="217" t="s">
        <v>37</v>
      </c>
      <c r="D28" s="45"/>
      <c r="E28" s="175">
        <f>K11</f>
        <v>513813.30000000005</v>
      </c>
      <c r="F28" s="176"/>
      <c r="G28" s="176"/>
      <c r="H28" s="176"/>
      <c r="I28" s="176"/>
      <c r="J28" s="176"/>
      <c r="K28" s="176"/>
      <c r="L28" s="169"/>
      <c r="M28" s="169"/>
      <c r="N28" s="169"/>
      <c r="O28" s="169"/>
      <c r="P28" s="169"/>
      <c r="Q28" s="169"/>
      <c r="R28" s="169"/>
      <c r="S28" s="169"/>
      <c r="T28" s="169"/>
      <c r="U28" s="169"/>
      <c r="V28" s="169"/>
      <c r="W28" s="169"/>
      <c r="X28" s="169"/>
      <c r="Y28" s="169"/>
      <c r="Z28" s="169"/>
      <c r="AA28" s="169"/>
      <c r="AB28" s="169"/>
      <c r="AC28" s="169"/>
      <c r="AD28" s="169"/>
      <c r="AE28" s="172"/>
      <c r="AF28" s="290"/>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row>
    <row r="29" spans="1:133" ht="16" outlineLevel="1">
      <c r="A29" s="237"/>
      <c r="B29" s="229"/>
      <c r="C29" s="221" t="s">
        <v>38</v>
      </c>
      <c r="D29" s="110"/>
      <c r="E29" s="181"/>
      <c r="F29" s="176"/>
      <c r="G29" s="182"/>
      <c r="H29" s="182"/>
      <c r="I29" s="182"/>
      <c r="J29" s="182"/>
      <c r="K29" s="176"/>
      <c r="L29" s="169"/>
      <c r="M29" s="169"/>
      <c r="N29" s="169"/>
      <c r="O29" s="169"/>
      <c r="P29" s="169"/>
      <c r="Q29" s="169"/>
      <c r="R29" s="169"/>
      <c r="S29" s="169"/>
      <c r="T29" s="169"/>
      <c r="U29" s="169"/>
      <c r="V29" s="169"/>
      <c r="W29" s="169"/>
      <c r="X29" s="169"/>
      <c r="Y29" s="169"/>
      <c r="Z29" s="169"/>
      <c r="AA29" s="169"/>
      <c r="AB29" s="169"/>
      <c r="AC29" s="169"/>
      <c r="AD29" s="169"/>
      <c r="AE29" s="172"/>
      <c r="AF29" s="290"/>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row>
    <row r="30" spans="1:133" ht="16" outlineLevel="1">
      <c r="A30" s="237"/>
      <c r="B30" s="229"/>
      <c r="C30" s="222"/>
      <c r="D30" s="111"/>
      <c r="E30" s="175"/>
      <c r="F30" s="176"/>
      <c r="G30" s="176"/>
      <c r="H30" s="176"/>
      <c r="I30" s="176"/>
      <c r="J30" s="176"/>
      <c r="K30" s="176"/>
      <c r="L30" s="169"/>
      <c r="M30" s="169"/>
      <c r="N30" s="169"/>
      <c r="O30" s="169"/>
      <c r="P30" s="169"/>
      <c r="Q30" s="169"/>
      <c r="R30" s="169"/>
      <c r="S30" s="169"/>
      <c r="T30" s="169"/>
      <c r="U30" s="169"/>
      <c r="V30" s="169"/>
      <c r="W30" s="169"/>
      <c r="X30" s="169"/>
      <c r="Y30" s="169"/>
      <c r="Z30" s="169"/>
      <c r="AA30" s="169"/>
      <c r="AB30" s="169"/>
      <c r="AC30" s="169"/>
      <c r="AD30" s="169"/>
      <c r="AE30" s="172"/>
      <c r="AF30" s="290"/>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row>
    <row r="31" spans="1:133" ht="51" outlineLevel="1">
      <c r="A31" s="237"/>
      <c r="B31" s="228">
        <f>'ACQUISITION FINANCEMENT'!C32</f>
        <v>0.01</v>
      </c>
      <c r="C31" s="223" t="s">
        <v>39</v>
      </c>
      <c r="D31" s="112"/>
      <c r="E31" s="175"/>
      <c r="F31" s="176"/>
      <c r="G31" s="176"/>
      <c r="H31" s="176"/>
      <c r="I31" s="176"/>
      <c r="J31" s="176"/>
      <c r="K31" s="176"/>
      <c r="L31" s="169"/>
      <c r="M31" s="169"/>
      <c r="N31" s="169"/>
      <c r="O31" s="169"/>
      <c r="P31" s="169"/>
      <c r="Q31" s="169"/>
      <c r="R31" s="169"/>
      <c r="S31" s="169"/>
      <c r="T31" s="169"/>
      <c r="U31" s="169"/>
      <c r="V31" s="169"/>
      <c r="W31" s="169"/>
      <c r="X31" s="169"/>
      <c r="Y31" s="169"/>
      <c r="Z31" s="169"/>
      <c r="AA31" s="169"/>
      <c r="AB31" s="169"/>
      <c r="AC31" s="169"/>
      <c r="AD31" s="169"/>
      <c r="AE31" s="172"/>
      <c r="AF31" s="290"/>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row>
    <row r="32" spans="1:133" ht="16" outlineLevel="1">
      <c r="A32" s="237"/>
      <c r="B32" s="228"/>
      <c r="C32" s="86"/>
      <c r="D32" s="113"/>
      <c r="E32" s="175"/>
      <c r="F32" s="176"/>
      <c r="G32" s="176"/>
      <c r="H32" s="176"/>
      <c r="I32" s="176"/>
      <c r="J32" s="176"/>
      <c r="K32" s="176"/>
      <c r="L32" s="169"/>
      <c r="M32" s="169"/>
      <c r="N32" s="169"/>
      <c r="O32" s="169"/>
      <c r="P32" s="169"/>
      <c r="Q32" s="169"/>
      <c r="R32" s="169"/>
      <c r="S32" s="169"/>
      <c r="T32" s="169"/>
      <c r="U32" s="169"/>
      <c r="V32" s="169"/>
      <c r="W32" s="169"/>
      <c r="X32" s="169"/>
      <c r="Y32" s="169"/>
      <c r="Z32" s="169"/>
      <c r="AA32" s="169"/>
      <c r="AB32" s="169"/>
      <c r="AC32" s="169"/>
      <c r="AD32" s="169"/>
      <c r="AE32" s="172"/>
      <c r="AF32" s="290"/>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row>
    <row r="33" spans="1:324" ht="16" outlineLevel="1">
      <c r="A33" s="237"/>
      <c r="B33" s="230"/>
      <c r="C33" s="25"/>
      <c r="D33" s="114"/>
      <c r="E33" s="183"/>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c r="AD33" s="169"/>
      <c r="AE33" s="172"/>
      <c r="AF33" s="290"/>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row>
    <row r="34" spans="1:324" ht="16" outlineLevel="1">
      <c r="A34" s="237"/>
      <c r="B34" s="229"/>
      <c r="C34" s="25"/>
      <c r="D34" s="114"/>
      <c r="E34" s="183"/>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c r="AD34" s="169"/>
      <c r="AE34" s="172"/>
      <c r="AF34" s="290"/>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row>
    <row r="35" spans="1:324" ht="16" outlineLevel="1">
      <c r="A35" s="237"/>
      <c r="B35" s="229"/>
      <c r="C35" s="25"/>
      <c r="D35" s="114"/>
      <c r="E35" s="183"/>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c r="AD35" s="169"/>
      <c r="AE35" s="172"/>
      <c r="AF35" s="290"/>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row>
    <row r="36" spans="1:324" s="160" customFormat="1" ht="16" outlineLevel="1">
      <c r="A36" s="415"/>
      <c r="B36" s="231"/>
      <c r="C36" s="240" t="s">
        <v>119</v>
      </c>
      <c r="D36" s="279"/>
      <c r="E36" s="424">
        <f>'TAM Refi '!$D16</f>
        <v>69884.509932319343</v>
      </c>
      <c r="F36" s="424">
        <f>'TAM Refi '!$D17</f>
        <v>71981.045230288917</v>
      </c>
      <c r="G36" s="424">
        <f>'TAM Refi '!$D18</f>
        <v>74140.476587197583</v>
      </c>
      <c r="H36" s="424">
        <f>'TAM Refi '!$D19</f>
        <v>76364.690884813506</v>
      </c>
      <c r="I36" s="424">
        <f>'TAM Refi '!$D20</f>
        <v>78655.631611357909</v>
      </c>
      <c r="J36" s="424">
        <f>'TAM Refi '!$D21</f>
        <v>81015.300559698648</v>
      </c>
      <c r="K36" s="424">
        <f>'TAM Refi '!$D22</f>
        <v>83445.75957648961</v>
      </c>
      <c r="L36" s="424">
        <f>'TAM Refi '!$D23</f>
        <v>85949.132363784316</v>
      </c>
      <c r="M36" s="424">
        <f>'TAM Refi '!$D24</f>
        <v>88527.606334697834</v>
      </c>
      <c r="N36" s="424">
        <f>'TAM Refi '!$D25</f>
        <v>91183.434524738768</v>
      </c>
      <c r="O36" s="424">
        <f>'TAM Refi '!$D26</f>
        <v>93918.937560480932</v>
      </c>
      <c r="P36" s="424">
        <f>'TAM Refi '!$D27</f>
        <v>96736.505687295343</v>
      </c>
      <c r="Q36" s="424">
        <f>'TAM Refi '!$D28</f>
        <v>99638.600857914222</v>
      </c>
      <c r="R36" s="424">
        <f>'TAM Refi '!$D29</f>
        <v>102627.75888365165</v>
      </c>
      <c r="S36" s="424">
        <f>'TAM Refi '!$D30</f>
        <v>105706.59165016118</v>
      </c>
      <c r="T36" s="424">
        <f>'TAM Refi '!$D31</f>
        <v>108877.78939966603</v>
      </c>
      <c r="U36" s="424">
        <f>'TAM Refi '!$D32</f>
        <v>112144.123081656</v>
      </c>
      <c r="V36" s="424">
        <f>'TAM Refi '!$D33</f>
        <v>115508.4467741057</v>
      </c>
      <c r="W36" s="424">
        <f>'TAM Refi '!$D34</f>
        <v>118973.70017732885</v>
      </c>
      <c r="X36" s="424">
        <f>'TAM Refi '!$D35</f>
        <v>122542.91118264871</v>
      </c>
      <c r="Y36" s="424">
        <f>'TAM Refi '!$D36</f>
        <v>126219.19851812816</v>
      </c>
      <c r="Z36" s="424">
        <f>'TAM Refi '!$D37</f>
        <v>130005.77447367203</v>
      </c>
      <c r="AA36" s="424">
        <f>'TAM Refi '!$D38</f>
        <v>133905.94770788218</v>
      </c>
      <c r="AB36" s="424">
        <f>'TAM Refi '!$D39</f>
        <v>137923.12613911866</v>
      </c>
      <c r="AC36" s="424">
        <f>'TAM Refi '!$D40</f>
        <v>142060.81992329223</v>
      </c>
      <c r="AD36" s="424">
        <f>'TAM Refi '!$D41</f>
        <v>146322.64452099099</v>
      </c>
      <c r="AE36" s="426">
        <f>'TAM Refi '!$D42</f>
        <v>150712.3238566207</v>
      </c>
      <c r="AF36" s="284"/>
      <c r="AG36" s="169"/>
      <c r="AH36" s="169"/>
      <c r="AI36" s="169"/>
      <c r="AJ36" s="169"/>
      <c r="AK36" s="169"/>
      <c r="AL36" s="169"/>
      <c r="AM36" s="169"/>
      <c r="AN36" s="169"/>
      <c r="AO36" s="169"/>
      <c r="AP36" s="169"/>
      <c r="AQ36" s="169"/>
      <c r="AR36" s="169"/>
      <c r="AS36" s="169"/>
      <c r="AT36" s="169"/>
      <c r="AU36" s="169"/>
      <c r="AV36" s="169"/>
      <c r="AW36" s="169"/>
      <c r="AX36" s="169"/>
      <c r="AY36" s="169"/>
      <c r="AZ36" s="169"/>
      <c r="BA36" s="169"/>
      <c r="BB36" s="169"/>
      <c r="BC36" s="169"/>
      <c r="BD36" s="169"/>
      <c r="BE36" s="169"/>
      <c r="BF36" s="169"/>
      <c r="BG36" s="169"/>
      <c r="BH36" s="169"/>
      <c r="BI36" s="169"/>
      <c r="BJ36" s="169"/>
      <c r="BK36" s="169"/>
      <c r="BL36" s="169"/>
      <c r="BM36" s="169"/>
      <c r="BN36" s="169"/>
      <c r="BO36" s="169"/>
      <c r="BP36" s="169"/>
      <c r="BQ36" s="169"/>
      <c r="BR36" s="169"/>
      <c r="BS36" s="169"/>
      <c r="BT36" s="169"/>
      <c r="BU36" s="169"/>
      <c r="BV36" s="169"/>
      <c r="BW36" s="169"/>
      <c r="BX36" s="169"/>
      <c r="BY36" s="169"/>
      <c r="BZ36" s="169"/>
      <c r="CA36" s="169"/>
      <c r="CB36" s="169"/>
      <c r="CC36" s="169"/>
      <c r="CD36" s="169"/>
      <c r="CE36" s="169"/>
      <c r="CF36" s="169"/>
      <c r="CG36" s="169"/>
      <c r="CH36" s="169"/>
      <c r="CI36" s="169"/>
      <c r="CJ36" s="169"/>
      <c r="CK36" s="169"/>
      <c r="CL36" s="169"/>
      <c r="CM36" s="169"/>
      <c r="CN36" s="169"/>
      <c r="CO36" s="169"/>
      <c r="CP36" s="169"/>
      <c r="CQ36" s="169"/>
      <c r="CR36" s="169"/>
      <c r="CS36" s="169"/>
      <c r="CT36" s="169"/>
      <c r="CU36" s="169"/>
      <c r="CV36" s="169"/>
      <c r="CW36" s="169"/>
      <c r="CX36" s="169"/>
      <c r="CY36" s="169"/>
      <c r="CZ36" s="169"/>
      <c r="DA36" s="169"/>
      <c r="DB36" s="169"/>
      <c r="DC36" s="169"/>
      <c r="DD36" s="169"/>
      <c r="DE36" s="169"/>
      <c r="DF36" s="169"/>
      <c r="DG36" s="169"/>
      <c r="DH36" s="169"/>
      <c r="DI36" s="169"/>
      <c r="DJ36" s="169"/>
      <c r="DK36" s="169"/>
      <c r="DL36" s="169"/>
      <c r="DM36" s="169"/>
      <c r="DN36" s="169"/>
      <c r="DO36" s="169"/>
      <c r="DP36" s="169"/>
      <c r="DQ36" s="169"/>
      <c r="DR36" s="169"/>
      <c r="DS36" s="169"/>
      <c r="DT36" s="169"/>
      <c r="DU36" s="169"/>
      <c r="DV36" s="169"/>
      <c r="DW36" s="169"/>
      <c r="DX36" s="169"/>
      <c r="DY36" s="169"/>
      <c r="DZ36" s="169"/>
      <c r="EA36" s="169"/>
      <c r="EB36" s="169"/>
      <c r="EC36" s="169"/>
      <c r="ED36" s="197" t="e">
        <f>#REF!</f>
        <v>#REF!</v>
      </c>
      <c r="EE36" s="197" t="e">
        <f>#REF!</f>
        <v>#REF!</v>
      </c>
      <c r="EF36" s="197" t="e">
        <f>#REF!</f>
        <v>#REF!</v>
      </c>
      <c r="EG36" s="197" t="e">
        <f>#REF!</f>
        <v>#REF!</v>
      </c>
      <c r="EH36" s="197" t="e">
        <f>#REF!</f>
        <v>#REF!</v>
      </c>
      <c r="EI36" s="197" t="e">
        <f>#REF!</f>
        <v>#REF!</v>
      </c>
      <c r="EJ36" s="197" t="e">
        <f>#REF!</f>
        <v>#REF!</v>
      </c>
      <c r="EK36" s="197" t="e">
        <f>#REF!</f>
        <v>#REF!</v>
      </c>
      <c r="EL36" s="197" t="e">
        <f>#REF!</f>
        <v>#REF!</v>
      </c>
      <c r="EM36" s="197" t="e">
        <f>#REF!</f>
        <v>#REF!</v>
      </c>
      <c r="EN36" s="197" t="e">
        <f>#REF!</f>
        <v>#REF!</v>
      </c>
      <c r="EO36" s="197" t="e">
        <f>#REF!</f>
        <v>#REF!</v>
      </c>
      <c r="EP36" s="197" t="e">
        <f>#REF!</f>
        <v>#REF!</v>
      </c>
      <c r="EQ36" s="197" t="e">
        <f>#REF!</f>
        <v>#REF!</v>
      </c>
      <c r="ER36" s="197" t="e">
        <f>#REF!</f>
        <v>#REF!</v>
      </c>
      <c r="ES36" s="197" t="e">
        <f>#REF!</f>
        <v>#REF!</v>
      </c>
      <c r="ET36" s="197" t="e">
        <f>#REF!</f>
        <v>#REF!</v>
      </c>
      <c r="EU36" s="197" t="e">
        <f>#REF!</f>
        <v>#REF!</v>
      </c>
      <c r="EV36" s="197" t="e">
        <f>#REF!</f>
        <v>#REF!</v>
      </c>
      <c r="EW36" s="197" t="e">
        <f>#REF!</f>
        <v>#REF!</v>
      </c>
      <c r="EX36" s="197" t="e">
        <f>#REF!</f>
        <v>#REF!</v>
      </c>
      <c r="EY36" s="197" t="e">
        <f>#REF!</f>
        <v>#REF!</v>
      </c>
      <c r="EZ36" s="197" t="e">
        <f>#REF!</f>
        <v>#REF!</v>
      </c>
      <c r="FA36" s="197" t="e">
        <f>#REF!</f>
        <v>#REF!</v>
      </c>
      <c r="FB36" s="197" t="e">
        <f>#REF!</f>
        <v>#REF!</v>
      </c>
      <c r="FC36" s="197" t="e">
        <f>#REF!</f>
        <v>#REF!</v>
      </c>
      <c r="FD36" s="197" t="e">
        <f>#REF!</f>
        <v>#REF!</v>
      </c>
      <c r="FE36" s="197" t="e">
        <f>#REF!</f>
        <v>#REF!</v>
      </c>
      <c r="FF36" s="197" t="e">
        <f>#REF!</f>
        <v>#REF!</v>
      </c>
      <c r="FG36" s="197" t="e">
        <f>#REF!</f>
        <v>#REF!</v>
      </c>
      <c r="FH36" s="197" t="e">
        <f>#REF!</f>
        <v>#REF!</v>
      </c>
      <c r="FI36" s="197" t="e">
        <f>#REF!</f>
        <v>#REF!</v>
      </c>
      <c r="FJ36" s="197" t="e">
        <f>#REF!</f>
        <v>#REF!</v>
      </c>
      <c r="FK36" s="197" t="e">
        <f>#REF!</f>
        <v>#REF!</v>
      </c>
      <c r="FL36" s="197" t="e">
        <f>#REF!</f>
        <v>#REF!</v>
      </c>
      <c r="FM36" s="197" t="e">
        <f>#REF!</f>
        <v>#REF!</v>
      </c>
      <c r="FN36" s="197" t="e">
        <f>#REF!</f>
        <v>#REF!</v>
      </c>
      <c r="FO36" s="197" t="e">
        <f>#REF!</f>
        <v>#REF!</v>
      </c>
      <c r="FP36" s="197" t="e">
        <f>#REF!</f>
        <v>#REF!</v>
      </c>
      <c r="FQ36" s="197" t="e">
        <f>#REF!</f>
        <v>#REF!</v>
      </c>
      <c r="FR36" s="197" t="e">
        <f>#REF!</f>
        <v>#REF!</v>
      </c>
      <c r="FS36" s="197" t="e">
        <f>#REF!</f>
        <v>#REF!</v>
      </c>
      <c r="FT36" s="197" t="e">
        <f>#REF!</f>
        <v>#REF!</v>
      </c>
      <c r="FU36" s="197" t="e">
        <f>#REF!</f>
        <v>#REF!</v>
      </c>
      <c r="FV36" s="197" t="e">
        <f>#REF!</f>
        <v>#REF!</v>
      </c>
      <c r="FW36" s="197" t="e">
        <f>#REF!</f>
        <v>#REF!</v>
      </c>
      <c r="FX36" s="197" t="e">
        <f>#REF!</f>
        <v>#REF!</v>
      </c>
      <c r="FY36" s="197" t="e">
        <f>#REF!</f>
        <v>#REF!</v>
      </c>
      <c r="FZ36" s="197" t="e">
        <f>#REF!</f>
        <v>#REF!</v>
      </c>
      <c r="GA36" s="197" t="e">
        <f>#REF!</f>
        <v>#REF!</v>
      </c>
      <c r="GB36" s="197" t="e">
        <f>#REF!</f>
        <v>#REF!</v>
      </c>
      <c r="GC36" s="197" t="e">
        <f>#REF!</f>
        <v>#REF!</v>
      </c>
      <c r="GD36" s="197" t="e">
        <f>#REF!</f>
        <v>#REF!</v>
      </c>
      <c r="GE36" s="197" t="e">
        <f>#REF!</f>
        <v>#REF!</v>
      </c>
      <c r="GF36" s="197" t="e">
        <f>#REF!</f>
        <v>#REF!</v>
      </c>
      <c r="GG36" s="197" t="e">
        <f>#REF!</f>
        <v>#REF!</v>
      </c>
      <c r="GH36" s="197" t="e">
        <f>#REF!</f>
        <v>#REF!</v>
      </c>
      <c r="GI36" s="197" t="e">
        <f>#REF!</f>
        <v>#REF!</v>
      </c>
      <c r="GJ36" s="197" t="e">
        <f>#REF!</f>
        <v>#REF!</v>
      </c>
      <c r="GK36" s="197" t="e">
        <f>#REF!</f>
        <v>#REF!</v>
      </c>
      <c r="GL36" s="197" t="e">
        <f>#REF!</f>
        <v>#REF!</v>
      </c>
      <c r="GM36" s="197" t="e">
        <f>#REF!</f>
        <v>#REF!</v>
      </c>
      <c r="GN36" s="197" t="e">
        <f>#REF!</f>
        <v>#REF!</v>
      </c>
      <c r="GO36" s="197" t="e">
        <f>#REF!</f>
        <v>#REF!</v>
      </c>
      <c r="GP36" s="197" t="e">
        <f>#REF!</f>
        <v>#REF!</v>
      </c>
      <c r="GQ36" s="197" t="e">
        <f>#REF!</f>
        <v>#REF!</v>
      </c>
      <c r="GR36" s="197" t="e">
        <f>#REF!</f>
        <v>#REF!</v>
      </c>
      <c r="GS36" s="197" t="e">
        <f>#REF!</f>
        <v>#REF!</v>
      </c>
      <c r="GT36" s="197" t="e">
        <f>#REF!</f>
        <v>#REF!</v>
      </c>
      <c r="GU36" s="197" t="e">
        <f>#REF!</f>
        <v>#REF!</v>
      </c>
      <c r="GV36" s="197" t="e">
        <f>#REF!</f>
        <v>#REF!</v>
      </c>
      <c r="GW36" s="197" t="e">
        <f>#REF!</f>
        <v>#REF!</v>
      </c>
      <c r="GX36" s="197" t="e">
        <f>#REF!</f>
        <v>#REF!</v>
      </c>
      <c r="GY36" s="197" t="e">
        <f>#REF!</f>
        <v>#REF!</v>
      </c>
      <c r="GZ36" s="197" t="e">
        <f>#REF!</f>
        <v>#REF!</v>
      </c>
      <c r="HA36" s="197" t="e">
        <f>#REF!</f>
        <v>#REF!</v>
      </c>
      <c r="HB36" s="197" t="e">
        <f>#REF!</f>
        <v>#REF!</v>
      </c>
      <c r="HC36" s="197" t="e">
        <f>#REF!</f>
        <v>#REF!</v>
      </c>
      <c r="HD36" s="197" t="e">
        <f>#REF!</f>
        <v>#REF!</v>
      </c>
      <c r="HE36" s="197" t="e">
        <f>#REF!</f>
        <v>#REF!</v>
      </c>
      <c r="HF36" s="197" t="e">
        <f>#REF!</f>
        <v>#REF!</v>
      </c>
      <c r="HG36" s="197" t="e">
        <f>#REF!</f>
        <v>#REF!</v>
      </c>
      <c r="HH36" s="197" t="e">
        <f>#REF!</f>
        <v>#REF!</v>
      </c>
      <c r="HI36" s="197" t="e">
        <f>#REF!</f>
        <v>#REF!</v>
      </c>
      <c r="HJ36" s="197" t="e">
        <f>#REF!</f>
        <v>#REF!</v>
      </c>
      <c r="HK36" s="197" t="e">
        <f>#REF!</f>
        <v>#REF!</v>
      </c>
      <c r="HL36" s="197" t="e">
        <f>#REF!</f>
        <v>#REF!</v>
      </c>
      <c r="HM36" s="197" t="e">
        <f>#REF!</f>
        <v>#REF!</v>
      </c>
      <c r="HN36" s="197" t="e">
        <f>#REF!</f>
        <v>#REF!</v>
      </c>
      <c r="HO36" s="197" t="e">
        <f>#REF!</f>
        <v>#REF!</v>
      </c>
      <c r="HP36" s="197" t="e">
        <f>#REF!</f>
        <v>#REF!</v>
      </c>
      <c r="HQ36" s="197" t="e">
        <f>#REF!</f>
        <v>#REF!</v>
      </c>
      <c r="HR36" s="197" t="e">
        <f>#REF!</f>
        <v>#REF!</v>
      </c>
      <c r="HS36" s="197" t="e">
        <f>#REF!</f>
        <v>#REF!</v>
      </c>
      <c r="HT36" s="197" t="e">
        <f>#REF!</f>
        <v>#REF!</v>
      </c>
      <c r="HU36" s="197" t="e">
        <f>#REF!</f>
        <v>#REF!</v>
      </c>
      <c r="HV36" s="197" t="e">
        <f>#REF!</f>
        <v>#REF!</v>
      </c>
      <c r="HW36" s="197" t="e">
        <f>#REF!</f>
        <v>#REF!</v>
      </c>
      <c r="HX36" s="197" t="e">
        <f>#REF!</f>
        <v>#REF!</v>
      </c>
      <c r="HY36" s="197" t="e">
        <f>#REF!</f>
        <v>#REF!</v>
      </c>
      <c r="HZ36" s="197" t="e">
        <f>#REF!</f>
        <v>#REF!</v>
      </c>
      <c r="IA36" s="197" t="e">
        <f>#REF!</f>
        <v>#REF!</v>
      </c>
      <c r="IB36" s="197" t="e">
        <f>#REF!</f>
        <v>#REF!</v>
      </c>
      <c r="IC36" s="197" t="e">
        <f>#REF!</f>
        <v>#REF!</v>
      </c>
      <c r="ID36" s="197" t="e">
        <f>#REF!</f>
        <v>#REF!</v>
      </c>
      <c r="IE36" s="197" t="e">
        <f>#REF!</f>
        <v>#REF!</v>
      </c>
      <c r="IF36" s="197" t="e">
        <f>#REF!</f>
        <v>#REF!</v>
      </c>
      <c r="IG36" s="197" t="e">
        <f>#REF!</f>
        <v>#REF!</v>
      </c>
      <c r="IH36" s="197" t="e">
        <f>#REF!</f>
        <v>#REF!</v>
      </c>
      <c r="II36" s="197" t="e">
        <f>#REF!</f>
        <v>#REF!</v>
      </c>
      <c r="IJ36" s="197" t="e">
        <f>#REF!</f>
        <v>#REF!</v>
      </c>
      <c r="IK36" s="197" t="e">
        <f>#REF!</f>
        <v>#REF!</v>
      </c>
      <c r="IL36" s="197" t="e">
        <f>#REF!</f>
        <v>#REF!</v>
      </c>
      <c r="IM36" s="197" t="e">
        <f>#REF!</f>
        <v>#REF!</v>
      </c>
      <c r="IN36" s="197" t="e">
        <f>#REF!</f>
        <v>#REF!</v>
      </c>
      <c r="IO36" s="197" t="e">
        <f>#REF!</f>
        <v>#REF!</v>
      </c>
      <c r="IP36" s="197" t="e">
        <f>#REF!</f>
        <v>#REF!</v>
      </c>
      <c r="IQ36" s="197" t="e">
        <f>#REF!</f>
        <v>#REF!</v>
      </c>
      <c r="IR36" s="197" t="e">
        <f>#REF!</f>
        <v>#REF!</v>
      </c>
      <c r="IS36" s="197" t="e">
        <f>#REF!</f>
        <v>#REF!</v>
      </c>
      <c r="IT36" s="197" t="e">
        <f>#REF!</f>
        <v>#REF!</v>
      </c>
      <c r="IU36" s="197" t="e">
        <f>#REF!</f>
        <v>#REF!</v>
      </c>
      <c r="IV36" s="197" t="e">
        <f>#REF!</f>
        <v>#REF!</v>
      </c>
      <c r="IW36" s="197" t="e">
        <f>#REF!</f>
        <v>#REF!</v>
      </c>
      <c r="IX36" s="197" t="e">
        <f>#REF!</f>
        <v>#REF!</v>
      </c>
      <c r="IY36" s="197" t="e">
        <f>#REF!</f>
        <v>#REF!</v>
      </c>
      <c r="IZ36" s="197" t="e">
        <f>#REF!</f>
        <v>#REF!</v>
      </c>
      <c r="JA36" s="197" t="e">
        <f>#REF!</f>
        <v>#REF!</v>
      </c>
      <c r="JB36" s="197" t="e">
        <f>#REF!</f>
        <v>#REF!</v>
      </c>
      <c r="JC36" s="197" t="e">
        <f>#REF!</f>
        <v>#REF!</v>
      </c>
      <c r="JD36" s="197" t="e">
        <f>#REF!</f>
        <v>#REF!</v>
      </c>
      <c r="JE36" s="197" t="e">
        <f>#REF!</f>
        <v>#REF!</v>
      </c>
      <c r="JF36" s="197" t="e">
        <f>#REF!</f>
        <v>#REF!</v>
      </c>
      <c r="JG36" s="197" t="e">
        <f>#REF!</f>
        <v>#REF!</v>
      </c>
      <c r="JH36" s="197" t="e">
        <f>#REF!</f>
        <v>#REF!</v>
      </c>
      <c r="JI36" s="197" t="e">
        <f>#REF!</f>
        <v>#REF!</v>
      </c>
      <c r="JJ36" s="197" t="e">
        <f>#REF!</f>
        <v>#REF!</v>
      </c>
      <c r="JK36" s="197" t="e">
        <f>#REF!</f>
        <v>#REF!</v>
      </c>
      <c r="JL36" s="197" t="e">
        <f>#REF!</f>
        <v>#REF!</v>
      </c>
      <c r="JM36" s="197" t="e">
        <f>#REF!</f>
        <v>#REF!</v>
      </c>
      <c r="JN36" s="197" t="e">
        <f>#REF!</f>
        <v>#REF!</v>
      </c>
      <c r="JO36" s="197" t="e">
        <f>#REF!</f>
        <v>#REF!</v>
      </c>
      <c r="JP36" s="197" t="e">
        <f>#REF!</f>
        <v>#REF!</v>
      </c>
      <c r="JQ36" s="197" t="e">
        <f>#REF!</f>
        <v>#REF!</v>
      </c>
      <c r="JR36" s="197" t="e">
        <f>#REF!</f>
        <v>#REF!</v>
      </c>
      <c r="JS36" s="197" t="e">
        <f>#REF!</f>
        <v>#REF!</v>
      </c>
      <c r="JT36" s="197" t="e">
        <f>#REF!</f>
        <v>#REF!</v>
      </c>
      <c r="JU36" s="197" t="e">
        <f>#REF!</f>
        <v>#REF!</v>
      </c>
      <c r="JV36" s="197" t="e">
        <f>#REF!</f>
        <v>#REF!</v>
      </c>
      <c r="JW36" s="197" t="e">
        <f>#REF!</f>
        <v>#REF!</v>
      </c>
      <c r="JX36" s="197" t="e">
        <f>#REF!</f>
        <v>#REF!</v>
      </c>
      <c r="JY36" s="197" t="e">
        <f>#REF!</f>
        <v>#REF!</v>
      </c>
      <c r="JZ36" s="197" t="e">
        <f>#REF!</f>
        <v>#REF!</v>
      </c>
      <c r="KA36" s="197" t="e">
        <f>#REF!</f>
        <v>#REF!</v>
      </c>
      <c r="KB36" s="197" t="e">
        <f>#REF!</f>
        <v>#REF!</v>
      </c>
      <c r="KC36" s="197" t="e">
        <f>#REF!</f>
        <v>#REF!</v>
      </c>
      <c r="KD36" s="197" t="e">
        <f>#REF!</f>
        <v>#REF!</v>
      </c>
      <c r="KE36" s="197" t="e">
        <f>#REF!</f>
        <v>#REF!</v>
      </c>
      <c r="KF36" s="197" t="e">
        <f>#REF!</f>
        <v>#REF!</v>
      </c>
      <c r="KG36" s="197" t="e">
        <f>#REF!</f>
        <v>#REF!</v>
      </c>
      <c r="KH36" s="197" t="e">
        <f>#REF!</f>
        <v>#REF!</v>
      </c>
      <c r="KI36" s="197" t="e">
        <f>#REF!</f>
        <v>#REF!</v>
      </c>
      <c r="KJ36" s="197" t="e">
        <f>#REF!</f>
        <v>#REF!</v>
      </c>
      <c r="KK36" s="197" t="e">
        <f>#REF!</f>
        <v>#REF!</v>
      </c>
      <c r="KL36" s="197" t="e">
        <f>#REF!</f>
        <v>#REF!</v>
      </c>
      <c r="KM36" s="197" t="e">
        <f>#REF!</f>
        <v>#REF!</v>
      </c>
      <c r="KN36" s="197" t="e">
        <f>#REF!</f>
        <v>#REF!</v>
      </c>
      <c r="KO36" s="197" t="e">
        <f>#REF!</f>
        <v>#REF!</v>
      </c>
      <c r="KP36" s="197" t="e">
        <f>#REF!</f>
        <v>#REF!</v>
      </c>
      <c r="KQ36" s="197" t="e">
        <f>#REF!</f>
        <v>#REF!</v>
      </c>
      <c r="KR36" s="197" t="e">
        <f>#REF!</f>
        <v>#REF!</v>
      </c>
      <c r="KS36" s="197" t="e">
        <f>#REF!</f>
        <v>#REF!</v>
      </c>
      <c r="KT36" s="197" t="e">
        <f>#REF!</f>
        <v>#REF!</v>
      </c>
      <c r="KU36" s="197" t="e">
        <f>#REF!</f>
        <v>#REF!</v>
      </c>
      <c r="KV36" s="197" t="e">
        <f>#REF!</f>
        <v>#REF!</v>
      </c>
      <c r="KW36" s="197" t="e">
        <f>#REF!</f>
        <v>#REF!</v>
      </c>
      <c r="KX36" s="197" t="e">
        <f>#REF!</f>
        <v>#REF!</v>
      </c>
      <c r="KY36" s="197" t="e">
        <f>#REF!</f>
        <v>#REF!</v>
      </c>
      <c r="KZ36" s="197" t="e">
        <f>#REF!</f>
        <v>#REF!</v>
      </c>
      <c r="LA36" s="197" t="e">
        <f>#REF!</f>
        <v>#REF!</v>
      </c>
      <c r="LB36" s="197" t="e">
        <f>#REF!</f>
        <v>#REF!</v>
      </c>
      <c r="LC36" s="197" t="e">
        <f>#REF!</f>
        <v>#REF!</v>
      </c>
      <c r="LD36" s="197" t="e">
        <f>#REF!</f>
        <v>#REF!</v>
      </c>
      <c r="LE36" s="197" t="e">
        <f>#REF!</f>
        <v>#REF!</v>
      </c>
      <c r="LF36" s="197" t="e">
        <f>#REF!</f>
        <v>#REF!</v>
      </c>
      <c r="LG36" s="197" t="e">
        <f>#REF!</f>
        <v>#REF!</v>
      </c>
      <c r="LH36" s="197" t="e">
        <f>#REF!</f>
        <v>#REF!</v>
      </c>
      <c r="LI36" s="197" t="e">
        <f>#REF!</f>
        <v>#REF!</v>
      </c>
      <c r="LJ36" s="197" t="e">
        <f>#REF!</f>
        <v>#REF!</v>
      </c>
      <c r="LK36" s="197" t="e">
        <f>#REF!</f>
        <v>#REF!</v>
      </c>
      <c r="LL36" s="197" t="e">
        <f>#REF!</f>
        <v>#REF!</v>
      </c>
    </row>
    <row r="37" spans="1:324" s="160" customFormat="1" ht="16" outlineLevel="1">
      <c r="A37" s="238"/>
      <c r="B37" s="228">
        <f>R13</f>
        <v>0.03</v>
      </c>
      <c r="C37" s="241" t="s">
        <v>120</v>
      </c>
      <c r="D37" s="280"/>
      <c r="E37" s="424">
        <f>'TAM Refi '!$E16</f>
        <v>85349.183640000017</v>
      </c>
      <c r="F37" s="424">
        <f>'TAM Refi '!$E17</f>
        <v>83252.648342030414</v>
      </c>
      <c r="G37" s="424">
        <f>'TAM Refi '!$E18</f>
        <v>81093.216985121762</v>
      </c>
      <c r="H37" s="424">
        <f>'TAM Refi '!$E19</f>
        <v>78869.002687505839</v>
      </c>
      <c r="I37" s="424">
        <f>'TAM Refi '!$E20</f>
        <v>76578.061960961422</v>
      </c>
      <c r="J37" s="424">
        <f>'TAM Refi '!$E21</f>
        <v>74218.393012620698</v>
      </c>
      <c r="K37" s="424">
        <f>'TAM Refi '!$E22</f>
        <v>71787.933995829735</v>
      </c>
      <c r="L37" s="424">
        <f>'TAM Refi '!$E23</f>
        <v>69284.561208535044</v>
      </c>
      <c r="M37" s="424">
        <f>'TAM Refi '!$E24</f>
        <v>66706.087237621512</v>
      </c>
      <c r="N37" s="424">
        <f>'TAM Refi '!$E25</f>
        <v>64050.25904758057</v>
      </c>
      <c r="O37" s="424">
        <f>'TAM Refi '!$E26</f>
        <v>61314.756011838421</v>
      </c>
      <c r="P37" s="424">
        <f>'TAM Refi '!$E27</f>
        <v>58497.187885023981</v>
      </c>
      <c r="Q37" s="424">
        <f>'TAM Refi '!$E28</f>
        <v>55595.092714405131</v>
      </c>
      <c r="R37" s="424">
        <f>'TAM Refi '!$E29</f>
        <v>52605.934688667701</v>
      </c>
      <c r="S37" s="424">
        <f>'TAM Refi '!$E30</f>
        <v>49527.101922158137</v>
      </c>
      <c r="T37" s="424">
        <f>'TAM Refi '!$E31</f>
        <v>46355.904172653311</v>
      </c>
      <c r="U37" s="424">
        <f>'TAM Refi '!$E32</f>
        <v>43089.570490663333</v>
      </c>
      <c r="V37" s="424">
        <f>'TAM Refi '!$E33</f>
        <v>39725.246798213644</v>
      </c>
      <c r="W37" s="424">
        <f>'TAM Refi '!$E34</f>
        <v>36259.993394990473</v>
      </c>
      <c r="X37" s="424">
        <f>'TAM Refi '!$E35</f>
        <v>32690.782389670614</v>
      </c>
      <c r="Y37" s="424">
        <f>'TAM Refi '!$E36</f>
        <v>29014.49505419116</v>
      </c>
      <c r="Z37" s="424">
        <f>'TAM Refi '!$E37</f>
        <v>25227.919098647308</v>
      </c>
      <c r="AA37" s="424">
        <f>'TAM Refi '!$E38</f>
        <v>21327.745864437144</v>
      </c>
      <c r="AB37" s="424">
        <f>'TAM Refi '!$E39</f>
        <v>17310.567433200678</v>
      </c>
      <c r="AC37" s="424">
        <f>'TAM Refi '!$E40</f>
        <v>13172.873649027119</v>
      </c>
      <c r="AD37" s="424">
        <f>'TAM Refi '!$E41</f>
        <v>8911.0490513283512</v>
      </c>
      <c r="AE37" s="426">
        <f>'TAM Refi '!$E42</f>
        <v>4521.3697156986218</v>
      </c>
      <c r="AF37" s="291"/>
      <c r="AG37" s="205"/>
      <c r="AH37" s="205"/>
      <c r="AI37" s="205"/>
      <c r="AJ37" s="205"/>
      <c r="AK37" s="205"/>
      <c r="AL37" s="205"/>
      <c r="AM37" s="205"/>
      <c r="AN37" s="205"/>
      <c r="AO37" s="205"/>
      <c r="AP37" s="205"/>
      <c r="AQ37" s="205"/>
      <c r="AR37" s="205"/>
      <c r="AS37" s="205"/>
      <c r="AT37" s="205"/>
      <c r="AU37" s="205"/>
      <c r="AV37" s="205"/>
      <c r="AW37" s="205"/>
      <c r="AX37" s="205"/>
      <c r="AY37" s="205"/>
      <c r="AZ37" s="205"/>
      <c r="BA37" s="205"/>
      <c r="BB37" s="205"/>
      <c r="BC37" s="205"/>
      <c r="BD37" s="205"/>
      <c r="BE37" s="205"/>
      <c r="BF37" s="205"/>
      <c r="BG37" s="205"/>
      <c r="BH37" s="205"/>
      <c r="BI37" s="205"/>
      <c r="BJ37" s="205"/>
      <c r="BK37" s="205"/>
      <c r="BL37" s="205"/>
      <c r="BM37" s="205"/>
      <c r="BN37" s="205"/>
      <c r="BO37" s="205"/>
      <c r="BP37" s="205"/>
      <c r="BQ37" s="205"/>
      <c r="BR37" s="205"/>
      <c r="BS37" s="205"/>
      <c r="BT37" s="205"/>
      <c r="BU37" s="205"/>
      <c r="BV37" s="205"/>
      <c r="BW37" s="205"/>
      <c r="BX37" s="205"/>
      <c r="BY37" s="205"/>
      <c r="BZ37" s="205"/>
      <c r="CA37" s="205"/>
      <c r="CB37" s="205"/>
      <c r="CC37" s="205"/>
      <c r="CD37" s="205"/>
      <c r="CE37" s="205"/>
      <c r="CF37" s="205"/>
      <c r="CG37" s="205"/>
      <c r="CH37" s="205"/>
      <c r="CI37" s="205"/>
      <c r="CJ37" s="205"/>
      <c r="CK37" s="205"/>
      <c r="CL37" s="205"/>
      <c r="CM37" s="205"/>
      <c r="CN37" s="205"/>
      <c r="CO37" s="205"/>
      <c r="CP37" s="205"/>
      <c r="CQ37" s="205"/>
      <c r="CR37" s="205"/>
      <c r="CS37" s="205"/>
      <c r="CT37" s="205"/>
      <c r="CU37" s="205"/>
      <c r="CV37" s="205"/>
      <c r="CW37" s="205"/>
      <c r="CX37" s="205"/>
      <c r="CY37" s="205"/>
      <c r="CZ37" s="205"/>
      <c r="DA37" s="205"/>
      <c r="DB37" s="205"/>
      <c r="DC37" s="205"/>
      <c r="DD37" s="205"/>
      <c r="DE37" s="205"/>
      <c r="DF37" s="205"/>
      <c r="DG37" s="205"/>
      <c r="DH37" s="205"/>
      <c r="DI37" s="205"/>
      <c r="DJ37" s="205"/>
      <c r="DK37" s="205"/>
      <c r="DL37" s="205"/>
      <c r="DM37" s="205"/>
      <c r="DN37" s="205"/>
      <c r="DO37" s="205"/>
      <c r="DP37" s="205"/>
      <c r="DQ37" s="206"/>
      <c r="DR37" s="206"/>
      <c r="DS37" s="206"/>
      <c r="DT37" s="206"/>
      <c r="DU37" s="206"/>
      <c r="DV37" s="206"/>
      <c r="DW37" s="206"/>
      <c r="DX37" s="206"/>
      <c r="DY37" s="206"/>
      <c r="DZ37" s="206"/>
      <c r="EA37" s="206"/>
      <c r="EB37" s="206"/>
      <c r="EC37" s="206"/>
    </row>
    <row r="38" spans="1:324" ht="17" outlineLevel="1" thickBot="1">
      <c r="A38" s="237">
        <f>SUM(D38:AE38)</f>
        <v>3226199.141592002</v>
      </c>
      <c r="B38" s="232">
        <f>O13</f>
        <v>2.8000000000000001E-2</v>
      </c>
      <c r="C38" s="224" t="s">
        <v>118</v>
      </c>
      <c r="D38" s="281"/>
      <c r="E38" s="425">
        <f>($P$14)*$B$38</f>
        <v>119488.85709600001</v>
      </c>
      <c r="F38" s="425">
        <f t="shared" ref="F38" si="7">($P$14)*$B$38</f>
        <v>119488.85709600001</v>
      </c>
      <c r="G38" s="425">
        <f>IF($O$11&gt;=1,($P$14)*$B$38,"")</f>
        <v>119488.85709600001</v>
      </c>
      <c r="H38" s="425">
        <f>IF($O$11&gt;=2,($P$14)*$B$38,"")</f>
        <v>119488.85709600001</v>
      </c>
      <c r="I38" s="425">
        <f>IF($O$11&gt;=3,($P$14)*$B$38,"")</f>
        <v>119488.85709600001</v>
      </c>
      <c r="J38" s="425">
        <f>IF($O$11&gt;=4,($P$14)*$B$38,"")</f>
        <v>119488.85709600001</v>
      </c>
      <c r="K38" s="425">
        <f>IF($O$11&gt;=5,($P$14)*$B$38,"")</f>
        <v>119488.85709600001</v>
      </c>
      <c r="L38" s="425">
        <f>IF($O$11&gt;=6,($P$14)*$B$38,"")</f>
        <v>119488.85709600001</v>
      </c>
      <c r="M38" s="425">
        <f>IF($O$11&gt;=7,($P$14)*$B$38,"")</f>
        <v>119488.85709600001</v>
      </c>
      <c r="N38" s="425">
        <f>IF($O$11&gt;=8,($P$14)*$B$38,"")</f>
        <v>119488.85709600001</v>
      </c>
      <c r="O38" s="425">
        <f>IF($O$11&gt;=9,($P$14)*$B$38,"")</f>
        <v>119488.85709600001</v>
      </c>
      <c r="P38" s="425">
        <f>IF($O$11&gt;=10,($P$14)*$B$38,"")</f>
        <v>119488.85709600001</v>
      </c>
      <c r="Q38" s="425">
        <f>IF($O$11&gt;=11,($P$14)*$B$38,"")</f>
        <v>119488.85709600001</v>
      </c>
      <c r="R38" s="425">
        <f>IF($O$11&gt;=12,($P$14)*$B$38,"")</f>
        <v>119488.85709600001</v>
      </c>
      <c r="S38" s="425">
        <f>IF($O$11&gt;=13,($P$14)*$B$38,"")</f>
        <v>119488.85709600001</v>
      </c>
      <c r="T38" s="425">
        <f>IF($O$11&gt;=14,($P$14)*$B$38,"")</f>
        <v>119488.85709600001</v>
      </c>
      <c r="U38" s="425">
        <f>IF($O$11&gt;=15,($P$14)*$B$38,"")</f>
        <v>119488.85709600001</v>
      </c>
      <c r="V38" s="424">
        <f>IF($O$11&gt;=16,($P$14)*$B$38,"")</f>
        <v>119488.85709600001</v>
      </c>
      <c r="W38" s="424">
        <f>IF($O$11&gt;=17,($P$14)*$B$38,"")</f>
        <v>119488.85709600001</v>
      </c>
      <c r="X38" s="424">
        <f>IF($O$11&gt;=18,($P$14)*$B$38,"")</f>
        <v>119488.85709600001</v>
      </c>
      <c r="Y38" s="424">
        <f>IF($O$11&gt;=19,($P$14)*$B$38,"")</f>
        <v>119488.85709600001</v>
      </c>
      <c r="Z38" s="424">
        <f>IF($O$11&gt;=20,($P$14)*$B$38,"")</f>
        <v>119488.85709600001</v>
      </c>
      <c r="AA38" s="424">
        <f>IF($O$11&gt;=21,($P$14)*$B$38,"")</f>
        <v>119488.85709600001</v>
      </c>
      <c r="AB38" s="424">
        <f>IF($O$11&gt;=22,($P$14)*$B$38,"")</f>
        <v>119488.85709600001</v>
      </c>
      <c r="AC38" s="424">
        <f>IF($O$11&gt;=23,($P$14)*$B$38,"")</f>
        <v>119488.85709600001</v>
      </c>
      <c r="AD38" s="424">
        <f>IF($O$11&gt;=24,($P$14)*$B$38,"")</f>
        <v>119488.85709600001</v>
      </c>
      <c r="AE38" s="426">
        <f>IF($O$11&gt;=25,($P$14)*$B$38,"")</f>
        <v>119488.85709600001</v>
      </c>
      <c r="AF38" s="290"/>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row>
    <row r="39" spans="1:324" ht="17" outlineLevel="1" thickBot="1">
      <c r="A39" s="237"/>
      <c r="B39" s="233"/>
      <c r="C39" s="225" t="s">
        <v>121</v>
      </c>
      <c r="D39" s="202"/>
      <c r="E39" s="285">
        <f>E38+E37+E36</f>
        <v>274722.55066831934</v>
      </c>
      <c r="F39" s="286">
        <f>F38+F37+F36</f>
        <v>274722.55066831934</v>
      </c>
      <c r="G39" s="286">
        <f>IF($O$11&gt;=1,G38+G37+G36,"")</f>
        <v>274722.55066831934</v>
      </c>
      <c r="H39" s="286">
        <f>IF($O$11&gt;=2,H38+H37+H36,"")</f>
        <v>274722.55066831934</v>
      </c>
      <c r="I39" s="286">
        <f>IF($O$11&gt;=3,I38+I37+I36,"")</f>
        <v>274722.55066831934</v>
      </c>
      <c r="J39" s="286">
        <f>IF($O$11&gt;=4,J38+J37+J36,"")</f>
        <v>274722.55066831934</v>
      </c>
      <c r="K39" s="286">
        <f>IF($O$11&gt;=5,K38+K37+K36,"")</f>
        <v>274722.55066831934</v>
      </c>
      <c r="L39" s="286">
        <f>IF($O$11&gt;=6,L38+L37+L36,"")</f>
        <v>274722.55066831934</v>
      </c>
      <c r="M39" s="286">
        <f>IF($O$11&gt;=7,M38+M37+M36,"")</f>
        <v>274722.55066831934</v>
      </c>
      <c r="N39" s="286">
        <f>IF($O$11&gt;=8,N38+N37+N36,"")</f>
        <v>274722.55066831934</v>
      </c>
      <c r="O39" s="286">
        <f>IF($O$11&gt;=9,O38+O37+O36,"")</f>
        <v>274722.55066831934</v>
      </c>
      <c r="P39" s="286">
        <f>IF($O$11&gt;=10,P38+P37+P36,"")</f>
        <v>274722.55066831934</v>
      </c>
      <c r="Q39" s="286">
        <f>IF($O$11&gt;=11,Q38+Q37+Q36,"")</f>
        <v>274722.55066831934</v>
      </c>
      <c r="R39" s="286">
        <f>IF($O$11&gt;=12,R38+R37+R36,"")</f>
        <v>274722.55066831934</v>
      </c>
      <c r="S39" s="286">
        <f>IF($O$11&gt;=13,S38+S37+S36,"")</f>
        <v>274722.55066831934</v>
      </c>
      <c r="T39" s="286">
        <f>IF($O$11&gt;=14,T38+T37+T36,"")</f>
        <v>274722.55066831934</v>
      </c>
      <c r="U39" s="286">
        <f>IF($O$11&gt;=15,U38+U37+U36,"")</f>
        <v>274722.55066831934</v>
      </c>
      <c r="V39" s="286">
        <f>IF($O$11&gt;=16,V38+V37+V36,"")</f>
        <v>274722.55066831934</v>
      </c>
      <c r="W39" s="286">
        <f>IF($O$11&gt;=17,W38+W37+W36,"")</f>
        <v>274722.55066831934</v>
      </c>
      <c r="X39" s="286">
        <f>IF($O$11&gt;=18,X38+X37+X36,"")</f>
        <v>274722.55066831934</v>
      </c>
      <c r="Y39" s="286">
        <f>IF($O$11&gt;=19,Y38+Y37+Y36,"")</f>
        <v>274722.55066831934</v>
      </c>
      <c r="Z39" s="286">
        <f>IF($O$11&gt;=20,Z38+Z37+Z36,"")</f>
        <v>274722.55066831934</v>
      </c>
      <c r="AA39" s="286">
        <f>IF($O$11&gt;=21,AA38+AA37+AA36,"")</f>
        <v>274722.55066831934</v>
      </c>
      <c r="AB39" s="286">
        <f>IF($O$11&gt;=22,AB38+AB37+AB36,"")</f>
        <v>274722.55066831934</v>
      </c>
      <c r="AC39" s="286">
        <f>IF($O$11&gt;=23,AC38+AC37+AC36,"")</f>
        <v>274722.55066831934</v>
      </c>
      <c r="AD39" s="286">
        <f>IF($O$11&gt;=24,AD38+AD37+AD36,"")</f>
        <v>274722.55066831934</v>
      </c>
      <c r="AE39" s="287">
        <f>IF($O$11&gt;=25,AE38+AE37+AE36,"")</f>
        <v>274722.55066831934</v>
      </c>
      <c r="AF39" s="290"/>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row>
    <row r="40" spans="1:324" ht="17" outlineLevel="1" thickBot="1">
      <c r="A40" s="237">
        <f>SUM(D40:AE40)</f>
        <v>4267459.182</v>
      </c>
      <c r="B40" s="234"/>
      <c r="C40" s="42" t="s">
        <v>40</v>
      </c>
      <c r="D40" s="162"/>
      <c r="E40" s="431"/>
      <c r="F40" s="419"/>
      <c r="G40" s="418" t="str">
        <f>IF($O$12=G16,P14,"")</f>
        <v/>
      </c>
      <c r="H40" s="418" t="str">
        <f>IF($O$12=H16,$P$14,"")</f>
        <v/>
      </c>
      <c r="I40" s="418" t="str">
        <f>IF($O$12=I16,P14,"")</f>
        <v/>
      </c>
      <c r="J40" s="418" t="str">
        <f>IF($O$12=J16,P14,"")</f>
        <v/>
      </c>
      <c r="K40" s="418" t="str">
        <f>IF($O$12=K16,P14,"")</f>
        <v/>
      </c>
      <c r="L40" s="418" t="str">
        <f>IF($O$12=L16,P14,"")</f>
        <v/>
      </c>
      <c r="M40" s="418" t="str">
        <f>IF($O$12=M16,P14,"")</f>
        <v/>
      </c>
      <c r="N40" s="418" t="str">
        <f>IF($O$12=N16,P14,"")</f>
        <v/>
      </c>
      <c r="O40" s="418" t="str">
        <f>IF($O$12=O16,P14,"")</f>
        <v/>
      </c>
      <c r="P40" s="418" t="str">
        <f>IF($O$12=P16,P14,"")</f>
        <v/>
      </c>
      <c r="Q40" s="418" t="str">
        <f>IF($O$12=Q16,P14,"")</f>
        <v/>
      </c>
      <c r="R40" s="418" t="str">
        <f>IF($O$12=R16,P14,"")</f>
        <v/>
      </c>
      <c r="S40" s="418" t="str">
        <f>IF($O$12=S16,P14,"")</f>
        <v/>
      </c>
      <c r="T40" s="418" t="str">
        <f>IF($O$12=T16,P14,"")</f>
        <v/>
      </c>
      <c r="U40" s="418" t="str">
        <f>IF($O$12=U16,P14,"")</f>
        <v/>
      </c>
      <c r="V40" s="418" t="str">
        <f>IF($O$12=V16,P14,"")</f>
        <v/>
      </c>
      <c r="W40" s="418" t="str">
        <f>IF($O$12=W16,P14,"")</f>
        <v/>
      </c>
      <c r="X40" s="418" t="str">
        <f>IF($O$12=X16,P14,"")</f>
        <v/>
      </c>
      <c r="Y40" s="418" t="str">
        <f>IF($O$12=Y16,P14,"")</f>
        <v/>
      </c>
      <c r="Z40" s="418" t="str">
        <f>IF($O$12=Z16,P14,"")</f>
        <v/>
      </c>
      <c r="AA40" s="418" t="str">
        <f>IF($O$12=AA16,P14,"")</f>
        <v/>
      </c>
      <c r="AB40" s="418" t="str">
        <f>IF($O$12=AB16,P14,"")</f>
        <v/>
      </c>
      <c r="AC40" s="418" t="str">
        <f>IF($O$12=AC16,P14,"")</f>
        <v/>
      </c>
      <c r="AD40" s="418" t="str">
        <f>IF($O$12=AD16,P14,"")</f>
        <v/>
      </c>
      <c r="AE40" s="423">
        <f>IF($O$12=AE16,P14,"")</f>
        <v>4267459.182</v>
      </c>
      <c r="AF40" s="290"/>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row>
    <row r="41" spans="1:324" ht="17" thickBot="1">
      <c r="A41" s="239">
        <f>SUM(D41:AE41)</f>
        <v>-15417204.487117756</v>
      </c>
      <c r="B41" s="108"/>
      <c r="C41" s="115" t="s">
        <v>41</v>
      </c>
      <c r="D41" s="272">
        <f>-SUM(D22:D40)</f>
        <v>-10355000</v>
      </c>
      <c r="E41" s="209">
        <f>-SUM(E22:E40)+E39</f>
        <v>-788535.85066831938</v>
      </c>
      <c r="F41" s="210">
        <f>-SUM(F22:F35)+F39</f>
        <v>217637.22946831933</v>
      </c>
      <c r="G41" s="210">
        <f>IF($O$11=1,-SUM(G22:G38)+$A$40,IF($O$11&gt;1,-SUM(G22:G40)+G39,""))</f>
        <v>-331807.87186831934</v>
      </c>
      <c r="H41" s="210">
        <f>IF($O$11=2,-SUM(H22:H38)+$A$40,IF($O$11&gt;2,-SUM(H22:H40)+H39,""))</f>
        <v>-331807.87186831934</v>
      </c>
      <c r="I41" s="210">
        <f>IF($O$11=3,-SUM(I22:I38)+$A$40,IF($O$11&gt;3,-SUM(I22:I40)+I39,""))</f>
        <v>-331807.87186831934</v>
      </c>
      <c r="J41" s="210">
        <f>IF($O$11=4,-SUM(J22:J38)+$A$40,IF($O$11&gt;4,-SUM(J22:J40)+J39,""))</f>
        <v>-331807.87186831934</v>
      </c>
      <c r="K41" s="210">
        <f>IF($O$11=5,-SUM(K22:K38)+$A$40,IF($O$11&gt;5,-SUM(K22:K40)+K39,""))</f>
        <v>-346255.15186831926</v>
      </c>
      <c r="L41" s="210">
        <f>IF($O$11=6,-SUM(L22:L38)+$A$40,IF($O$11&gt;6,-SUM(L22:L40)+L39,""))</f>
        <v>-346970.47786831937</v>
      </c>
      <c r="M41" s="210">
        <f>IF($O$11=7,-SUM(M22:M38)+$A$40,IF($O$11&gt;7,-SUM(M22:M40)+M39,""))</f>
        <v>-347692.95712831931</v>
      </c>
      <c r="N41" s="210">
        <f>IF($O$11=8,-SUM(N22:N38)+$A$40,IF($O$11&gt;8,-SUM(N22:N40)+N39,""))</f>
        <v>-348422.66118091939</v>
      </c>
      <c r="O41" s="210">
        <f>IF($O$11=9,-SUM(O22:O38)+$A$40,IF($O$11&gt;9,-SUM(O22:O40)+O39,""))</f>
        <v>-349159.66227404529</v>
      </c>
      <c r="P41" s="210">
        <f>IF($O$11=10,-SUM(P22:P38)+$A$40,IF($O$11&gt;10,-SUM(P22:P40)+P39,""))</f>
        <v>-349904.03337810258</v>
      </c>
      <c r="Q41" s="210">
        <f>IF($O$11=11,-SUM(Q22:Q38)+$A$40,IF($O$11&gt;11,-SUM(Q22:Q40)+Q39,""))</f>
        <v>-350655.84819320042</v>
      </c>
      <c r="R41" s="210">
        <f>IF($O$11=12,-SUM(R22:R38)+$A$40,IF($O$11&gt;12,-SUM(R22:R40)+R39,""))</f>
        <v>-351415.18115644925</v>
      </c>
      <c r="S41" s="210">
        <f>IF($O$11=13,-SUM(S22:S38)+$A$40,IF($O$11&gt;13,-SUM(S22:S40)+S39,""))</f>
        <v>-352182.10744933051</v>
      </c>
      <c r="T41" s="210">
        <f>IF($O$11=14,-SUM(T22:T38)+$A$40,IF($O$11&gt;14,-SUM(T22:T40)+T39,""))</f>
        <v>-352956.70300514065</v>
      </c>
      <c r="U41" s="210">
        <f>IF($O$11=15,-SUM(U22:U38)+$A$40,IF($O$11&gt;15,-SUM(U22:U40)+U39,""))</f>
        <v>-353739.04451650882</v>
      </c>
      <c r="V41" s="210">
        <f>IF($O$11=16,-SUM(V22:V38)+$A$40,IF($O$11&gt;16,-SUM(V22:V40)+V39,""))</f>
        <v>-354529.20944299072</v>
      </c>
      <c r="W41" s="210">
        <f>IF($O$11=17,-SUM(W22:W38)+$A$40,IF($O$11&gt;17,-SUM(W22:W40)+W39,""))</f>
        <v>-355327.27601873747</v>
      </c>
      <c r="X41" s="210">
        <f>IF($O$11=18,-SUM(X22:X38)+$A$40,IF($O$11&gt;18,-SUM(X22:X40)+X39,""))</f>
        <v>-356133.32326024165</v>
      </c>
      <c r="Y41" s="210">
        <f>IF($O$11=19,-SUM(Y22:Y38)+$A$40,IF($O$11&gt;19,-SUM(Y22:Y40)+Y39,""))</f>
        <v>-356947.4309741609</v>
      </c>
      <c r="Z41" s="210">
        <f>IF($O$11=20,-SUM(Z22:Z38)+$A$40,IF($O$11&gt;20,-SUM(Z22:Z40)+Z39,""))</f>
        <v>-357769.67976521933</v>
      </c>
      <c r="AA41" s="210">
        <f>IF($O$11=21,-SUM(AA22:AA38)+$A$40,IF($O$11&gt;21,-SUM(AA22:AA40)+AA39,""))</f>
        <v>-358600.1510441883</v>
      </c>
      <c r="AB41" s="210">
        <f>IF($O$11=22,-SUM(AB22:AB38)+$A$40,IF($O$11&gt;22,-SUM(AB22:AB40)+AB39,""))</f>
        <v>-359438.92703594698</v>
      </c>
      <c r="AC41" s="210">
        <f>IF($O$11=23,-SUM(AC22:AC38)+$A$40,IF($O$11&gt;23,-SUM(AC22:AC40)+AC39,""))</f>
        <v>-360286.09078762331</v>
      </c>
      <c r="AD41" s="210">
        <f>IF($O$11=24,-SUM(AD22:AD38)+$A$40,IF($O$11&gt;24,-SUM(AD22:AD40)+AD39,""))</f>
        <v>-361141.72617681639</v>
      </c>
      <c r="AE41" s="211">
        <f>IF($O$11=25,-SUM(AE22:AE38)+$A$40,IF($O$11&gt;25,-SUM(AE22:AE40)+AE39,""))</f>
        <v>3905453.2640800988</v>
      </c>
      <c r="AF41" s="290"/>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row>
    <row r="42" spans="1:324" ht="1" customHeight="1" outlineLevel="1">
      <c r="A42" s="58"/>
      <c r="B42" s="87"/>
      <c r="C42" s="46" t="s">
        <v>42</v>
      </c>
      <c r="D42" s="47"/>
      <c r="E42" s="212" t="e">
        <f>-E41/E17</f>
        <v>#DIV/0!</v>
      </c>
      <c r="F42" s="184" t="e">
        <f>-F41/#REF!</f>
        <v>#REF!</v>
      </c>
      <c r="G42" s="184">
        <f>-G41/G17</f>
        <v>0.69749884250799188</v>
      </c>
      <c r="H42" s="184">
        <f>-H41/H17</f>
        <v>0.69749884250799188</v>
      </c>
      <c r="I42" s="212">
        <f>-I41/I17</f>
        <v>0.69749884250799188</v>
      </c>
      <c r="J42" s="184"/>
      <c r="K42" s="171"/>
      <c r="L42" s="169"/>
      <c r="M42" s="169"/>
      <c r="N42" s="169"/>
      <c r="O42" s="169"/>
      <c r="P42" s="169"/>
      <c r="Q42" s="169"/>
      <c r="R42" s="169"/>
      <c r="S42" s="169"/>
      <c r="T42" s="169"/>
      <c r="U42" s="169"/>
      <c r="V42" s="169"/>
      <c r="W42" s="169"/>
      <c r="X42" s="169"/>
      <c r="Y42" s="169"/>
      <c r="Z42" s="169"/>
      <c r="AA42" s="169"/>
      <c r="AB42" s="169"/>
      <c r="AC42" s="169"/>
      <c r="AD42" s="169"/>
      <c r="AE42" s="172"/>
      <c r="AF42" s="290"/>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row>
    <row r="43" spans="1:324" ht="1" customHeight="1" outlineLevel="1">
      <c r="A43" s="58"/>
      <c r="B43" s="87"/>
      <c r="C43" s="48" t="s">
        <v>43</v>
      </c>
      <c r="D43" s="49"/>
      <c r="E43" s="213" t="e">
        <f>E41/$D$29</f>
        <v>#DIV/0!</v>
      </c>
      <c r="F43" s="185" t="e">
        <f>F41/$D$29</f>
        <v>#DIV/0!</v>
      </c>
      <c r="G43" s="185" t="e">
        <f>G41/$D$29</f>
        <v>#DIV/0!</v>
      </c>
      <c r="H43" s="185" t="e">
        <f>H41/$D$29</f>
        <v>#DIV/0!</v>
      </c>
      <c r="I43" s="213" t="e">
        <f>I41/$D$29</f>
        <v>#DIV/0!</v>
      </c>
      <c r="J43" s="185"/>
      <c r="K43" s="171"/>
      <c r="L43" s="169"/>
      <c r="M43" s="169"/>
      <c r="N43" s="169"/>
      <c r="O43" s="182">
        <f>-SUM(N22:N40)</f>
        <v>-623145.21184923872</v>
      </c>
      <c r="P43" s="169"/>
      <c r="Q43" s="169"/>
      <c r="R43" s="169"/>
      <c r="S43" s="169"/>
      <c r="T43" s="169"/>
      <c r="U43" s="169"/>
      <c r="V43" s="169"/>
      <c r="W43" s="169"/>
      <c r="X43" s="169"/>
      <c r="Y43" s="169"/>
      <c r="Z43" s="169"/>
      <c r="AA43" s="169"/>
      <c r="AB43" s="169"/>
      <c r="AC43" s="169"/>
      <c r="AD43" s="169"/>
      <c r="AE43" s="172"/>
      <c r="AF43" s="290"/>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row>
    <row r="44" spans="1:324" ht="0.75" customHeight="1" outlineLevel="1">
      <c r="A44" s="58"/>
      <c r="B44" s="87"/>
      <c r="C44" s="48" t="s">
        <v>44</v>
      </c>
      <c r="D44" s="49"/>
      <c r="E44" s="185" t="e">
        <f>#REF!-E43</f>
        <v>#REF!</v>
      </c>
      <c r="F44" s="185" t="e">
        <f>#REF!-F43</f>
        <v>#REF!</v>
      </c>
      <c r="G44" s="185" t="e">
        <f>#REF!-G43</f>
        <v>#REF!</v>
      </c>
      <c r="H44" s="185" t="e">
        <f>#REF!-H43</f>
        <v>#REF!</v>
      </c>
      <c r="I44" s="185" t="e">
        <f>#REF!-I43</f>
        <v>#REF!</v>
      </c>
      <c r="J44" s="185" t="e">
        <f>#REF!-J43</f>
        <v>#REF!</v>
      </c>
      <c r="K44" s="185" t="e">
        <f>#REF!-K43</f>
        <v>#REF!</v>
      </c>
      <c r="L44" s="185" t="e">
        <f>#REF!-L43</f>
        <v>#REF!</v>
      </c>
      <c r="M44" s="185" t="e">
        <f>#REF!-M43</f>
        <v>#REF!</v>
      </c>
      <c r="N44" s="185" t="e">
        <f>#REF!-N43</f>
        <v>#REF!</v>
      </c>
      <c r="O44" s="185" t="e">
        <f>#REF!-O43</f>
        <v>#REF!</v>
      </c>
      <c r="P44" s="185" t="e">
        <f>#REF!-P43</f>
        <v>#REF!</v>
      </c>
      <c r="Q44" s="185" t="e">
        <f>#REF!-Q43</f>
        <v>#REF!</v>
      </c>
      <c r="R44" s="185" t="e">
        <f>#REF!-R43</f>
        <v>#REF!</v>
      </c>
      <c r="S44" s="185" t="e">
        <f>#REF!-S43</f>
        <v>#REF!</v>
      </c>
      <c r="T44" s="185" t="e">
        <f>#REF!-T43</f>
        <v>#REF!</v>
      </c>
      <c r="U44" s="185" t="e">
        <f>#REF!-U43</f>
        <v>#REF!</v>
      </c>
      <c r="V44" s="185" t="e">
        <f>#REF!-V43</f>
        <v>#REF!</v>
      </c>
      <c r="W44" s="185" t="e">
        <f>#REF!-W43</f>
        <v>#REF!</v>
      </c>
      <c r="X44" s="185" t="e">
        <f>#REF!-X43</f>
        <v>#REF!</v>
      </c>
      <c r="Y44" s="185" t="e">
        <f>#REF!-Y43</f>
        <v>#REF!</v>
      </c>
      <c r="Z44" s="185" t="e">
        <f>#REF!-Z43</f>
        <v>#REF!</v>
      </c>
      <c r="AA44" s="185" t="e">
        <f>#REF!-AA43</f>
        <v>#REF!</v>
      </c>
      <c r="AB44" s="185" t="e">
        <f>#REF!-AB43</f>
        <v>#REF!</v>
      </c>
      <c r="AC44" s="185" t="e">
        <f>#REF!-AC43</f>
        <v>#REF!</v>
      </c>
      <c r="AD44" s="185" t="e">
        <f>#REF!-AD43</f>
        <v>#REF!</v>
      </c>
      <c r="AE44" s="226" t="e">
        <f>#REF!-AE43</f>
        <v>#REF!</v>
      </c>
      <c r="AF44" s="290"/>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row>
    <row r="45" spans="1:324" ht="16" outlineLevel="1">
      <c r="A45" s="58">
        <f>SUM(D45:AE45)</f>
        <v>14547227.675263658</v>
      </c>
      <c r="B45" s="87"/>
      <c r="C45" s="50" t="s">
        <v>45</v>
      </c>
      <c r="D45" s="51"/>
      <c r="E45" s="199"/>
      <c r="F45" s="198" t="str">
        <f>IF(F16=$O$12,$F$14/$B$46,"")</f>
        <v/>
      </c>
      <c r="G45" s="198" t="str">
        <f>IF($O$11=1,$F$14/$B$46,"")</f>
        <v/>
      </c>
      <c r="H45" s="198" t="str">
        <f>IF($O$11=2,$F$14/$B$46,"")</f>
        <v/>
      </c>
      <c r="I45" s="198" t="str">
        <f>IF($O$11=3,$F$14/$B$46,"")</f>
        <v/>
      </c>
      <c r="J45" s="198" t="str">
        <f>IF($O$11=4,$F$14/$B$46,"")</f>
        <v/>
      </c>
      <c r="K45" s="198" t="str">
        <f>IF($O$11=5,$F$14/$B$46,"")</f>
        <v/>
      </c>
      <c r="L45" s="198" t="str">
        <f>IF($O$11=6,$F$14/$B$46,"")</f>
        <v/>
      </c>
      <c r="M45" s="198" t="str">
        <f>IF($O$11=7,$F$14/$B$46,"")</f>
        <v/>
      </c>
      <c r="N45" s="198" t="str">
        <f>IF($O$11=8,$F$14/$B$46,"")</f>
        <v/>
      </c>
      <c r="O45" s="198" t="str">
        <f>IF($O$11=9,$F$14/$B$46,"")</f>
        <v/>
      </c>
      <c r="P45" s="198" t="str">
        <f>IF($O$11=10,$F$14/$B$46,"")</f>
        <v/>
      </c>
      <c r="Q45" s="198" t="str">
        <f>IF($O$11=11,$F$14/$B$46,"")</f>
        <v/>
      </c>
      <c r="R45" s="198" t="str">
        <f>IF($O$11=12,$F$14/$B$46,"")</f>
        <v/>
      </c>
      <c r="S45" s="198" t="str">
        <f>IF($O$11=13,$F$14/$B$46,"")</f>
        <v/>
      </c>
      <c r="T45" s="198" t="str">
        <f>IF($O$11=14,$F$14/$B$46,"")</f>
        <v/>
      </c>
      <c r="U45" s="198" t="str">
        <f>IF($O$11=15,$F$14/$B$46,"")</f>
        <v/>
      </c>
      <c r="V45" s="198" t="str">
        <f>IF($O$11=16,$F$14/$B$46,"")</f>
        <v/>
      </c>
      <c r="W45" s="198" t="str">
        <f>IF($O$11=17,$F$14/$B$46,"")</f>
        <v/>
      </c>
      <c r="X45" s="198" t="str">
        <f>IF($O$11=18,$F$14/$B$46,"")</f>
        <v/>
      </c>
      <c r="Y45" s="198" t="str">
        <f>IF($O$11=19,$F$14/$B$46,"")</f>
        <v/>
      </c>
      <c r="Z45" s="198" t="str">
        <f>IF($O$11=20,$F$14/$B$46,"")</f>
        <v/>
      </c>
      <c r="AA45" s="198" t="str">
        <f>IF($O$11=21,$F$14/$B$46,"")</f>
        <v/>
      </c>
      <c r="AB45" s="198" t="str">
        <f>IF($O$11=22,$F$14/$B$46,"")</f>
        <v/>
      </c>
      <c r="AC45" s="198" t="str">
        <f>IF($O$11=23,$F$14/$B$46,"")</f>
        <v/>
      </c>
      <c r="AD45" s="198" t="str">
        <f>IF($O$11=24,$F$14/$B$46,"")</f>
        <v/>
      </c>
      <c r="AE45" s="200">
        <f>IF($O$11=25,$F$14/$B$46,"")</f>
        <v>14547227.675263658</v>
      </c>
      <c r="AF45" s="290"/>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row>
    <row r="46" spans="1:324" ht="16" outlineLevel="1">
      <c r="A46" s="58"/>
      <c r="B46" s="201">
        <f>'ACQUISITION FINANCEMENT'!C33</f>
        <v>0.05</v>
      </c>
      <c r="C46" s="42" t="s">
        <v>46</v>
      </c>
      <c r="D46" s="52"/>
      <c r="E46" s="185"/>
      <c r="F46" s="185"/>
      <c r="G46" s="185"/>
      <c r="H46" s="185"/>
      <c r="I46" s="185"/>
      <c r="J46" s="185"/>
      <c r="K46" s="171"/>
      <c r="L46" s="169"/>
      <c r="M46" s="169"/>
      <c r="N46" s="169"/>
      <c r="O46" s="169"/>
      <c r="P46" s="169"/>
      <c r="Q46" s="169"/>
      <c r="R46" s="169"/>
      <c r="S46" s="169"/>
      <c r="T46" s="169"/>
      <c r="U46" s="169"/>
      <c r="V46" s="169"/>
      <c r="W46" s="169"/>
      <c r="X46" s="169"/>
      <c r="Y46" s="169"/>
      <c r="Z46" s="169"/>
      <c r="AA46" s="169"/>
      <c r="AB46" s="169"/>
      <c r="AC46" s="169"/>
      <c r="AD46" s="169"/>
      <c r="AE46" s="172"/>
      <c r="AF46" s="290"/>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row>
    <row r="47" spans="1:324" ht="17" thickBot="1">
      <c r="A47" s="58">
        <f>SUM(D47:AE47)</f>
        <v>8352.1235518869962</v>
      </c>
      <c r="B47" s="87"/>
      <c r="C47" s="42" t="s">
        <v>47</v>
      </c>
      <c r="D47" s="156"/>
      <c r="E47" s="186" t="str">
        <f>IF(D16=$O$12,$A$45/$D$8,"")</f>
        <v/>
      </c>
      <c r="F47" s="186" t="str">
        <f>IF(E16=$O$12,$A$45/$D$8,"")</f>
        <v/>
      </c>
      <c r="G47" s="186" t="str">
        <f t="shared" ref="G47:AE47" si="8">IF(G16=$O$12,$A$45/$D$8,"")</f>
        <v/>
      </c>
      <c r="H47" s="186" t="str">
        <f t="shared" si="8"/>
        <v/>
      </c>
      <c r="I47" s="186" t="str">
        <f t="shared" si="8"/>
        <v/>
      </c>
      <c r="J47" s="186" t="str">
        <f t="shared" si="8"/>
        <v/>
      </c>
      <c r="K47" s="186" t="str">
        <f t="shared" si="8"/>
        <v/>
      </c>
      <c r="L47" s="186" t="str">
        <f t="shared" si="8"/>
        <v/>
      </c>
      <c r="M47" s="186" t="str">
        <f t="shared" si="8"/>
        <v/>
      </c>
      <c r="N47" s="186" t="str">
        <f t="shared" si="8"/>
        <v/>
      </c>
      <c r="O47" s="186" t="str">
        <f t="shared" si="8"/>
        <v/>
      </c>
      <c r="P47" s="186" t="str">
        <f t="shared" si="8"/>
        <v/>
      </c>
      <c r="Q47" s="186" t="str">
        <f t="shared" si="8"/>
        <v/>
      </c>
      <c r="R47" s="186" t="str">
        <f t="shared" si="8"/>
        <v/>
      </c>
      <c r="S47" s="186" t="str">
        <f t="shared" si="8"/>
        <v/>
      </c>
      <c r="T47" s="186" t="str">
        <f t="shared" si="8"/>
        <v/>
      </c>
      <c r="U47" s="186" t="str">
        <f t="shared" si="8"/>
        <v/>
      </c>
      <c r="V47" s="186" t="str">
        <f t="shared" si="8"/>
        <v/>
      </c>
      <c r="W47" s="186" t="str">
        <f t="shared" si="8"/>
        <v/>
      </c>
      <c r="X47" s="186" t="str">
        <f t="shared" si="8"/>
        <v/>
      </c>
      <c r="Y47" s="186" t="str">
        <f t="shared" si="8"/>
        <v/>
      </c>
      <c r="Z47" s="186" t="str">
        <f t="shared" si="8"/>
        <v/>
      </c>
      <c r="AA47" s="186" t="str">
        <f t="shared" si="8"/>
        <v/>
      </c>
      <c r="AB47" s="186" t="str">
        <f t="shared" si="8"/>
        <v/>
      </c>
      <c r="AC47" s="186" t="str">
        <f t="shared" si="8"/>
        <v/>
      </c>
      <c r="AD47" s="186" t="str">
        <f t="shared" si="8"/>
        <v/>
      </c>
      <c r="AE47" s="187">
        <f t="shared" si="8"/>
        <v>8352.1235518869962</v>
      </c>
      <c r="AF47" s="290"/>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row>
    <row r="48" spans="1:324" ht="20.25" customHeight="1" thickBot="1">
      <c r="A48" s="59">
        <f>SUM(D48:AE48)</f>
        <v>23079227.00259161</v>
      </c>
      <c r="B48" s="107"/>
      <c r="C48" s="60" t="s">
        <v>48</v>
      </c>
      <c r="D48" s="71">
        <f>D21+D41</f>
        <v>-3099783.1756357504</v>
      </c>
      <c r="E48" s="188">
        <f>IF(E45="",E21+E41,IF(E45=$A$45,E21+E41+$A$45,E21+E41))</f>
        <v>-326103.88066831935</v>
      </c>
      <c r="F48" s="204">
        <f>IF(F45="",F21+F41,IF(F45=$A$45,F21+F41+$A$45,F21+F41))</f>
        <v>693348.23946831934</v>
      </c>
      <c r="G48" s="204">
        <f>IF($O$11=1,G21+G41+G45,IF($O$11&gt;1,G21+G41,""))</f>
        <v>143903.13813168067</v>
      </c>
      <c r="H48" s="204">
        <f>IF($O$11=2,H21+H41+H45,IF($O$11&gt;2,H21+H41,""))</f>
        <v>143903.13813168067</v>
      </c>
      <c r="I48" s="204">
        <f>IF($O$11=3,I21+I41+I45,IF($O$11&gt;3,I21+I41,""))</f>
        <v>143903.13813168067</v>
      </c>
      <c r="J48" s="204">
        <f>IF($O$11=4,J21+J41+J45,IF($O$11&gt;4,J21+J41,""))</f>
        <v>143903.13813168067</v>
      </c>
      <c r="K48" s="204">
        <f>IF($O$11=5,K21+K41+K45,IF($O$11&gt;5,K21+K41,""))</f>
        <v>249849.85813168075</v>
      </c>
      <c r="L48" s="204">
        <f>IF($O$11=6,L21+L41+L45,IF($O$11&gt;6,L21+L41,""))</f>
        <v>255095.58213168068</v>
      </c>
      <c r="M48" s="204">
        <f>IF($O$11=7,M21+M41+M45,IF($O$11&gt;7,M21+M41,""))</f>
        <v>260393.76337168075</v>
      </c>
      <c r="N48" s="204">
        <f>IF($O$11=8,N21+N41+N45,IF($O$11&gt;8,N21+N41,""))</f>
        <v>265744.92642408062</v>
      </c>
      <c r="O48" s="204">
        <f>IF($O$11=9,O21+O41+O45,IF($O$11&gt;9,O21+O41,""))</f>
        <v>271149.60110700468</v>
      </c>
      <c r="P48" s="204">
        <f>IF($O$11=10,P21+P41+P45,IF($O$11&gt;10,P21+P41,""))</f>
        <v>276608.32253675791</v>
      </c>
      <c r="Q48" s="204">
        <f>IF($O$11=11,Q21+Q41+Q45,IF($O$11&gt;11,Q21+Q41,""))</f>
        <v>282121.63118080865</v>
      </c>
      <c r="R48" s="204">
        <f>IF($O$11=12,R21+R41+R45,IF($O$11&gt;12,R21+R41,""))</f>
        <v>287690.07291129988</v>
      </c>
      <c r="S48" s="204">
        <f>IF($O$11=13,S21+S41+S45,IF($O$11&gt;13,S21+S41,""))</f>
        <v>293314.19905909617</v>
      </c>
      <c r="T48" s="204">
        <f>IF($O$11=14,T21+T41+T45,IF($O$11&gt;14,T21+T41,""))</f>
        <v>298994.56646837026</v>
      </c>
      <c r="U48" s="204">
        <f>IF($O$11=15,U21+U41+U45,IF($O$11&gt;15,U21+U41,""))</f>
        <v>304731.73755173723</v>
      </c>
      <c r="V48" s="204">
        <f>IF($O$11=16,V21+V41+V45,IF($O$11&gt;16,V21+V41,""))</f>
        <v>310526.28034593782</v>
      </c>
      <c r="W48" s="204">
        <f>IF($O$11=17,W21+W41+W45,IF($O$11&gt;17,W21+W41,""))</f>
        <v>316378.76856808038</v>
      </c>
      <c r="X48" s="204">
        <f>IF($O$11=18,X21+X41+X45,IF($O$11&gt;18,X21+X41,""))</f>
        <v>322289.78167244443</v>
      </c>
      <c r="Y48" s="204">
        <f>IF($O$11=19,Y21+Y41+Y45,IF($O$11&gt;19,Y21+Y41,""))</f>
        <v>328259.90490785206</v>
      </c>
      <c r="Z48" s="204">
        <f>IF($O$11=20,Z21+Z41+Z45,IF($O$11&gt;20,Z21+Z41,""))</f>
        <v>334289.72937561374</v>
      </c>
      <c r="AA48" s="204">
        <f>IF($O$11=21,AA21+AA41+AA45,IF($O$11&gt;21,AA21+AA41,""))</f>
        <v>340379.85208805313</v>
      </c>
      <c r="AB48" s="204">
        <f>IF($O$11=22,AB21+AB41+AB45,IF($O$11&gt;22,AB21+AB41,""))</f>
        <v>346530.87602761691</v>
      </c>
      <c r="AC48" s="204">
        <f>IF($O$11=23,AC21+AC41+AC45,IF($O$11&gt;23,AC21+AC41,""))</f>
        <v>352743.41020657623</v>
      </c>
      <c r="AD48" s="204">
        <f>IF($O$11=24,AD21+AD41+AD45,IF($O$11&gt;24,AD21+AD41,""))</f>
        <v>359018.06972732511</v>
      </c>
      <c r="AE48" s="207">
        <f>IF($O$11=25,AE21+AE41+AE45,IF($O$11&gt;25,AE21+AE41,""))</f>
        <v>19180042.333106939</v>
      </c>
      <c r="AF48" s="290"/>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row>
    <row r="49" spans="1:133" ht="21" customHeight="1">
      <c r="A49" s="58"/>
      <c r="B49" s="40"/>
      <c r="C49" s="163" t="s">
        <v>49</v>
      </c>
      <c r="D49" s="116">
        <f>D48</f>
        <v>-3099783.1756357504</v>
      </c>
      <c r="E49" s="208">
        <f>E48+D49</f>
        <v>-3425887.0563040697</v>
      </c>
      <c r="F49" s="274">
        <f>IF($O$11&gt;=0,F48+E49,"")</f>
        <v>-2732538.8168357504</v>
      </c>
      <c r="G49" s="275">
        <f>IF($O$11&gt;=1,G48+F49,"")</f>
        <v>-2588635.6787040699</v>
      </c>
      <c r="H49" s="275">
        <f>IF($O$11&gt;=2,H48+G49,"")</f>
        <v>-2444732.540572389</v>
      </c>
      <c r="I49" s="275">
        <f>IF($O$11&gt;=3,I48+H49,"")</f>
        <v>-2300829.4024407081</v>
      </c>
      <c r="J49" s="275">
        <f>IF($O$11&gt;=4,J48+I49,"")</f>
        <v>-2156926.2643090272</v>
      </c>
      <c r="K49" s="275">
        <f>IF($O$11&gt;=5,K48+J49,"")</f>
        <v>-1907076.4061773466</v>
      </c>
      <c r="L49" s="275">
        <f>IF($O$11&gt;=6,L48+K49,"")</f>
        <v>-1651980.824045666</v>
      </c>
      <c r="M49" s="275">
        <f>IF($O$11&gt;=7,M48+L49,"")</f>
        <v>-1391587.0606739852</v>
      </c>
      <c r="N49" s="275">
        <f>IF($O$11&gt;=8,N48+M49,"")</f>
        <v>-1125842.1342499047</v>
      </c>
      <c r="O49" s="275">
        <f>IF($O$11&gt;=9,O48+N49,"")</f>
        <v>-854692.53314289998</v>
      </c>
      <c r="P49" s="275">
        <f>IF($O$11&gt;=10,P48+O49,"")</f>
        <v>-578084.21060614206</v>
      </c>
      <c r="Q49" s="275">
        <f>IF($O$11&gt;=11,Q48+P49,"")</f>
        <v>-295962.57942533342</v>
      </c>
      <c r="R49" s="275">
        <f>IF($O$11&gt;=12,R48+Q49,"")</f>
        <v>-8272.5065140335355</v>
      </c>
      <c r="S49" s="275">
        <f>IF($O$11&gt;=13,S48+R49,"")</f>
        <v>285041.69254506263</v>
      </c>
      <c r="T49" s="275">
        <f>IF($O$11&gt;=14,T48+S49,"")</f>
        <v>584036.25901343289</v>
      </c>
      <c r="U49" s="275">
        <f>IF($O$11&gt;=15,U48+T49,"")</f>
        <v>888767.99656517012</v>
      </c>
      <c r="V49" s="275">
        <f>IF($O$11&gt;=16,V48+U49,"")</f>
        <v>1199294.2769111078</v>
      </c>
      <c r="W49" s="275">
        <f>IF($O$11&gt;=17,W48+V49,"")</f>
        <v>1515673.0454791882</v>
      </c>
      <c r="X49" s="275">
        <f>IF($O$11&gt;=18,X48+W49,"")</f>
        <v>1837962.8271516326</v>
      </c>
      <c r="Y49" s="275">
        <f>IF($O$11&gt;=19,Y48+X49,"")</f>
        <v>2166222.7320594848</v>
      </c>
      <c r="Z49" s="275">
        <f>IF($O$11&gt;=20,Z48+Y49,"")</f>
        <v>2500512.4614350987</v>
      </c>
      <c r="AA49" s="275">
        <f>IF($O$11&gt;=21,AA48+Z49,"")</f>
        <v>2840892.3135231519</v>
      </c>
      <c r="AB49" s="275">
        <f>IF($O$11&gt;=22,AB48+AA49,"")</f>
        <v>3187423.1895507686</v>
      </c>
      <c r="AC49" s="275">
        <f>IF($O$11&gt;=23,AC48+AB49,"")</f>
        <v>3540166.5997573449</v>
      </c>
      <c r="AD49" s="275">
        <f>IF($O$11&gt;=24,AD48+AC49,"")</f>
        <v>3899184.6694846703</v>
      </c>
      <c r="AE49" s="273">
        <f>IF($O$11&gt;=25,AE48+AD49,"")</f>
        <v>23079227.00259161</v>
      </c>
      <c r="AF49" s="290"/>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row>
    <row r="50" spans="1:133" ht="17" thickBot="1">
      <c r="A50" s="58"/>
      <c r="B50" s="40"/>
      <c r="C50" s="42"/>
      <c r="D50" s="53"/>
      <c r="E50" s="189"/>
      <c r="F50" s="189"/>
      <c r="G50" s="189">
        <f>IF($O$11&gt;=1,,"")</f>
        <v>0</v>
      </c>
      <c r="H50" s="189"/>
      <c r="I50" s="189"/>
      <c r="J50" s="189"/>
      <c r="K50" s="171"/>
      <c r="L50" s="171" t="str">
        <f>IF(L16=$O$12,L21+L41+L45,"")</f>
        <v/>
      </c>
      <c r="M50" s="169"/>
      <c r="N50" s="169"/>
      <c r="O50" s="169"/>
      <c r="P50" s="169"/>
      <c r="Q50" s="169"/>
      <c r="R50" s="169"/>
      <c r="S50" s="169"/>
      <c r="T50" s="169"/>
      <c r="U50" s="169"/>
      <c r="V50" s="169"/>
      <c r="W50" s="169"/>
      <c r="X50" s="169"/>
      <c r="Y50" s="169"/>
      <c r="Z50" s="169"/>
      <c r="AA50" s="169"/>
      <c r="AB50" s="169"/>
      <c r="AC50" s="169"/>
      <c r="AD50" s="169"/>
      <c r="AE50" s="172"/>
      <c r="AF50" s="290"/>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row>
    <row r="51" spans="1:133" ht="19.5" customHeight="1">
      <c r="A51" s="58"/>
      <c r="B51" s="40"/>
      <c r="C51" s="432" t="s">
        <v>50</v>
      </c>
      <c r="D51" s="433"/>
      <c r="E51" s="434">
        <f>IRR(D48:AE48)</f>
        <v>0.10757567744404728</v>
      </c>
      <c r="F51" s="190"/>
      <c r="G51" s="191"/>
      <c r="H51" s="190"/>
      <c r="I51" s="190"/>
      <c r="J51" s="190"/>
      <c r="K51" s="169"/>
      <c r="L51" s="169"/>
      <c r="M51" s="169"/>
      <c r="N51" s="169"/>
      <c r="O51" s="169"/>
      <c r="P51" s="169"/>
      <c r="Q51" s="169"/>
      <c r="R51" s="169"/>
      <c r="S51" s="169"/>
      <c r="T51" s="169"/>
      <c r="U51" s="169"/>
      <c r="V51" s="169"/>
      <c r="W51" s="169"/>
      <c r="X51" s="169"/>
      <c r="Y51" s="169"/>
      <c r="Z51" s="169"/>
      <c r="AA51" s="169"/>
      <c r="AB51" s="169"/>
      <c r="AC51" s="169"/>
      <c r="AD51" s="169"/>
      <c r="AE51" s="172"/>
      <c r="AF51" s="290"/>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row>
    <row r="52" spans="1:133" ht="19.5" customHeight="1">
      <c r="A52" s="58"/>
      <c r="B52" s="40"/>
      <c r="C52" s="54" t="s">
        <v>51</v>
      </c>
      <c r="D52" s="55"/>
      <c r="E52" s="192">
        <f>SUM(D48:AE48)</f>
        <v>23079227.00259161</v>
      </c>
      <c r="F52" s="171"/>
      <c r="G52" s="193"/>
      <c r="H52" s="193"/>
      <c r="I52" s="193"/>
      <c r="J52" s="193"/>
      <c r="K52" s="169"/>
      <c r="L52" s="169"/>
      <c r="M52" s="169"/>
      <c r="N52" s="169"/>
      <c r="O52" s="169"/>
      <c r="P52" s="169"/>
      <c r="Q52" s="169"/>
      <c r="R52" s="169"/>
      <c r="S52" s="169"/>
      <c r="T52" s="169"/>
      <c r="U52" s="169"/>
      <c r="V52" s="169"/>
      <c r="W52" s="169"/>
      <c r="X52" s="169"/>
      <c r="Y52" s="169"/>
      <c r="Z52" s="169"/>
      <c r="AA52" s="169"/>
      <c r="AB52" s="169"/>
      <c r="AC52" s="169"/>
      <c r="AD52" s="169"/>
      <c r="AE52" s="172"/>
      <c r="AF52" s="290"/>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row>
    <row r="53" spans="1:133" ht="19.5" customHeight="1" thickBot="1">
      <c r="A53" s="58"/>
      <c r="B53" s="40"/>
      <c r="C53" s="56"/>
      <c r="D53" s="57"/>
      <c r="E53" s="194"/>
      <c r="F53" s="288"/>
      <c r="G53" s="288"/>
      <c r="H53" s="288"/>
      <c r="I53" s="288"/>
      <c r="J53" s="288"/>
      <c r="K53" s="289"/>
      <c r="L53" s="289"/>
      <c r="M53" s="289"/>
      <c r="N53" s="289"/>
      <c r="O53" s="289"/>
      <c r="P53" s="289"/>
      <c r="Q53" s="289"/>
      <c r="R53" s="289"/>
      <c r="S53" s="289"/>
      <c r="T53" s="289"/>
      <c r="U53" s="289"/>
      <c r="V53" s="289"/>
      <c r="W53" s="289"/>
      <c r="X53" s="289"/>
      <c r="Y53" s="289"/>
      <c r="Z53" s="289"/>
      <c r="AA53" s="289"/>
      <c r="AB53" s="289"/>
      <c r="AC53" s="289"/>
      <c r="AD53" s="289"/>
      <c r="AE53" s="356"/>
      <c r="AF53" s="290"/>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row>
    <row r="54" spans="1:133" ht="24.75" customHeight="1">
      <c r="B54" s="40"/>
      <c r="C54" s="218"/>
      <c r="D54" s="248"/>
      <c r="E54" s="249"/>
      <c r="F54" s="249"/>
      <c r="G54" s="249"/>
      <c r="H54" s="249"/>
      <c r="I54" s="249"/>
      <c r="J54" s="249"/>
      <c r="K54" s="283"/>
      <c r="L54" s="169"/>
      <c r="M54" s="169"/>
      <c r="N54" s="169"/>
      <c r="O54" s="169"/>
      <c r="P54" s="169"/>
      <c r="Q54" s="169"/>
      <c r="R54" s="169"/>
      <c r="S54" s="169"/>
      <c r="T54" s="169"/>
      <c r="U54" s="169"/>
      <c r="V54" s="169"/>
      <c r="W54" s="169"/>
      <c r="X54" s="169"/>
      <c r="Y54" s="169"/>
      <c r="Z54" s="169"/>
      <c r="AA54" s="169"/>
      <c r="AB54" s="169"/>
      <c r="AC54" s="169"/>
      <c r="AD54" s="169"/>
      <c r="AE54" s="169"/>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row>
    <row r="55" spans="1:133" ht="15">
      <c r="C55" s="6"/>
      <c r="D55" s="38"/>
      <c r="E55" s="169"/>
      <c r="F55" s="169"/>
      <c r="G55" s="169"/>
      <c r="H55" s="169"/>
      <c r="I55" s="169"/>
      <c r="J55" s="169"/>
      <c r="K55" s="169"/>
      <c r="L55" s="169"/>
      <c r="M55" s="169"/>
      <c r="N55" s="169"/>
      <c r="O55" s="169"/>
      <c r="P55" s="169"/>
      <c r="Q55" s="169"/>
      <c r="R55" s="169"/>
      <c r="S55" s="169"/>
      <c r="T55" s="169"/>
      <c r="U55" s="169"/>
      <c r="V55" s="169"/>
      <c r="W55" s="169"/>
      <c r="X55" s="169"/>
      <c r="Y55" s="169"/>
      <c r="Z55" s="169"/>
      <c r="AA55" s="169"/>
      <c r="AB55" s="169"/>
      <c r="AC55" s="169"/>
      <c r="AD55" s="169"/>
      <c r="AE55" s="169"/>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row>
    <row r="56" spans="1:133" ht="15">
      <c r="C56" s="6"/>
      <c r="D56" s="38"/>
      <c r="E56" s="169"/>
      <c r="F56" s="169"/>
      <c r="G56" s="169"/>
      <c r="H56" s="169"/>
      <c r="I56" s="169"/>
      <c r="J56" s="169"/>
      <c r="K56" s="169"/>
      <c r="L56" s="169"/>
      <c r="M56" s="169"/>
      <c r="N56" s="169"/>
      <c r="O56" s="169"/>
      <c r="P56" s="169"/>
      <c r="Q56" s="169"/>
      <c r="R56" s="169"/>
      <c r="S56" s="169"/>
      <c r="T56" s="169"/>
      <c r="U56" s="169"/>
      <c r="V56" s="169"/>
      <c r="W56" s="169"/>
      <c r="X56" s="169"/>
      <c r="Y56" s="169"/>
      <c r="Z56" s="169"/>
      <c r="AA56" s="169"/>
      <c r="AB56" s="169"/>
      <c r="AC56" s="169"/>
      <c r="AD56" s="169"/>
      <c r="AE56" s="169"/>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row>
    <row r="57" spans="1:133" ht="15">
      <c r="C57" s="6"/>
      <c r="D57" s="6"/>
      <c r="E57" s="169"/>
      <c r="F57" s="205"/>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row>
    <row r="58" spans="1:133" ht="15">
      <c r="C58" s="6"/>
      <c r="D58" s="6"/>
      <c r="E58" s="169"/>
      <c r="F58" s="205"/>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row>
    <row r="59" spans="1:133" ht="15">
      <c r="C59" s="6"/>
      <c r="D59" s="6"/>
      <c r="E59" s="169"/>
      <c r="F59" s="205"/>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row>
    <row r="60" spans="1:133" ht="15">
      <c r="C60" s="6"/>
      <c r="D60" s="6"/>
      <c r="E60" s="169"/>
      <c r="F60" s="205"/>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row>
    <row r="61" spans="1:133" ht="15">
      <c r="C61" s="6"/>
      <c r="D61" s="6"/>
      <c r="E61" s="169"/>
      <c r="F61" s="205"/>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row>
    <row r="62" spans="1:133" ht="15">
      <c r="D62" s="6"/>
      <c r="E62" s="169"/>
      <c r="F62" s="205"/>
      <c r="G62" s="6"/>
    </row>
    <row r="63" spans="1:133" ht="15">
      <c r="D63" s="6"/>
      <c r="E63" s="169"/>
      <c r="F63" s="205"/>
      <c r="G63" s="6"/>
    </row>
    <row r="64" spans="1:133" ht="15">
      <c r="D64" s="6"/>
      <c r="E64" s="169"/>
      <c r="F64" s="205"/>
      <c r="G64" s="6"/>
    </row>
    <row r="65" spans="4:7" ht="15">
      <c r="D65" s="6"/>
      <c r="E65" s="169"/>
      <c r="F65" s="205"/>
      <c r="G65" s="6"/>
    </row>
    <row r="66" spans="4:7" ht="15">
      <c r="D66" s="6"/>
      <c r="E66" s="169"/>
      <c r="F66" s="205"/>
      <c r="G66" s="6"/>
    </row>
    <row r="67" spans="4:7" ht="15">
      <c r="D67" s="6"/>
      <c r="E67" s="169"/>
      <c r="F67" s="205"/>
      <c r="G67" s="6"/>
    </row>
    <row r="68" spans="4:7" ht="15">
      <c r="D68" s="6"/>
      <c r="E68" s="169"/>
      <c r="F68" s="205"/>
      <c r="G68" s="6"/>
    </row>
    <row r="69" spans="4:7" ht="15">
      <c r="D69" s="6"/>
      <c r="E69" s="169"/>
      <c r="F69" s="205"/>
      <c r="G69" s="6"/>
    </row>
    <row r="70" spans="4:7" ht="15">
      <c r="D70" s="6"/>
      <c r="E70" s="169"/>
      <c r="F70" s="205"/>
      <c r="G70" s="6"/>
    </row>
    <row r="71" spans="4:7" ht="15">
      <c r="D71" s="6"/>
      <c r="E71" s="169"/>
      <c r="F71" s="205"/>
      <c r="G71" s="6"/>
    </row>
    <row r="72" spans="4:7" ht="15">
      <c r="D72" s="6"/>
      <c r="E72" s="169"/>
      <c r="F72" s="205"/>
      <c r="G72" s="6"/>
    </row>
    <row r="73" spans="4:7" ht="15">
      <c r="D73" s="6"/>
      <c r="E73" s="169"/>
      <c r="F73" s="205"/>
      <c r="G73" s="6"/>
    </row>
    <row r="74" spans="4:7" ht="15">
      <c r="D74" s="6"/>
      <c r="E74" s="169"/>
      <c r="F74" s="205"/>
      <c r="G74" s="6"/>
    </row>
    <row r="75" spans="4:7" ht="15">
      <c r="D75" s="6"/>
      <c r="E75" s="169"/>
      <c r="F75" s="205"/>
      <c r="G75" s="6"/>
    </row>
    <row r="76" spans="4:7" ht="15">
      <c r="D76" s="6"/>
      <c r="E76" s="169"/>
      <c r="F76" s="205"/>
      <c r="G76" s="6"/>
    </row>
    <row r="77" spans="4:7" ht="15">
      <c r="D77" s="6"/>
      <c r="E77" s="169"/>
      <c r="F77" s="205"/>
      <c r="G77" s="6"/>
    </row>
    <row r="78" spans="4:7" ht="15">
      <c r="D78" s="6"/>
      <c r="E78" s="169"/>
      <c r="F78" s="205"/>
      <c r="G78" s="6"/>
    </row>
    <row r="79" spans="4:7" ht="15">
      <c r="D79" s="6"/>
      <c r="E79" s="169"/>
      <c r="F79" s="205"/>
      <c r="G79" s="6"/>
    </row>
    <row r="80" spans="4:7" ht="15">
      <c r="D80" s="6"/>
      <c r="E80" s="169"/>
      <c r="F80" s="205"/>
      <c r="G80" s="6"/>
    </row>
    <row r="81" spans="4:7" ht="15">
      <c r="D81" s="6"/>
      <c r="E81" s="169"/>
      <c r="F81" s="205"/>
      <c r="G81" s="6"/>
    </row>
    <row r="82" spans="4:7" ht="15">
      <c r="D82" s="6"/>
      <c r="E82" s="169"/>
      <c r="F82" s="205"/>
      <c r="G82" s="6"/>
    </row>
    <row r="83" spans="4:7" ht="15">
      <c r="D83" s="6"/>
      <c r="E83" s="169"/>
      <c r="F83" s="205"/>
      <c r="G83" s="6"/>
    </row>
    <row r="84" spans="4:7" ht="15">
      <c r="D84" s="6"/>
      <c r="E84" s="169"/>
      <c r="F84" s="205"/>
      <c r="G84" s="6"/>
    </row>
    <row r="85" spans="4:7" ht="15">
      <c r="D85" s="6"/>
      <c r="E85" s="169"/>
      <c r="F85" s="205"/>
      <c r="G85" s="6"/>
    </row>
    <row r="86" spans="4:7" ht="15">
      <c r="D86" s="6"/>
      <c r="E86" s="169"/>
      <c r="F86" s="205"/>
      <c r="G86" s="6"/>
    </row>
    <row r="87" spans="4:7" ht="15">
      <c r="D87" s="6"/>
      <c r="E87" s="169"/>
      <c r="F87" s="205"/>
      <c r="G87" s="6"/>
    </row>
    <row r="88" spans="4:7" ht="15">
      <c r="D88" s="6"/>
      <c r="E88" s="169"/>
      <c r="F88" s="205"/>
      <c r="G88" s="6"/>
    </row>
    <row r="89" spans="4:7" ht="15">
      <c r="D89" s="6"/>
      <c r="E89" s="169"/>
      <c r="F89" s="205"/>
      <c r="G89" s="6"/>
    </row>
    <row r="90" spans="4:7" ht="15">
      <c r="D90" s="6"/>
      <c r="E90" s="169"/>
      <c r="F90" s="205"/>
      <c r="G90" s="6"/>
    </row>
    <row r="91" spans="4:7" ht="15">
      <c r="D91" s="6"/>
      <c r="E91" s="169"/>
      <c r="F91" s="205"/>
      <c r="G91" s="6"/>
    </row>
    <row r="92" spans="4:7" ht="15">
      <c r="D92" s="6"/>
      <c r="E92" s="169"/>
      <c r="F92" s="205"/>
      <c r="G92" s="6"/>
    </row>
    <row r="93" spans="4:7" ht="15">
      <c r="D93" s="6"/>
      <c r="E93" s="169"/>
      <c r="F93" s="205"/>
      <c r="G93" s="6"/>
    </row>
    <row r="94" spans="4:7" ht="15">
      <c r="D94" s="6"/>
      <c r="E94" s="169"/>
      <c r="F94" s="205"/>
      <c r="G94" s="6"/>
    </row>
    <row r="95" spans="4:7" ht="15">
      <c r="D95" s="6"/>
      <c r="E95" s="169"/>
      <c r="F95" s="205"/>
      <c r="G95" s="6"/>
    </row>
    <row r="96" spans="4:7" ht="15">
      <c r="D96" s="6"/>
      <c r="E96" s="169"/>
      <c r="F96" s="205"/>
      <c r="G96" s="6"/>
    </row>
    <row r="97" spans="4:7" ht="15">
      <c r="D97" s="6"/>
      <c r="E97" s="169"/>
      <c r="F97" s="205"/>
      <c r="G97" s="6"/>
    </row>
    <row r="98" spans="4:7" ht="15">
      <c r="D98" s="6"/>
      <c r="E98" s="169"/>
      <c r="F98" s="205"/>
      <c r="G98" s="6"/>
    </row>
    <row r="99" spans="4:7" ht="15">
      <c r="D99" s="6"/>
      <c r="E99" s="169"/>
      <c r="F99" s="205"/>
      <c r="G99" s="6"/>
    </row>
    <row r="100" spans="4:7" ht="15">
      <c r="D100" s="6"/>
      <c r="E100" s="169"/>
      <c r="F100" s="205"/>
      <c r="G100" s="6"/>
    </row>
    <row r="101" spans="4:7" ht="15">
      <c r="D101" s="6"/>
      <c r="E101" s="169"/>
      <c r="F101" s="205"/>
      <c r="G101" s="6"/>
    </row>
    <row r="102" spans="4:7" ht="15">
      <c r="D102" s="6"/>
      <c r="E102" s="169"/>
      <c r="F102" s="205"/>
      <c r="G102" s="6"/>
    </row>
    <row r="103" spans="4:7" ht="15">
      <c r="D103" s="6"/>
      <c r="E103" s="169"/>
      <c r="F103" s="205"/>
      <c r="G103" s="6"/>
    </row>
    <row r="104" spans="4:7" ht="15">
      <c r="D104" s="6"/>
      <c r="E104" s="169"/>
      <c r="F104" s="205"/>
      <c r="G104" s="6"/>
    </row>
    <row r="105" spans="4:7" ht="15">
      <c r="D105" s="6"/>
      <c r="E105" s="169"/>
      <c r="F105" s="205"/>
      <c r="G105" s="6"/>
    </row>
    <row r="106" spans="4:7" ht="15">
      <c r="D106" s="6"/>
      <c r="E106" s="169"/>
      <c r="F106" s="205"/>
      <c r="G106" s="6"/>
    </row>
    <row r="107" spans="4:7" ht="15">
      <c r="D107" s="6"/>
      <c r="E107" s="169"/>
      <c r="F107" s="205"/>
      <c r="G107" s="6"/>
    </row>
    <row r="108" spans="4:7" ht="15">
      <c r="D108" s="6"/>
      <c r="E108" s="169"/>
      <c r="F108" s="205"/>
      <c r="G108" s="6"/>
    </row>
    <row r="109" spans="4:7" ht="15">
      <c r="D109" s="6"/>
      <c r="E109" s="169"/>
      <c r="F109" s="205"/>
      <c r="G109" s="6"/>
    </row>
    <row r="110" spans="4:7" ht="15">
      <c r="D110" s="6"/>
      <c r="E110" s="169"/>
      <c r="F110" s="205"/>
      <c r="G110" s="6"/>
    </row>
    <row r="111" spans="4:7" ht="15">
      <c r="D111" s="6"/>
      <c r="E111" s="169"/>
      <c r="F111" s="205"/>
      <c r="G111" s="6"/>
    </row>
    <row r="112" spans="4:7" ht="15">
      <c r="D112" s="6"/>
      <c r="E112" s="169"/>
      <c r="F112" s="205"/>
      <c r="G112" s="6"/>
    </row>
    <row r="113" spans="4:7" ht="15">
      <c r="D113" s="6"/>
      <c r="E113" s="169"/>
      <c r="F113" s="205"/>
      <c r="G113" s="6"/>
    </row>
    <row r="114" spans="4:7" ht="15">
      <c r="D114" s="6"/>
      <c r="E114" s="169"/>
      <c r="F114" s="205"/>
      <c r="G114" s="6"/>
    </row>
    <row r="115" spans="4:7" ht="15">
      <c r="D115" s="6"/>
      <c r="E115" s="169"/>
      <c r="F115" s="205"/>
      <c r="G115" s="6"/>
    </row>
    <row r="116" spans="4:7" ht="15">
      <c r="D116" s="6"/>
      <c r="E116" s="169"/>
      <c r="F116" s="205"/>
      <c r="G116" s="6"/>
    </row>
    <row r="117" spans="4:7" ht="15">
      <c r="D117" s="6"/>
      <c r="E117" s="169"/>
      <c r="F117" s="205"/>
      <c r="G117" s="6"/>
    </row>
    <row r="118" spans="4:7" ht="15">
      <c r="D118" s="6"/>
      <c r="E118" s="169"/>
      <c r="F118" s="205"/>
      <c r="G118" s="6"/>
    </row>
    <row r="119" spans="4:7" ht="15">
      <c r="D119" s="6"/>
      <c r="E119" s="169"/>
      <c r="F119" s="205"/>
      <c r="G119" s="6"/>
    </row>
    <row r="120" spans="4:7" ht="15">
      <c r="D120" s="6"/>
      <c r="E120" s="169"/>
      <c r="F120" s="205"/>
      <c r="G120" s="6"/>
    </row>
    <row r="121" spans="4:7" ht="15">
      <c r="D121" s="6"/>
      <c r="E121" s="169"/>
      <c r="F121" s="205"/>
      <c r="G121" s="6"/>
    </row>
    <row r="122" spans="4:7" ht="15">
      <c r="D122" s="6"/>
      <c r="E122" s="169"/>
      <c r="F122" s="205"/>
      <c r="G122" s="6"/>
    </row>
    <row r="123" spans="4:7" ht="15">
      <c r="D123" s="6"/>
      <c r="E123" s="169"/>
      <c r="F123" s="205"/>
      <c r="G123" s="6"/>
    </row>
    <row r="124" spans="4:7" ht="15">
      <c r="D124" s="6"/>
      <c r="E124" s="169"/>
      <c r="F124" s="205"/>
      <c r="G124" s="6"/>
    </row>
    <row r="125" spans="4:7" ht="15">
      <c r="D125" s="6"/>
      <c r="E125" s="169"/>
      <c r="F125" s="205"/>
      <c r="G125" s="6"/>
    </row>
    <row r="126" spans="4:7" ht="15">
      <c r="D126" s="6"/>
      <c r="E126" s="169"/>
      <c r="F126" s="205"/>
      <c r="G126" s="6"/>
    </row>
    <row r="127" spans="4:7" ht="15">
      <c r="D127" s="6"/>
      <c r="E127" s="169"/>
      <c r="F127" s="205"/>
      <c r="G127" s="6"/>
    </row>
    <row r="128" spans="4:7" ht="15">
      <c r="D128" s="6"/>
      <c r="E128" s="169"/>
      <c r="F128" s="205"/>
      <c r="G128" s="6"/>
    </row>
    <row r="129" spans="4:7" ht="15">
      <c r="D129" s="6"/>
      <c r="E129" s="169"/>
      <c r="F129" s="205"/>
      <c r="G129" s="6"/>
    </row>
    <row r="130" spans="4:7" ht="15">
      <c r="D130" s="6"/>
      <c r="E130" s="169"/>
      <c r="F130" s="205"/>
      <c r="G130" s="6"/>
    </row>
    <row r="131" spans="4:7" ht="15">
      <c r="D131" s="6"/>
      <c r="E131" s="169"/>
      <c r="F131" s="205"/>
      <c r="G131" s="6"/>
    </row>
    <row r="132" spans="4:7" ht="15">
      <c r="D132" s="6"/>
      <c r="E132" s="169"/>
      <c r="F132" s="205"/>
      <c r="G132" s="6"/>
    </row>
    <row r="133" spans="4:7" ht="15">
      <c r="D133" s="6"/>
      <c r="E133" s="169"/>
      <c r="F133" s="205"/>
      <c r="G133" s="6"/>
    </row>
    <row r="134" spans="4:7" ht="15">
      <c r="D134" s="6"/>
      <c r="E134" s="169"/>
      <c r="F134" s="205"/>
      <c r="G134" s="6"/>
    </row>
    <row r="135" spans="4:7" ht="15">
      <c r="D135" s="6"/>
      <c r="E135" s="169"/>
      <c r="F135" s="205"/>
      <c r="G135" s="6"/>
    </row>
    <row r="136" spans="4:7" ht="15">
      <c r="D136" s="6"/>
      <c r="E136" s="169"/>
      <c r="F136" s="205"/>
      <c r="G136" s="6"/>
    </row>
    <row r="137" spans="4:7" ht="15">
      <c r="D137" s="6"/>
      <c r="E137" s="169"/>
      <c r="F137" s="205"/>
      <c r="G137" s="6"/>
    </row>
    <row r="138" spans="4:7" ht="15">
      <c r="D138" s="6"/>
      <c r="E138" s="169"/>
      <c r="F138" s="205"/>
      <c r="G138" s="6"/>
    </row>
    <row r="139" spans="4:7" ht="15">
      <c r="D139" s="6"/>
      <c r="E139" s="169"/>
      <c r="F139" s="205"/>
      <c r="G139" s="6"/>
    </row>
    <row r="140" spans="4:7" ht="15">
      <c r="D140" s="6"/>
      <c r="E140" s="169"/>
      <c r="F140" s="205"/>
      <c r="G140" s="6"/>
    </row>
    <row r="141" spans="4:7" ht="15">
      <c r="D141" s="6"/>
      <c r="E141" s="169"/>
      <c r="F141" s="205"/>
      <c r="G141" s="6"/>
    </row>
    <row r="142" spans="4:7" ht="15">
      <c r="D142" s="6"/>
      <c r="E142" s="169"/>
      <c r="F142" s="205"/>
      <c r="G142" s="6"/>
    </row>
    <row r="143" spans="4:7" ht="15">
      <c r="D143" s="6"/>
      <c r="E143" s="169"/>
      <c r="F143" s="205"/>
      <c r="G143" s="6"/>
    </row>
    <row r="144" spans="4:7" ht="15">
      <c r="D144" s="6"/>
      <c r="E144" s="169"/>
      <c r="F144" s="205"/>
      <c r="G144" s="6"/>
    </row>
    <row r="145" spans="4:7" ht="15">
      <c r="D145" s="6"/>
      <c r="E145" s="169"/>
      <c r="F145" s="205"/>
      <c r="G145" s="6"/>
    </row>
    <row r="146" spans="4:7" ht="15">
      <c r="D146" s="6"/>
      <c r="E146" s="169"/>
      <c r="F146" s="205"/>
      <c r="G146" s="6"/>
    </row>
    <row r="147" spans="4:7" ht="15">
      <c r="D147" s="6"/>
      <c r="E147" s="169"/>
      <c r="F147" s="205"/>
      <c r="G147" s="6"/>
    </row>
    <row r="148" spans="4:7" ht="15">
      <c r="D148" s="6"/>
      <c r="E148" s="169"/>
      <c r="F148" s="205"/>
      <c r="G148" s="6"/>
    </row>
    <row r="149" spans="4:7" ht="15">
      <c r="D149" s="6"/>
      <c r="E149" s="169"/>
      <c r="F149" s="205"/>
      <c r="G149" s="6"/>
    </row>
    <row r="150" spans="4:7" ht="15">
      <c r="D150" s="6"/>
      <c r="E150" s="169"/>
      <c r="F150" s="205"/>
      <c r="G150" s="6"/>
    </row>
    <row r="151" spans="4:7" ht="15">
      <c r="D151" s="6"/>
      <c r="E151" s="169"/>
      <c r="F151" s="205"/>
      <c r="G151" s="6"/>
    </row>
    <row r="152" spans="4:7" ht="15">
      <c r="D152" s="6"/>
      <c r="E152" s="169"/>
      <c r="F152" s="205"/>
      <c r="G152" s="6"/>
    </row>
    <row r="153" spans="4:7" ht="15">
      <c r="D153" s="6"/>
      <c r="E153" s="169"/>
      <c r="F153" s="205"/>
      <c r="G153" s="6"/>
    </row>
    <row r="154" spans="4:7" ht="15">
      <c r="D154" s="6"/>
      <c r="E154" s="169"/>
      <c r="F154" s="205"/>
      <c r="G154" s="6"/>
    </row>
    <row r="155" spans="4:7" ht="15">
      <c r="D155" s="6"/>
      <c r="E155" s="169"/>
      <c r="F155" s="205"/>
      <c r="G155" s="6"/>
    </row>
    <row r="156" spans="4:7" ht="15">
      <c r="D156" s="6"/>
      <c r="E156" s="169"/>
      <c r="F156" s="205"/>
      <c r="G156" s="6"/>
    </row>
    <row r="157" spans="4:7" ht="15">
      <c r="D157" s="6"/>
      <c r="E157" s="169"/>
      <c r="F157" s="205"/>
      <c r="G157" s="6"/>
    </row>
    <row r="158" spans="4:7" ht="15">
      <c r="D158" s="6"/>
      <c r="E158" s="169"/>
      <c r="F158" s="205"/>
      <c r="G158" s="6"/>
    </row>
    <row r="159" spans="4:7" ht="15">
      <c r="D159" s="6"/>
      <c r="E159" s="169"/>
      <c r="F159" s="205"/>
      <c r="G159" s="6"/>
    </row>
    <row r="160" spans="4:7" ht="15">
      <c r="D160" s="6"/>
      <c r="E160" s="169"/>
      <c r="F160" s="205"/>
      <c r="G160" s="6"/>
    </row>
    <row r="161" spans="4:7" ht="15">
      <c r="D161" s="6"/>
      <c r="E161" s="169"/>
      <c r="F161" s="205"/>
      <c r="G161" s="6"/>
    </row>
    <row r="162" spans="4:7" ht="15">
      <c r="D162" s="6"/>
      <c r="E162" s="169"/>
      <c r="F162" s="205"/>
      <c r="G162" s="6"/>
    </row>
    <row r="163" spans="4:7" ht="15">
      <c r="D163" s="6"/>
      <c r="E163" s="169"/>
      <c r="F163" s="205"/>
      <c r="G163" s="6"/>
    </row>
    <row r="164" spans="4:7" ht="15">
      <c r="D164" s="6"/>
      <c r="E164" s="169"/>
      <c r="F164" s="205"/>
      <c r="G164" s="6"/>
    </row>
    <row r="165" spans="4:7" ht="15">
      <c r="D165" s="6"/>
      <c r="E165" s="169"/>
      <c r="F165" s="205"/>
      <c r="G165" s="6"/>
    </row>
    <row r="166" spans="4:7" ht="15">
      <c r="D166" s="6"/>
      <c r="E166" s="169"/>
      <c r="F166" s="205"/>
      <c r="G166" s="6"/>
    </row>
    <row r="167" spans="4:7" ht="15">
      <c r="D167" s="6"/>
      <c r="E167" s="169"/>
      <c r="F167" s="205"/>
      <c r="G167" s="6"/>
    </row>
    <row r="168" spans="4:7" ht="15">
      <c r="D168" s="6"/>
      <c r="E168" s="169"/>
      <c r="F168" s="205"/>
      <c r="G168" s="6"/>
    </row>
    <row r="169" spans="4:7" ht="15">
      <c r="D169" s="6"/>
      <c r="E169" s="169"/>
      <c r="F169" s="205"/>
      <c r="G169" s="6"/>
    </row>
    <row r="170" spans="4:7" ht="15">
      <c r="D170" s="6"/>
      <c r="E170" s="169"/>
      <c r="F170" s="205"/>
      <c r="G170" s="6"/>
    </row>
    <row r="171" spans="4:7" ht="15">
      <c r="D171" s="6"/>
      <c r="E171" s="169"/>
      <c r="F171" s="205"/>
      <c r="G171" s="6"/>
    </row>
    <row r="172" spans="4:7" ht="15">
      <c r="D172" s="6"/>
      <c r="E172" s="169"/>
      <c r="F172" s="205"/>
      <c r="G172" s="6"/>
    </row>
    <row r="173" spans="4:7" ht="15">
      <c r="D173" s="6"/>
      <c r="E173" s="169"/>
      <c r="F173" s="205"/>
      <c r="G173" s="6"/>
    </row>
    <row r="174" spans="4:7" ht="15">
      <c r="D174" s="6"/>
      <c r="E174" s="169"/>
      <c r="F174" s="205"/>
      <c r="G174" s="6"/>
    </row>
    <row r="175" spans="4:7" ht="15">
      <c r="D175" s="6"/>
      <c r="E175" s="169"/>
      <c r="F175" s="205"/>
      <c r="G175" s="6"/>
    </row>
    <row r="176" spans="4:7" ht="15">
      <c r="D176" s="6"/>
      <c r="E176" s="169"/>
      <c r="F176" s="205"/>
      <c r="G176" s="6"/>
    </row>
    <row r="177" spans="4:7" ht="15">
      <c r="D177" s="6"/>
      <c r="E177" s="169"/>
      <c r="F177" s="205"/>
      <c r="G177" s="6"/>
    </row>
    <row r="178" spans="4:7" ht="15">
      <c r="D178" s="6"/>
      <c r="E178" s="169"/>
      <c r="F178" s="205"/>
      <c r="G178" s="6"/>
    </row>
    <row r="179" spans="4:7" ht="15">
      <c r="D179" s="6"/>
      <c r="E179" s="169"/>
      <c r="F179" s="205"/>
      <c r="G179" s="6"/>
    </row>
    <row r="180" spans="4:7" ht="15">
      <c r="D180" s="6"/>
      <c r="E180" s="169"/>
      <c r="F180" s="205"/>
      <c r="G180" s="6"/>
    </row>
    <row r="181" spans="4:7" ht="15">
      <c r="D181" s="6"/>
      <c r="E181" s="169"/>
      <c r="F181" s="205"/>
      <c r="G181" s="6"/>
    </row>
    <row r="182" spans="4:7" ht="15">
      <c r="D182" s="6"/>
      <c r="E182" s="169"/>
      <c r="F182" s="205"/>
      <c r="G182" s="6"/>
    </row>
    <row r="183" spans="4:7" ht="15">
      <c r="D183" s="6"/>
      <c r="E183" s="169"/>
      <c r="F183" s="205"/>
      <c r="G183" s="6"/>
    </row>
    <row r="184" spans="4:7" ht="15">
      <c r="D184" s="6"/>
      <c r="E184" s="169"/>
      <c r="F184" s="205"/>
      <c r="G184" s="6"/>
    </row>
    <row r="185" spans="4:7" ht="15">
      <c r="D185" s="6"/>
      <c r="E185" s="169"/>
      <c r="F185" s="205"/>
      <c r="G185" s="6"/>
    </row>
    <row r="186" spans="4:7" ht="15">
      <c r="D186" s="6"/>
      <c r="E186" s="169"/>
      <c r="F186" s="205"/>
      <c r="G186" s="6"/>
    </row>
    <row r="187" spans="4:7" ht="15">
      <c r="D187" s="6"/>
      <c r="E187" s="169"/>
      <c r="F187" s="205"/>
      <c r="G187" s="6"/>
    </row>
    <row r="188" spans="4:7" ht="15">
      <c r="D188" s="6"/>
      <c r="E188" s="169"/>
      <c r="F188" s="205"/>
      <c r="G188" s="6"/>
    </row>
    <row r="189" spans="4:7" ht="15">
      <c r="D189" s="6"/>
      <c r="E189" s="169"/>
      <c r="F189" s="205"/>
      <c r="G189" s="6"/>
    </row>
    <row r="190" spans="4:7" ht="15">
      <c r="D190" s="6"/>
      <c r="E190" s="169"/>
      <c r="F190" s="205"/>
      <c r="G190" s="6"/>
    </row>
    <row r="191" spans="4:7" ht="15">
      <c r="D191" s="6"/>
      <c r="E191" s="169"/>
      <c r="F191" s="205"/>
      <c r="G191" s="6"/>
    </row>
    <row r="192" spans="4:7" ht="15">
      <c r="D192" s="6"/>
      <c r="E192" s="169"/>
      <c r="F192" s="205"/>
      <c r="G192" s="6"/>
    </row>
    <row r="193" spans="4:7" ht="15">
      <c r="D193" s="6"/>
      <c r="E193" s="169"/>
      <c r="F193" s="205"/>
      <c r="G193" s="6"/>
    </row>
    <row r="194" spans="4:7" ht="15">
      <c r="D194" s="6"/>
      <c r="E194" s="169"/>
      <c r="F194" s="205"/>
      <c r="G194" s="6"/>
    </row>
    <row r="195" spans="4:7" ht="15">
      <c r="D195" s="6"/>
      <c r="E195" s="169"/>
      <c r="F195" s="205"/>
      <c r="G195" s="6"/>
    </row>
    <row r="196" spans="4:7" ht="15">
      <c r="D196" s="6"/>
      <c r="E196" s="169"/>
      <c r="F196" s="205"/>
      <c r="G196" s="6"/>
    </row>
    <row r="197" spans="4:7" ht="15">
      <c r="D197" s="6"/>
      <c r="E197" s="169"/>
      <c r="F197" s="205"/>
      <c r="G197" s="6"/>
    </row>
    <row r="198" spans="4:7" ht="15">
      <c r="D198" s="6"/>
      <c r="E198" s="169"/>
      <c r="F198" s="205"/>
      <c r="G198" s="6"/>
    </row>
    <row r="199" spans="4:7" ht="15">
      <c r="D199" s="6"/>
      <c r="E199" s="169"/>
      <c r="F199" s="205"/>
      <c r="G199" s="6"/>
    </row>
    <row r="200" spans="4:7" ht="15">
      <c r="D200" s="6"/>
      <c r="E200" s="169"/>
      <c r="F200" s="205"/>
      <c r="G200" s="6"/>
    </row>
    <row r="201" spans="4:7" ht="15">
      <c r="D201" s="6"/>
      <c r="E201" s="169"/>
      <c r="F201" s="205"/>
      <c r="G201" s="6"/>
    </row>
    <row r="202" spans="4:7" ht="15">
      <c r="D202" s="6"/>
      <c r="E202" s="169"/>
      <c r="F202" s="205"/>
      <c r="G202" s="6"/>
    </row>
    <row r="203" spans="4:7" ht="15">
      <c r="D203" s="6"/>
      <c r="E203" s="169"/>
      <c r="F203" s="205"/>
      <c r="G203" s="6"/>
    </row>
    <row r="204" spans="4:7" ht="15">
      <c r="D204" s="6"/>
      <c r="E204" s="169"/>
      <c r="F204" s="205"/>
      <c r="G204" s="6"/>
    </row>
    <row r="205" spans="4:7" ht="15">
      <c r="D205" s="6"/>
      <c r="E205" s="169"/>
      <c r="F205" s="205"/>
      <c r="G205" s="6"/>
    </row>
    <row r="206" spans="4:7" ht="15">
      <c r="D206" s="6"/>
      <c r="E206" s="169"/>
      <c r="F206" s="205"/>
      <c r="G206" s="6"/>
    </row>
    <row r="207" spans="4:7" ht="15">
      <c r="D207" s="6"/>
      <c r="E207" s="169"/>
      <c r="F207" s="205"/>
      <c r="G207" s="6"/>
    </row>
    <row r="208" spans="4:7" ht="15">
      <c r="D208" s="6"/>
      <c r="E208" s="169"/>
      <c r="F208" s="205"/>
      <c r="G208" s="6"/>
    </row>
    <row r="209" spans="4:7" ht="15">
      <c r="D209" s="6"/>
      <c r="E209" s="169"/>
      <c r="F209" s="205"/>
      <c r="G209" s="6"/>
    </row>
    <row r="210" spans="4:7" ht="15">
      <c r="D210" s="6"/>
      <c r="E210" s="169"/>
      <c r="F210" s="205"/>
      <c r="G210" s="6"/>
    </row>
    <row r="211" spans="4:7" ht="15">
      <c r="D211" s="6"/>
      <c r="E211" s="169"/>
      <c r="F211" s="6"/>
      <c r="G211" s="6"/>
    </row>
    <row r="212" spans="4:7" ht="15">
      <c r="D212" s="6"/>
      <c r="E212" s="169"/>
      <c r="F212" s="6"/>
      <c r="G212" s="6"/>
    </row>
    <row r="213" spans="4:7" ht="15">
      <c r="D213" s="6"/>
      <c r="E213" s="169"/>
      <c r="F213" s="6"/>
      <c r="G213" s="6"/>
    </row>
    <row r="214" spans="4:7" ht="15">
      <c r="D214" s="6"/>
      <c r="E214" s="169"/>
      <c r="F214" s="6"/>
      <c r="G214" s="6"/>
    </row>
    <row r="215" spans="4:7" ht="15">
      <c r="D215" s="6"/>
      <c r="E215" s="169"/>
      <c r="F215" s="6"/>
      <c r="G215" s="6"/>
    </row>
    <row r="216" spans="4:7" ht="15">
      <c r="D216" s="6"/>
      <c r="E216" s="169"/>
      <c r="F216" s="6"/>
      <c r="G216" s="6"/>
    </row>
    <row r="217" spans="4:7" ht="15">
      <c r="D217" s="6"/>
      <c r="E217" s="169"/>
      <c r="F217" s="6"/>
      <c r="G217" s="6"/>
    </row>
    <row r="218" spans="4:7" ht="15">
      <c r="D218" s="6"/>
      <c r="E218" s="169"/>
      <c r="F218" s="6"/>
      <c r="G218" s="6"/>
    </row>
    <row r="219" spans="4:7" ht="15">
      <c r="D219" s="6"/>
      <c r="E219" s="169"/>
      <c r="F219" s="6"/>
      <c r="G219" s="6"/>
    </row>
    <row r="220" spans="4:7" ht="15">
      <c r="D220" s="6"/>
      <c r="E220" s="169"/>
      <c r="F220" s="6"/>
      <c r="G220" s="6"/>
    </row>
    <row r="221" spans="4:7" ht="15">
      <c r="D221" s="6"/>
      <c r="E221" s="169"/>
      <c r="F221" s="6"/>
      <c r="G221" s="6"/>
    </row>
    <row r="222" spans="4:7" ht="15">
      <c r="D222" s="6"/>
      <c r="E222" s="169"/>
      <c r="F222" s="6"/>
      <c r="G222" s="6"/>
    </row>
    <row r="223" spans="4:7" ht="15">
      <c r="D223" s="6"/>
      <c r="E223" s="169"/>
      <c r="F223" s="6"/>
      <c r="G223" s="6"/>
    </row>
    <row r="224" spans="4:7" ht="15">
      <c r="D224" s="6"/>
      <c r="E224" s="169"/>
      <c r="F224" s="6"/>
      <c r="G224" s="6"/>
    </row>
    <row r="225" spans="4:7" ht="15">
      <c r="D225" s="6"/>
      <c r="E225" s="169"/>
      <c r="F225" s="6"/>
      <c r="G225" s="6"/>
    </row>
    <row r="226" spans="4:7" ht="15">
      <c r="D226" s="6"/>
      <c r="E226" s="169"/>
      <c r="F226" s="6"/>
      <c r="G226" s="6"/>
    </row>
    <row r="227" spans="4:7" ht="15">
      <c r="D227" s="6"/>
      <c r="E227" s="169"/>
      <c r="F227" s="6"/>
      <c r="G227" s="6"/>
    </row>
    <row r="228" spans="4:7" ht="15">
      <c r="D228" s="6"/>
      <c r="E228" s="169"/>
      <c r="F228" s="6"/>
      <c r="G228" s="6"/>
    </row>
    <row r="229" spans="4:7" ht="15">
      <c r="D229" s="6"/>
      <c r="E229" s="169"/>
      <c r="F229" s="6"/>
      <c r="G229" s="6"/>
    </row>
    <row r="230" spans="4:7" ht="15">
      <c r="D230" s="6"/>
      <c r="E230" s="169"/>
      <c r="F230" s="6"/>
      <c r="G230" s="6"/>
    </row>
    <row r="231" spans="4:7" ht="15">
      <c r="D231" s="6"/>
      <c r="E231" s="169"/>
      <c r="F231" s="6"/>
      <c r="G231" s="6"/>
    </row>
    <row r="232" spans="4:7" ht="15">
      <c r="D232" s="6"/>
      <c r="E232" s="169"/>
      <c r="F232" s="6"/>
      <c r="G232" s="6"/>
    </row>
    <row r="233" spans="4:7" ht="15">
      <c r="D233" s="6"/>
      <c r="E233" s="169"/>
      <c r="F233" s="6"/>
      <c r="G233" s="6"/>
    </row>
    <row r="234" spans="4:7" ht="15">
      <c r="D234" s="6"/>
      <c r="E234" s="169"/>
      <c r="F234" s="6"/>
      <c r="G234" s="6"/>
    </row>
    <row r="235" spans="4:7" ht="15">
      <c r="D235" s="6"/>
      <c r="E235" s="169"/>
      <c r="F235" s="6"/>
      <c r="G235" s="6"/>
    </row>
    <row r="236" spans="4:7" ht="15">
      <c r="D236" s="6"/>
      <c r="E236" s="169"/>
      <c r="F236" s="6"/>
      <c r="G236" s="6"/>
    </row>
    <row r="237" spans="4:7" ht="15">
      <c r="D237" s="6"/>
      <c r="E237" s="169"/>
      <c r="F237" s="6"/>
      <c r="G237" s="6"/>
    </row>
    <row r="238" spans="4:7" ht="15">
      <c r="D238" s="6"/>
      <c r="E238" s="169"/>
      <c r="F238" s="6"/>
      <c r="G238" s="6"/>
    </row>
    <row r="239" spans="4:7" ht="15">
      <c r="D239" s="6"/>
      <c r="E239" s="169"/>
      <c r="F239" s="6"/>
      <c r="G239" s="6"/>
    </row>
    <row r="240" spans="4:7" ht="15">
      <c r="D240" s="6"/>
      <c r="E240" s="169"/>
      <c r="F240" s="6"/>
      <c r="G240" s="6"/>
    </row>
    <row r="241" spans="4:7" ht="15">
      <c r="D241" s="6"/>
      <c r="E241" s="169"/>
      <c r="F241" s="6"/>
      <c r="G241" s="6"/>
    </row>
    <row r="242" spans="4:7" ht="15">
      <c r="D242" s="6"/>
      <c r="E242" s="169"/>
      <c r="F242" s="6"/>
      <c r="G242" s="6"/>
    </row>
    <row r="243" spans="4:7" ht="15">
      <c r="D243" s="6"/>
      <c r="E243" s="169"/>
      <c r="F243" s="6"/>
      <c r="G243" s="6"/>
    </row>
    <row r="244" spans="4:7" ht="15">
      <c r="D244" s="6"/>
      <c r="E244" s="169"/>
      <c r="F244" s="6"/>
      <c r="G244" s="6"/>
    </row>
    <row r="245" spans="4:7" ht="15">
      <c r="D245" s="6"/>
      <c r="E245" s="169"/>
      <c r="F245" s="6"/>
      <c r="G245" s="6"/>
    </row>
    <row r="246" spans="4:7" ht="15">
      <c r="D246" s="6"/>
      <c r="E246" s="169"/>
      <c r="F246" s="6"/>
      <c r="G246" s="6"/>
    </row>
    <row r="247" spans="4:7" ht="15">
      <c r="D247" s="6"/>
      <c r="E247" s="169"/>
      <c r="F247" s="6"/>
      <c r="G247" s="6"/>
    </row>
    <row r="248" spans="4:7" ht="15">
      <c r="D248" s="6"/>
      <c r="E248" s="169"/>
      <c r="F248" s="6"/>
      <c r="G248" s="6"/>
    </row>
    <row r="249" spans="4:7" ht="15">
      <c r="D249" s="6"/>
      <c r="E249" s="169"/>
      <c r="F249" s="6"/>
      <c r="G249" s="6"/>
    </row>
    <row r="250" spans="4:7" ht="15">
      <c r="D250" s="6"/>
      <c r="E250" s="169"/>
      <c r="F250" s="6"/>
      <c r="G250" s="6"/>
    </row>
    <row r="251" spans="4:7" ht="15">
      <c r="D251" s="6"/>
      <c r="E251" s="169"/>
      <c r="F251" s="6"/>
      <c r="G251" s="6"/>
    </row>
    <row r="252" spans="4:7" ht="15">
      <c r="D252" s="6"/>
      <c r="E252" s="169"/>
      <c r="F252" s="6"/>
      <c r="G252" s="6"/>
    </row>
    <row r="253" spans="4:7" ht="15">
      <c r="D253" s="6"/>
      <c r="E253" s="169"/>
      <c r="F253" s="6"/>
      <c r="G253" s="6"/>
    </row>
    <row r="254" spans="4:7" ht="15">
      <c r="D254" s="6"/>
      <c r="E254" s="169"/>
      <c r="F254" s="6"/>
      <c r="G254" s="6"/>
    </row>
    <row r="255" spans="4:7" ht="15">
      <c r="D255" s="6"/>
      <c r="E255" s="169"/>
      <c r="F255" s="6"/>
      <c r="G255" s="6"/>
    </row>
    <row r="256" spans="4:7" ht="15">
      <c r="D256" s="6"/>
      <c r="E256" s="169"/>
      <c r="F256" s="6"/>
      <c r="G256" s="6"/>
    </row>
    <row r="257" spans="4:7" ht="15">
      <c r="D257" s="6"/>
      <c r="E257" s="169"/>
      <c r="F257" s="6"/>
      <c r="G257" s="6"/>
    </row>
    <row r="258" spans="4:7" ht="15">
      <c r="D258" s="6"/>
      <c r="E258" s="169"/>
      <c r="F258" s="6"/>
      <c r="G258" s="6"/>
    </row>
    <row r="259" spans="4:7" ht="15">
      <c r="D259" s="6"/>
      <c r="E259" s="169"/>
      <c r="F259" s="6"/>
      <c r="G259" s="6"/>
    </row>
    <row r="260" spans="4:7" ht="15">
      <c r="D260" s="6"/>
      <c r="E260" s="169"/>
      <c r="F260" s="6"/>
      <c r="G260" s="6"/>
    </row>
    <row r="261" spans="4:7" ht="15">
      <c r="D261" s="6"/>
      <c r="E261" s="169"/>
      <c r="F261" s="6"/>
      <c r="G261" s="6"/>
    </row>
    <row r="262" spans="4:7" ht="15">
      <c r="D262" s="6"/>
      <c r="E262" s="169"/>
      <c r="F262" s="6"/>
      <c r="G262" s="6"/>
    </row>
    <row r="263" spans="4:7" ht="15">
      <c r="D263" s="6"/>
      <c r="E263" s="169"/>
      <c r="F263" s="6"/>
      <c r="G263" s="6"/>
    </row>
    <row r="264" spans="4:7" ht="15">
      <c r="D264" s="6"/>
      <c r="E264" s="169"/>
      <c r="F264" s="6"/>
      <c r="G264" s="6"/>
    </row>
    <row r="265" spans="4:7" ht="15">
      <c r="D265" s="6"/>
      <c r="E265" s="169"/>
      <c r="F265" s="6"/>
      <c r="G265" s="6"/>
    </row>
    <row r="266" spans="4:7" ht="15">
      <c r="D266" s="6"/>
      <c r="E266" s="169"/>
      <c r="F266" s="6"/>
      <c r="G266" s="6"/>
    </row>
    <row r="267" spans="4:7" ht="15">
      <c r="D267" s="6"/>
      <c r="E267" s="169"/>
      <c r="F267" s="6"/>
      <c r="G267" s="6"/>
    </row>
    <row r="268" spans="4:7" ht="15">
      <c r="D268" s="6"/>
      <c r="E268" s="169"/>
      <c r="F268" s="6"/>
      <c r="G268" s="6"/>
    </row>
    <row r="269" spans="4:7" ht="15">
      <c r="D269" s="6"/>
      <c r="E269" s="169"/>
      <c r="F269" s="6"/>
      <c r="G269" s="6"/>
    </row>
    <row r="270" spans="4:7" ht="15">
      <c r="D270" s="6"/>
      <c r="E270" s="169"/>
      <c r="F270" s="6"/>
      <c r="G270" s="6"/>
    </row>
    <row r="271" spans="4:7" ht="15">
      <c r="D271" s="6"/>
      <c r="E271" s="169"/>
      <c r="F271" s="6"/>
      <c r="G271" s="6"/>
    </row>
    <row r="272" spans="4:7" ht="15">
      <c r="D272" s="6"/>
      <c r="E272" s="169"/>
      <c r="F272" s="6"/>
      <c r="G272" s="6"/>
    </row>
    <row r="273" spans="4:7" ht="15">
      <c r="D273" s="6"/>
      <c r="E273" s="169"/>
      <c r="F273" s="6"/>
      <c r="G273" s="6"/>
    </row>
    <row r="274" spans="4:7" ht="15">
      <c r="D274" s="6"/>
      <c r="E274" s="169"/>
      <c r="F274" s="6"/>
      <c r="G274" s="6"/>
    </row>
    <row r="275" spans="4:7" ht="15">
      <c r="D275" s="6"/>
      <c r="E275" s="169"/>
      <c r="F275" s="6"/>
      <c r="G275" s="6"/>
    </row>
    <row r="276" spans="4:7" ht="15">
      <c r="D276" s="6"/>
      <c r="E276" s="169"/>
      <c r="F276" s="6"/>
      <c r="G276" s="6"/>
    </row>
    <row r="277" spans="4:7" ht="15">
      <c r="D277" s="6"/>
      <c r="E277" s="169"/>
      <c r="F277" s="6"/>
      <c r="G277" s="6"/>
    </row>
    <row r="278" spans="4:7" ht="15">
      <c r="D278" s="6"/>
      <c r="E278" s="169"/>
      <c r="F278" s="6"/>
      <c r="G278" s="6"/>
    </row>
    <row r="279" spans="4:7" ht="15">
      <c r="D279" s="6"/>
      <c r="E279" s="169"/>
      <c r="F279" s="6"/>
      <c r="G279" s="6"/>
    </row>
    <row r="280" spans="4:7" ht="15">
      <c r="D280" s="6"/>
      <c r="E280" s="169"/>
      <c r="F280" s="6"/>
      <c r="G280" s="6"/>
    </row>
    <row r="281" spans="4:7" ht="15">
      <c r="D281" s="6"/>
      <c r="E281" s="169"/>
      <c r="F281" s="6"/>
      <c r="G281" s="6"/>
    </row>
    <row r="282" spans="4:7" ht="15">
      <c r="D282" s="6"/>
      <c r="E282" s="169"/>
      <c r="F282" s="6"/>
      <c r="G282" s="6"/>
    </row>
    <row r="283" spans="4:7" ht="15">
      <c r="D283" s="6"/>
      <c r="E283" s="169"/>
      <c r="F283" s="6"/>
      <c r="G283" s="6"/>
    </row>
    <row r="284" spans="4:7" ht="15">
      <c r="D284" s="6"/>
      <c r="E284" s="169"/>
      <c r="F284" s="6"/>
      <c r="G284" s="6"/>
    </row>
    <row r="285" spans="4:7" ht="15">
      <c r="D285" s="6"/>
      <c r="E285" s="169"/>
      <c r="F285" s="6"/>
      <c r="G285" s="6"/>
    </row>
    <row r="286" spans="4:7" ht="15">
      <c r="D286" s="6"/>
      <c r="E286" s="169"/>
      <c r="F286" s="6"/>
      <c r="G286" s="6"/>
    </row>
    <row r="287" spans="4:7" ht="15">
      <c r="D287" s="6"/>
      <c r="E287" s="169"/>
      <c r="F287" s="6"/>
      <c r="G287" s="6"/>
    </row>
    <row r="288" spans="4:7" ht="15">
      <c r="D288" s="6"/>
      <c r="E288" s="169"/>
      <c r="F288" s="6"/>
      <c r="G288" s="6"/>
    </row>
    <row r="289" spans="4:7" ht="15">
      <c r="D289" s="6"/>
      <c r="E289" s="169"/>
      <c r="F289" s="6"/>
      <c r="G289" s="6"/>
    </row>
    <row r="290" spans="4:7" ht="15">
      <c r="D290" s="6"/>
      <c r="E290" s="169"/>
      <c r="F290" s="6"/>
      <c r="G290" s="6"/>
    </row>
    <row r="291" spans="4:7" ht="15">
      <c r="D291" s="6"/>
      <c r="E291" s="169"/>
      <c r="F291" s="6"/>
      <c r="G291" s="6"/>
    </row>
    <row r="292" spans="4:7" ht="15">
      <c r="D292" s="6"/>
      <c r="E292" s="169"/>
      <c r="F292" s="6"/>
      <c r="G292" s="6"/>
    </row>
    <row r="293" spans="4:7" ht="15">
      <c r="D293" s="6"/>
      <c r="E293" s="169"/>
      <c r="F293" s="6"/>
      <c r="G293" s="6"/>
    </row>
    <row r="294" spans="4:7" ht="15">
      <c r="D294" s="6"/>
      <c r="E294" s="169"/>
      <c r="F294" s="6"/>
      <c r="G294" s="6"/>
    </row>
    <row r="295" spans="4:7" ht="15">
      <c r="D295" s="6"/>
      <c r="E295" s="169"/>
      <c r="F295" s="6"/>
      <c r="G295" s="6"/>
    </row>
    <row r="296" spans="4:7" ht="15">
      <c r="D296" s="6"/>
      <c r="E296" s="169"/>
      <c r="F296" s="6"/>
      <c r="G296" s="6"/>
    </row>
    <row r="297" spans="4:7" ht="15">
      <c r="D297" s="6"/>
      <c r="E297" s="169"/>
      <c r="F297" s="6"/>
      <c r="G297" s="6"/>
    </row>
    <row r="298" spans="4:7" ht="15">
      <c r="D298" s="6"/>
      <c r="E298" s="169"/>
      <c r="F298" s="6"/>
      <c r="G298" s="6"/>
    </row>
    <row r="299" spans="4:7" ht="15">
      <c r="D299" s="6"/>
      <c r="E299" s="169"/>
      <c r="F299" s="6"/>
      <c r="G299" s="6"/>
    </row>
    <row r="300" spans="4:7" ht="15">
      <c r="D300" s="6"/>
      <c r="E300" s="169"/>
      <c r="F300" s="6"/>
      <c r="G300" s="6"/>
    </row>
    <row r="301" spans="4:7" ht="15">
      <c r="D301" s="6"/>
      <c r="E301" s="169"/>
      <c r="F301" s="6"/>
      <c r="G301" s="6"/>
    </row>
    <row r="302" spans="4:7" ht="15">
      <c r="D302" s="6"/>
      <c r="E302" s="169"/>
      <c r="F302" s="6"/>
      <c r="G302" s="6"/>
    </row>
    <row r="303" spans="4:7" ht="15">
      <c r="D303" s="6"/>
      <c r="E303" s="169"/>
      <c r="F303" s="6"/>
      <c r="G303" s="6"/>
    </row>
    <row r="304" spans="4:7" ht="15">
      <c r="D304" s="6"/>
      <c r="E304" s="169"/>
      <c r="F304" s="6"/>
      <c r="G304" s="6"/>
    </row>
    <row r="305" spans="4:7" ht="15">
      <c r="D305" s="6"/>
      <c r="E305" s="169"/>
      <c r="F305" s="6"/>
      <c r="G305" s="6"/>
    </row>
    <row r="306" spans="4:7" ht="15">
      <c r="D306" s="6"/>
      <c r="E306" s="169"/>
      <c r="F306" s="6"/>
      <c r="G306" s="6"/>
    </row>
    <row r="307" spans="4:7" ht="15">
      <c r="D307" s="6"/>
      <c r="E307" s="169"/>
      <c r="F307" s="6"/>
      <c r="G307" s="6"/>
    </row>
    <row r="308" spans="4:7" ht="15">
      <c r="D308" s="6"/>
      <c r="E308" s="169"/>
      <c r="F308" s="6"/>
      <c r="G308" s="6"/>
    </row>
    <row r="309" spans="4:7" ht="15">
      <c r="D309" s="6"/>
      <c r="E309" s="169"/>
      <c r="F309" s="6"/>
      <c r="G309" s="6"/>
    </row>
    <row r="310" spans="4:7" ht="15">
      <c r="D310" s="6"/>
      <c r="E310" s="169"/>
      <c r="F310" s="6"/>
      <c r="G310" s="6"/>
    </row>
    <row r="311" spans="4:7" ht="15">
      <c r="D311" s="6"/>
      <c r="E311" s="169"/>
      <c r="F311" s="6"/>
      <c r="G311" s="6"/>
    </row>
    <row r="312" spans="4:7" ht="15">
      <c r="D312" s="6"/>
      <c r="E312" s="169"/>
      <c r="F312" s="6"/>
      <c r="G312" s="6"/>
    </row>
    <row r="313" spans="4:7" ht="15">
      <c r="D313" s="6"/>
      <c r="E313" s="169"/>
      <c r="F313" s="6"/>
      <c r="G313" s="6"/>
    </row>
    <row r="314" spans="4:7" ht="15">
      <c r="D314" s="6"/>
      <c r="E314" s="169"/>
      <c r="F314" s="6"/>
      <c r="G314" s="6"/>
    </row>
    <row r="315" spans="4:7" ht="15">
      <c r="D315" s="6"/>
      <c r="E315" s="169"/>
      <c r="F315" s="6"/>
      <c r="G315" s="6"/>
    </row>
    <row r="316" spans="4:7" ht="15">
      <c r="D316" s="6"/>
      <c r="E316" s="169"/>
      <c r="F316" s="6"/>
      <c r="G316" s="6"/>
    </row>
    <row r="317" spans="4:7" ht="15">
      <c r="D317" s="6"/>
      <c r="E317" s="169"/>
      <c r="F317" s="6"/>
      <c r="G317" s="6"/>
    </row>
    <row r="318" spans="4:7" ht="15">
      <c r="D318" s="6"/>
      <c r="E318" s="169"/>
      <c r="F318" s="6"/>
      <c r="G318" s="6"/>
    </row>
    <row r="319" spans="4:7" ht="15">
      <c r="D319" s="6"/>
      <c r="E319" s="169"/>
      <c r="F319" s="6"/>
      <c r="G319" s="6"/>
    </row>
    <row r="320" spans="4:7" ht="15">
      <c r="D320" s="6"/>
      <c r="E320" s="169"/>
      <c r="F320" s="6"/>
      <c r="G320" s="6"/>
    </row>
    <row r="321" spans="4:7" ht="15">
      <c r="D321" s="6"/>
      <c r="E321" s="169"/>
      <c r="F321" s="6"/>
      <c r="G321" s="6"/>
    </row>
    <row r="322" spans="4:7" ht="15">
      <c r="D322" s="6"/>
      <c r="E322" s="169"/>
      <c r="F322" s="6"/>
      <c r="G322" s="6"/>
    </row>
    <row r="323" spans="4:7" ht="15">
      <c r="D323" s="6"/>
      <c r="E323" s="169"/>
      <c r="F323" s="6"/>
      <c r="G323" s="6"/>
    </row>
    <row r="324" spans="4:7" ht="15">
      <c r="E324" s="197"/>
    </row>
    <row r="325" spans="4:7" ht="15">
      <c r="E325" s="197"/>
    </row>
    <row r="326" spans="4:7" ht="15">
      <c r="E326" s="197"/>
    </row>
    <row r="327" spans="4:7" ht="15">
      <c r="E327" s="197"/>
    </row>
    <row r="328" spans="4:7" ht="15">
      <c r="E328" s="197"/>
    </row>
    <row r="329" spans="4:7" ht="15">
      <c r="E329" s="197"/>
    </row>
    <row r="330" spans="4:7" ht="15">
      <c r="E330" s="197"/>
    </row>
    <row r="331" spans="4:7" ht="15">
      <c r="E331" s="197"/>
    </row>
    <row r="332" spans="4:7" ht="15">
      <c r="E332" s="197"/>
    </row>
    <row r="333" spans="4:7" ht="15">
      <c r="E333" s="197"/>
    </row>
    <row r="334" spans="4:7" ht="15">
      <c r="E334" s="197"/>
    </row>
    <row r="335" spans="4:7" ht="15">
      <c r="E335" s="197"/>
    </row>
    <row r="336" spans="4:7" ht="15">
      <c r="E336" s="197"/>
    </row>
    <row r="337" spans="5:5" ht="15">
      <c r="E337" s="197"/>
    </row>
    <row r="338" spans="5:5" ht="15">
      <c r="E338" s="197"/>
    </row>
    <row r="339" spans="5:5" ht="15">
      <c r="E339" s="197"/>
    </row>
    <row r="340" spans="5:5" ht="15">
      <c r="E340" s="197"/>
    </row>
    <row r="341" spans="5:5" ht="15">
      <c r="E341" s="197"/>
    </row>
    <row r="342" spans="5:5" ht="15">
      <c r="E342" s="197"/>
    </row>
    <row r="343" spans="5:5" ht="15">
      <c r="E343" s="197"/>
    </row>
    <row r="344" spans="5:5" ht="15">
      <c r="E344" s="197"/>
    </row>
    <row r="345" spans="5:5" ht="15">
      <c r="E345" s="197"/>
    </row>
    <row r="346" spans="5:5" ht="15">
      <c r="E346" s="197"/>
    </row>
    <row r="347" spans="5:5" ht="15">
      <c r="E347" s="197"/>
    </row>
    <row r="348" spans="5:5" ht="15">
      <c r="E348" s="197"/>
    </row>
    <row r="349" spans="5:5" ht="15">
      <c r="E349" s="197"/>
    </row>
    <row r="350" spans="5:5" ht="15">
      <c r="E350" s="197"/>
    </row>
    <row r="351" spans="5:5" ht="15">
      <c r="E351" s="197"/>
    </row>
    <row r="352" spans="5:5" ht="15">
      <c r="E352" s="197"/>
    </row>
    <row r="353" spans="5:5" ht="15">
      <c r="E353" s="197"/>
    </row>
    <row r="354" spans="5:5" ht="15">
      <c r="E354" s="197"/>
    </row>
    <row r="355" spans="5:5" ht="15">
      <c r="E355" s="197"/>
    </row>
    <row r="356" spans="5:5" ht="15">
      <c r="E356" s="197"/>
    </row>
    <row r="357" spans="5:5" ht="15">
      <c r="E357" s="197"/>
    </row>
    <row r="358" spans="5:5" ht="15">
      <c r="E358" s="197"/>
    </row>
    <row r="359" spans="5:5" ht="15">
      <c r="E359" s="197"/>
    </row>
    <row r="360" spans="5:5" ht="15">
      <c r="E360" s="197"/>
    </row>
    <row r="361" spans="5:5" ht="15">
      <c r="E361" s="197"/>
    </row>
    <row r="362" spans="5:5" ht="15">
      <c r="E362" s="197"/>
    </row>
    <row r="363" spans="5:5" ht="15">
      <c r="E363" s="197"/>
    </row>
    <row r="364" spans="5:5" ht="15">
      <c r="E364" s="197"/>
    </row>
    <row r="365" spans="5:5" ht="15">
      <c r="E365" s="197"/>
    </row>
    <row r="366" spans="5:5" ht="15">
      <c r="E366" s="197"/>
    </row>
    <row r="367" spans="5:5" ht="15">
      <c r="E367" s="197"/>
    </row>
    <row r="368" spans="5:5" ht="15">
      <c r="E368" s="197"/>
    </row>
    <row r="369" spans="5:5" ht="15">
      <c r="E369" s="197"/>
    </row>
    <row r="370" spans="5:5" ht="15">
      <c r="E370" s="197"/>
    </row>
    <row r="371" spans="5:5" ht="15">
      <c r="E371" s="197"/>
    </row>
    <row r="372" spans="5:5" ht="15">
      <c r="E372" s="197"/>
    </row>
    <row r="373" spans="5:5" ht="15">
      <c r="E373" s="197"/>
    </row>
    <row r="374" spans="5:5" ht="15">
      <c r="E374" s="197"/>
    </row>
    <row r="375" spans="5:5" ht="15">
      <c r="E375" s="197" t="e">
        <f>#REF!</f>
        <v>#REF!</v>
      </c>
    </row>
  </sheetData>
  <mergeCells count="9">
    <mergeCell ref="D3:L3"/>
    <mergeCell ref="D4:L4"/>
    <mergeCell ref="D5:L5"/>
    <mergeCell ref="G14:H14"/>
    <mergeCell ref="G8:I8"/>
    <mergeCell ref="G9:I9"/>
    <mergeCell ref="G10:I10"/>
    <mergeCell ref="G11:I11"/>
    <mergeCell ref="G12:I12"/>
  </mergeCells>
  <conditionalFormatting sqref="I14:J14 D14 S6:S7 C8:C14 E6:F7 C3:C5 S2 M8:M13 T2:IU15 F54:R56 N15:R15 D8:D11 F8 F28 G27:IU32 F20:F21 B2:B16 G19:IU23 AF49:IU49 C19:E32 B18:B32 Y33:IU34 Y35:AE35 AG35:IU35 J35 AF25:IU26 F50:J50 F24:IU24 F26:AE26 DQ37:IU37 F211:R65506 G57:R210 S50:IU65506 K50:R53 B34:B65535 C50:E65506 C38:N38 P38:U38 C40:IU48 C16:IU18 C39:U39 AF38:IU39">
    <cfRule type="cellIs" dxfId="15" priority="21" stopIfTrue="1" operator="equal">
      <formula>0</formula>
    </cfRule>
  </conditionalFormatting>
  <conditionalFormatting sqref="I51:J53">
    <cfRule type="expression" dxfId="14" priority="22" stopIfTrue="1">
      <formula>#REF!=5</formula>
    </cfRule>
  </conditionalFormatting>
  <conditionalFormatting sqref="H51:H53">
    <cfRule type="expression" dxfId="13" priority="23" stopIfTrue="1">
      <formula>#REF!=4</formula>
    </cfRule>
  </conditionalFormatting>
  <conditionalFormatting sqref="G51:G53">
    <cfRule type="expression" dxfId="12" priority="24" stopIfTrue="1">
      <formula>#REF!=3</formula>
    </cfRule>
  </conditionalFormatting>
  <conditionalFormatting sqref="F51:F53">
    <cfRule type="expression" dxfId="11" priority="25" stopIfTrue="1">
      <formula>#REF!=2</formula>
    </cfRule>
  </conditionalFormatting>
  <conditionalFormatting sqref="C49:AE49">
    <cfRule type="cellIs" dxfId="10" priority="26" stopIfTrue="1" operator="equal">
      <formula>0</formula>
    </cfRule>
  </conditionalFormatting>
  <conditionalFormatting sqref="F25:AE25">
    <cfRule type="cellIs" dxfId="9" priority="19" stopIfTrue="1" operator="equal">
      <formula>0</formula>
    </cfRule>
  </conditionalFormatting>
  <conditionalFormatting sqref="C37:D37">
    <cfRule type="cellIs" dxfId="8" priority="12" stopIfTrue="1" operator="equal">
      <formula>0</formula>
    </cfRule>
  </conditionalFormatting>
  <conditionalFormatting sqref="C36:D36">
    <cfRule type="cellIs" dxfId="7" priority="11" stopIfTrue="1" operator="equal">
      <formula>0</formula>
    </cfRule>
  </conditionalFormatting>
  <conditionalFormatting sqref="E37:DP37">
    <cfRule type="cellIs" dxfId="6" priority="10" stopIfTrue="1" operator="equal">
      <formula>0</formula>
    </cfRule>
  </conditionalFormatting>
  <conditionalFormatting sqref="LG36:LL36">
    <cfRule type="cellIs" dxfId="5" priority="9" stopIfTrue="1" operator="equal">
      <formula>0</formula>
    </cfRule>
  </conditionalFormatting>
  <conditionalFormatting sqref="E36:LF36">
    <cfRule type="cellIs" dxfId="4" priority="7" stopIfTrue="1" operator="equal">
      <formula>0</formula>
    </cfRule>
  </conditionalFormatting>
  <conditionalFormatting sqref="F57:F210">
    <cfRule type="cellIs" dxfId="3" priority="6" stopIfTrue="1" operator="equal">
      <formula>0</formula>
    </cfRule>
  </conditionalFormatting>
  <conditionalFormatting sqref="O38">
    <cfRule type="cellIs" dxfId="2" priority="5" stopIfTrue="1" operator="equal">
      <formula>0</formula>
    </cfRule>
  </conditionalFormatting>
  <conditionalFormatting sqref="V38:AE38">
    <cfRule type="cellIs" dxfId="1" priority="2" stopIfTrue="1" operator="equal">
      <formula>0</formula>
    </cfRule>
  </conditionalFormatting>
  <conditionalFormatting sqref="V39:AE39">
    <cfRule type="cellIs" dxfId="0" priority="1" stopIfTrue="1" operator="equal">
      <formula>0</formula>
    </cfRule>
  </conditionalFormatting>
  <pageMargins left="0.23622047244094488" right="0.23622047244094488" top="0.74803149606299213" bottom="0.74803149606299213" header="0.31496062992125984" footer="0.31496062992125984"/>
  <pageSetup paperSize="8" scale="80" fitToWidth="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1B569-4E81-8E44-A06C-C43966E145AD}">
  <sheetPr>
    <tabColor theme="3" tint="0.39997558519241921"/>
    <pageSetUpPr fitToPage="1"/>
  </sheetPr>
  <dimension ref="A1:H376"/>
  <sheetViews>
    <sheetView showGridLines="0" showZeros="0" topLeftCell="A16" zoomScale="150" zoomScaleNormal="150" zoomScalePageLayoutView="150" workbookViewId="0">
      <selection activeCell="D43" sqref="D43"/>
    </sheetView>
  </sheetViews>
  <sheetFormatPr baseColWidth="10" defaultColWidth="0" defaultRowHeight="0" customHeight="1" zeroHeight="1"/>
  <cols>
    <col min="1" max="1" width="7" style="387" customWidth="1"/>
    <col min="2" max="2" width="11" style="387" customWidth="1"/>
    <col min="3" max="6" width="16.1640625" style="387" customWidth="1"/>
    <col min="7" max="7" width="22" style="387" customWidth="1"/>
    <col min="8" max="8" width="17.33203125" style="387" customWidth="1"/>
    <col min="9" max="16384" width="0" style="387" hidden="1"/>
  </cols>
  <sheetData>
    <row r="1" spans="1:8" ht="13">
      <c r="H1" s="388" t="s">
        <v>136</v>
      </c>
    </row>
    <row r="2" spans="1:8" ht="28">
      <c r="A2" s="449" t="s">
        <v>137</v>
      </c>
      <c r="B2" s="450"/>
      <c r="C2" s="450"/>
      <c r="D2" s="450"/>
      <c r="E2" s="450"/>
      <c r="F2" s="450"/>
      <c r="G2" s="450"/>
      <c r="H2" s="450"/>
    </row>
    <row r="3" spans="1:8" ht="14" thickBot="1">
      <c r="C3" s="389"/>
      <c r="E3" s="390"/>
      <c r="F3" s="390"/>
      <c r="G3" s="391"/>
    </row>
    <row r="4" spans="1:8" ht="13">
      <c r="B4" s="451" t="s">
        <v>138</v>
      </c>
      <c r="C4" s="452"/>
      <c r="D4" s="452"/>
      <c r="E4" s="453" t="s">
        <v>139</v>
      </c>
      <c r="F4" s="454"/>
      <c r="G4" s="392">
        <f>'TRI '!P15</f>
        <v>2844972.7880000002</v>
      </c>
    </row>
    <row r="5" spans="1:8" ht="14" thickBot="1">
      <c r="B5" s="452"/>
      <c r="C5" s="452"/>
      <c r="D5" s="452"/>
      <c r="E5" s="447" t="s">
        <v>140</v>
      </c>
      <c r="F5" s="455"/>
      <c r="G5" s="393">
        <f>'TRI '!R13</f>
        <v>0.03</v>
      </c>
    </row>
    <row r="6" spans="1:8" ht="14" thickBot="1">
      <c r="B6" s="452"/>
      <c r="C6" s="452"/>
      <c r="D6" s="452"/>
      <c r="E6" s="456"/>
      <c r="F6" s="457"/>
      <c r="G6" s="394"/>
    </row>
    <row r="7" spans="1:8" ht="13">
      <c r="B7" s="452"/>
      <c r="C7" s="452"/>
      <c r="D7" s="452"/>
      <c r="E7" s="453" t="s">
        <v>141</v>
      </c>
      <c r="F7" s="454"/>
      <c r="G7" s="395">
        <f>'TRI '!O11</f>
        <v>25</v>
      </c>
    </row>
    <row r="8" spans="1:8" ht="13">
      <c r="B8" s="452"/>
      <c r="C8" s="452"/>
      <c r="D8" s="452"/>
      <c r="E8" s="445" t="s">
        <v>142</v>
      </c>
      <c r="F8" s="458"/>
      <c r="G8" s="396">
        <v>1</v>
      </c>
    </row>
    <row r="9" spans="1:8" ht="14" thickBot="1">
      <c r="B9" s="452"/>
      <c r="C9" s="452"/>
      <c r="D9" s="452"/>
      <c r="E9" s="447" t="s">
        <v>143</v>
      </c>
      <c r="F9" s="455"/>
      <c r="G9" s="397">
        <f>G8*G7+2</f>
        <v>27</v>
      </c>
    </row>
    <row r="10" spans="1:8" ht="14" thickBot="1">
      <c r="B10" s="452"/>
      <c r="C10" s="452"/>
      <c r="D10" s="452"/>
      <c r="E10" s="456"/>
      <c r="F10" s="457"/>
      <c r="G10" s="394"/>
    </row>
    <row r="11" spans="1:8" ht="13">
      <c r="B11" s="452"/>
      <c r="C11" s="452"/>
      <c r="D11" s="452"/>
      <c r="E11" s="453" t="s">
        <v>144</v>
      </c>
      <c r="F11" s="459"/>
      <c r="G11" s="398">
        <f>-PMT((G5/G8),G9,G4)</f>
        <v>155233.69357231935</v>
      </c>
      <c r="H11" s="399"/>
    </row>
    <row r="12" spans="1:8" ht="13">
      <c r="B12" s="452"/>
      <c r="C12" s="452"/>
      <c r="D12" s="452"/>
      <c r="E12" s="445" t="s">
        <v>145</v>
      </c>
      <c r="F12" s="446"/>
      <c r="G12" s="400">
        <f>G13-G4</f>
        <v>1346336.9384526224</v>
      </c>
    </row>
    <row r="13" spans="1:8" ht="14" thickBot="1">
      <c r="B13" s="452"/>
      <c r="C13" s="452"/>
      <c r="D13" s="452"/>
      <c r="E13" s="447" t="s">
        <v>146</v>
      </c>
      <c r="F13" s="448"/>
      <c r="G13" s="401">
        <f>G11*G9</f>
        <v>4191309.7264526226</v>
      </c>
    </row>
    <row r="14" spans="1:8" ht="14" thickBot="1">
      <c r="G14" s="394"/>
      <c r="H14" s="402">
        <f>G5*G4</f>
        <v>85349.183640000003</v>
      </c>
    </row>
    <row r="15" spans="1:8" ht="28">
      <c r="B15" s="403" t="s">
        <v>147</v>
      </c>
      <c r="C15" s="404" t="s">
        <v>148</v>
      </c>
      <c r="D15" s="404" t="s">
        <v>149</v>
      </c>
      <c r="E15" s="404" t="s">
        <v>150</v>
      </c>
      <c r="F15" s="404" t="s">
        <v>151</v>
      </c>
      <c r="G15" s="405" t="s">
        <v>152</v>
      </c>
      <c r="H15" s="402">
        <f>$G$5*G16</f>
        <v>83252.648342030428</v>
      </c>
    </row>
    <row r="16" spans="1:8" ht="13">
      <c r="B16" s="406">
        <f t="shared" ref="B16:B79" si="0">IF(((ROW()-nSkip)&lt;=$G$9),(ROW()-nSkip), "")</f>
        <v>1</v>
      </c>
      <c r="C16" s="407">
        <f t="shared" ref="C16:C81" si="1">IF((B16&lt;=$G$9),-PMT(($G$5/$G$8),$G$9,$G$4),"")</f>
        <v>155233.69357231935</v>
      </c>
      <c r="D16" s="407">
        <f t="shared" ref="D16:D80" si="2">IF(((ROW()-nSkip)&lt;=$G$9),-PPMT(($G$5/$G$8),B16,$G$9,$G$4),"")</f>
        <v>69884.509932319343</v>
      </c>
      <c r="E16" s="407">
        <f>IF(((ROW()-nSkip)&lt;=$G$9),-IPMT(($G$5/$G$8),B16,$G$9,$G$4),"")</f>
        <v>85349.183640000017</v>
      </c>
      <c r="F16" s="407">
        <f>IF(((ROW()-nSkip)&lt;=$G$9),E16,"")</f>
        <v>85349.183640000017</v>
      </c>
      <c r="G16" s="408">
        <f>IF(((ROW()-nSkip)&lt;=$G$9),(G4-D16),"")</f>
        <v>2775088.278067681</v>
      </c>
      <c r="H16" s="402">
        <f t="shared" ref="H16:H30" si="3">$G$5*G17</f>
        <v>81093.216985121762</v>
      </c>
    </row>
    <row r="17" spans="2:8" ht="12" customHeight="1">
      <c r="B17" s="406">
        <f t="shared" si="0"/>
        <v>2</v>
      </c>
      <c r="C17" s="407">
        <f t="shared" si="1"/>
        <v>155233.69357231935</v>
      </c>
      <c r="D17" s="407">
        <f t="shared" si="2"/>
        <v>71981.045230288917</v>
      </c>
      <c r="E17" s="407">
        <f>IF(((ROW()-nSkip)&lt;=$G$9),-IPMT(($G$5/$G$8),B17,$G$9,$G$4),"")</f>
        <v>83252.648342030414</v>
      </c>
      <c r="F17" s="407">
        <f t="shared" ref="F17:F80" si="4">IF(((ROW()-nSkip)&lt;=$G$9),(E17+F16),"")</f>
        <v>168601.83198203042</v>
      </c>
      <c r="G17" s="408">
        <f t="shared" ref="G17:G80" si="5">IF(((ROW()-nSkip)&lt;=$G$9),(G16-D17),"")</f>
        <v>2703107.232837392</v>
      </c>
      <c r="H17" s="402">
        <f t="shared" si="3"/>
        <v>78869.002687505825</v>
      </c>
    </row>
    <row r="18" spans="2:8" ht="12" customHeight="1">
      <c r="B18" s="406">
        <f t="shared" si="0"/>
        <v>3</v>
      </c>
      <c r="C18" s="407">
        <f t="shared" si="1"/>
        <v>155233.69357231935</v>
      </c>
      <c r="D18" s="407">
        <f t="shared" si="2"/>
        <v>74140.476587197583</v>
      </c>
      <c r="E18" s="407">
        <f t="shared" ref="E18:E81" si="6">IF(((ROW()-nSkip)&lt;=$G$9),-IPMT(($G$5/$G$8),B18,$G$9,$G$4),"")</f>
        <v>81093.216985121762</v>
      </c>
      <c r="F18" s="407">
        <f t="shared" si="4"/>
        <v>249695.04896715219</v>
      </c>
      <c r="G18" s="408">
        <f t="shared" si="5"/>
        <v>2628966.7562501943</v>
      </c>
      <c r="H18" s="402">
        <f t="shared" si="3"/>
        <v>76578.061960961422</v>
      </c>
    </row>
    <row r="19" spans="2:8" ht="12" customHeight="1">
      <c r="B19" s="406">
        <f t="shared" si="0"/>
        <v>4</v>
      </c>
      <c r="C19" s="407">
        <f t="shared" si="1"/>
        <v>155233.69357231935</v>
      </c>
      <c r="D19" s="407">
        <f t="shared" si="2"/>
        <v>76364.690884813506</v>
      </c>
      <c r="E19" s="407">
        <f t="shared" si="6"/>
        <v>78869.002687505839</v>
      </c>
      <c r="F19" s="407">
        <f t="shared" si="4"/>
        <v>328564.05165465805</v>
      </c>
      <c r="G19" s="408">
        <f t="shared" si="5"/>
        <v>2552602.0653653806</v>
      </c>
      <c r="H19" s="402">
        <f t="shared" si="3"/>
        <v>74218.393012620683</v>
      </c>
    </row>
    <row r="20" spans="2:8" ht="13">
      <c r="B20" s="406">
        <f t="shared" si="0"/>
        <v>5</v>
      </c>
      <c r="C20" s="407">
        <f t="shared" si="1"/>
        <v>155233.69357231935</v>
      </c>
      <c r="D20" s="407">
        <f t="shared" si="2"/>
        <v>78655.631611357909</v>
      </c>
      <c r="E20" s="407">
        <f t="shared" si="6"/>
        <v>76578.061960961422</v>
      </c>
      <c r="F20" s="407">
        <f t="shared" si="4"/>
        <v>405142.11361561948</v>
      </c>
      <c r="G20" s="408">
        <f t="shared" si="5"/>
        <v>2473946.4337540227</v>
      </c>
      <c r="H20" s="402">
        <f t="shared" si="3"/>
        <v>71787.933995829721</v>
      </c>
    </row>
    <row r="21" spans="2:8" ht="13">
      <c r="B21" s="406">
        <f t="shared" si="0"/>
        <v>6</v>
      </c>
      <c r="C21" s="407">
        <f t="shared" si="1"/>
        <v>155233.69357231935</v>
      </c>
      <c r="D21" s="407">
        <f t="shared" si="2"/>
        <v>81015.300559698648</v>
      </c>
      <c r="E21" s="407">
        <f t="shared" si="6"/>
        <v>74218.393012620698</v>
      </c>
      <c r="F21" s="407">
        <f t="shared" si="4"/>
        <v>479360.50662824017</v>
      </c>
      <c r="G21" s="408">
        <f>IF(((ROW()-nSkip)&lt;=$G$9),(G20-D21),"")</f>
        <v>2392931.1331943241</v>
      </c>
      <c r="H21" s="402">
        <f t="shared" si="3"/>
        <v>69284.561208535029</v>
      </c>
    </row>
    <row r="22" spans="2:8" ht="13">
      <c r="B22" s="406">
        <f t="shared" si="0"/>
        <v>7</v>
      </c>
      <c r="C22" s="407">
        <f t="shared" si="1"/>
        <v>155233.69357231935</v>
      </c>
      <c r="D22" s="407">
        <f t="shared" si="2"/>
        <v>83445.75957648961</v>
      </c>
      <c r="E22" s="407">
        <f t="shared" si="6"/>
        <v>71787.933995829735</v>
      </c>
      <c r="F22" s="407">
        <f t="shared" si="4"/>
        <v>551148.44062406989</v>
      </c>
      <c r="G22" s="408">
        <f t="shared" si="5"/>
        <v>2309485.3736178344</v>
      </c>
      <c r="H22" s="402">
        <f t="shared" si="3"/>
        <v>66706.087237621512</v>
      </c>
    </row>
    <row r="23" spans="2:8" ht="13">
      <c r="B23" s="406">
        <f t="shared" si="0"/>
        <v>8</v>
      </c>
      <c r="C23" s="407">
        <f t="shared" si="1"/>
        <v>155233.69357231935</v>
      </c>
      <c r="D23" s="407">
        <f t="shared" si="2"/>
        <v>85949.132363784316</v>
      </c>
      <c r="E23" s="407">
        <f t="shared" si="6"/>
        <v>69284.561208535044</v>
      </c>
      <c r="F23" s="407">
        <f t="shared" si="4"/>
        <v>620433.00183260487</v>
      </c>
      <c r="G23" s="408">
        <f t="shared" si="5"/>
        <v>2223536.2412540503</v>
      </c>
      <c r="H23" s="402">
        <f t="shared" si="3"/>
        <v>64050.25904758057</v>
      </c>
    </row>
    <row r="24" spans="2:8" ht="13">
      <c r="B24" s="406">
        <f t="shared" si="0"/>
        <v>9</v>
      </c>
      <c r="C24" s="407">
        <f t="shared" si="1"/>
        <v>155233.69357231935</v>
      </c>
      <c r="D24" s="407">
        <f t="shared" si="2"/>
        <v>88527.606334697834</v>
      </c>
      <c r="E24" s="407">
        <f t="shared" si="6"/>
        <v>66706.087237621512</v>
      </c>
      <c r="F24" s="407">
        <f t="shared" si="4"/>
        <v>687139.08907022642</v>
      </c>
      <c r="G24" s="408">
        <f t="shared" si="5"/>
        <v>2135008.6349193524</v>
      </c>
      <c r="H24" s="402">
        <f t="shared" si="3"/>
        <v>61314.756011838406</v>
      </c>
    </row>
    <row r="25" spans="2:8" ht="13">
      <c r="B25" s="406">
        <f t="shared" si="0"/>
        <v>10</v>
      </c>
      <c r="C25" s="407">
        <f t="shared" si="1"/>
        <v>155233.69357231935</v>
      </c>
      <c r="D25" s="407">
        <f t="shared" si="2"/>
        <v>91183.434524738768</v>
      </c>
      <c r="E25" s="407">
        <f t="shared" si="6"/>
        <v>64050.25904758057</v>
      </c>
      <c r="F25" s="407">
        <f t="shared" si="4"/>
        <v>751189.34811780695</v>
      </c>
      <c r="G25" s="408">
        <f t="shared" si="5"/>
        <v>2043825.2003946137</v>
      </c>
      <c r="H25" s="402">
        <f t="shared" si="3"/>
        <v>58497.187885023981</v>
      </c>
    </row>
    <row r="26" spans="2:8" ht="13">
      <c r="B26" s="406">
        <f t="shared" si="0"/>
        <v>11</v>
      </c>
      <c r="C26" s="407">
        <f t="shared" si="1"/>
        <v>155233.69357231935</v>
      </c>
      <c r="D26" s="407">
        <f t="shared" si="2"/>
        <v>93918.937560480932</v>
      </c>
      <c r="E26" s="407">
        <f t="shared" si="6"/>
        <v>61314.756011838421</v>
      </c>
      <c r="F26" s="407">
        <f t="shared" si="4"/>
        <v>812504.10412964539</v>
      </c>
      <c r="G26" s="408">
        <f t="shared" si="5"/>
        <v>1949906.2628341326</v>
      </c>
      <c r="H26" s="402">
        <f t="shared" si="3"/>
        <v>55595.092714405117</v>
      </c>
    </row>
    <row r="27" spans="2:8" ht="13">
      <c r="B27" s="406">
        <f t="shared" si="0"/>
        <v>12</v>
      </c>
      <c r="C27" s="407">
        <f t="shared" si="1"/>
        <v>155233.69357231935</v>
      </c>
      <c r="D27" s="407">
        <f t="shared" si="2"/>
        <v>96736.505687295343</v>
      </c>
      <c r="E27" s="407">
        <f t="shared" si="6"/>
        <v>58497.187885023981</v>
      </c>
      <c r="F27" s="407">
        <f t="shared" si="4"/>
        <v>871001.29201466939</v>
      </c>
      <c r="G27" s="408">
        <f t="shared" si="5"/>
        <v>1853169.7571468372</v>
      </c>
      <c r="H27" s="402">
        <f t="shared" si="3"/>
        <v>52605.934688667687</v>
      </c>
    </row>
    <row r="28" spans="2:8" ht="13">
      <c r="B28" s="406">
        <f t="shared" si="0"/>
        <v>13</v>
      </c>
      <c r="C28" s="407">
        <f t="shared" si="1"/>
        <v>155233.69357231935</v>
      </c>
      <c r="D28" s="407">
        <f t="shared" si="2"/>
        <v>99638.600857914222</v>
      </c>
      <c r="E28" s="407">
        <f t="shared" si="6"/>
        <v>55595.092714405131</v>
      </c>
      <c r="F28" s="407">
        <f t="shared" si="4"/>
        <v>926596.38472907455</v>
      </c>
      <c r="G28" s="408">
        <f t="shared" si="5"/>
        <v>1753531.156288923</v>
      </c>
      <c r="H28" s="402">
        <f t="shared" si="3"/>
        <v>49527.101922158137</v>
      </c>
    </row>
    <row r="29" spans="2:8" ht="13">
      <c r="B29" s="406">
        <f t="shared" si="0"/>
        <v>14</v>
      </c>
      <c r="C29" s="407">
        <f t="shared" si="1"/>
        <v>155233.69357231935</v>
      </c>
      <c r="D29" s="407">
        <f t="shared" si="2"/>
        <v>102627.75888365165</v>
      </c>
      <c r="E29" s="407">
        <f t="shared" si="6"/>
        <v>52605.934688667701</v>
      </c>
      <c r="F29" s="407">
        <f t="shared" si="4"/>
        <v>979202.3194177422</v>
      </c>
      <c r="G29" s="408">
        <f>IF(((ROW()-nSkip)&lt;=$G$9),(G28-D29),"")</f>
        <v>1650903.3974052714</v>
      </c>
      <c r="H29" s="402">
        <f t="shared" si="3"/>
        <v>46355.904172653303</v>
      </c>
    </row>
    <row r="30" spans="2:8" ht="13">
      <c r="B30" s="406">
        <f t="shared" si="0"/>
        <v>15</v>
      </c>
      <c r="C30" s="407">
        <f t="shared" si="1"/>
        <v>155233.69357231935</v>
      </c>
      <c r="D30" s="407">
        <f>(IF(((ROW()-nSkip)&lt;=$G$9),-PPMT(($G$5/$G$8),B30,$G$9,$G$4),""))</f>
        <v>105706.59165016118</v>
      </c>
      <c r="E30" s="407">
        <f t="shared" si="6"/>
        <v>49527.101922158137</v>
      </c>
      <c r="F30" s="407">
        <f t="shared" si="4"/>
        <v>1028729.4213399003</v>
      </c>
      <c r="G30" s="408">
        <f>IF(((ROW()-nSkip)&lt;=$G$9),(G29-D30),"")</f>
        <v>1545196.8057551102</v>
      </c>
      <c r="H30" s="402">
        <f t="shared" si="3"/>
        <v>43089.570490663325</v>
      </c>
    </row>
    <row r="31" spans="2:8" ht="13">
      <c r="B31" s="406">
        <f t="shared" si="0"/>
        <v>16</v>
      </c>
      <c r="C31" s="407">
        <f t="shared" si="1"/>
        <v>155233.69357231935</v>
      </c>
      <c r="D31" s="407">
        <f t="shared" si="2"/>
        <v>108877.78939966603</v>
      </c>
      <c r="E31" s="407">
        <f t="shared" si="6"/>
        <v>46355.904172653311</v>
      </c>
      <c r="F31" s="407">
        <f t="shared" si="4"/>
        <v>1075085.3255125536</v>
      </c>
      <c r="G31" s="408">
        <f t="shared" si="5"/>
        <v>1436319.0163554442</v>
      </c>
    </row>
    <row r="32" spans="2:8" ht="13">
      <c r="B32" s="406">
        <f t="shared" si="0"/>
        <v>17</v>
      </c>
      <c r="C32" s="407">
        <f t="shared" si="1"/>
        <v>155233.69357231935</v>
      </c>
      <c r="D32" s="407">
        <f t="shared" si="2"/>
        <v>112144.123081656</v>
      </c>
      <c r="E32" s="407">
        <f t="shared" si="6"/>
        <v>43089.570490663333</v>
      </c>
      <c r="F32" s="407">
        <f t="shared" si="4"/>
        <v>1118174.896003217</v>
      </c>
      <c r="G32" s="408">
        <f t="shared" si="5"/>
        <v>1324174.8932737883</v>
      </c>
    </row>
    <row r="33" spans="2:8" ht="13">
      <c r="B33" s="406">
        <f t="shared" si="0"/>
        <v>18</v>
      </c>
      <c r="C33" s="407">
        <f t="shared" si="1"/>
        <v>155233.69357231935</v>
      </c>
      <c r="D33" s="407">
        <f t="shared" si="2"/>
        <v>115508.4467741057</v>
      </c>
      <c r="E33" s="407">
        <f t="shared" si="6"/>
        <v>39725.246798213644</v>
      </c>
      <c r="F33" s="407">
        <f t="shared" si="4"/>
        <v>1157900.1428014305</v>
      </c>
      <c r="G33" s="408">
        <f t="shared" si="5"/>
        <v>1208666.4464996825</v>
      </c>
      <c r="H33" s="402"/>
    </row>
    <row r="34" spans="2:8" ht="13">
      <c r="B34" s="406">
        <f t="shared" si="0"/>
        <v>19</v>
      </c>
      <c r="C34" s="407">
        <f t="shared" si="1"/>
        <v>155233.69357231935</v>
      </c>
      <c r="D34" s="407">
        <f t="shared" si="2"/>
        <v>118973.70017732885</v>
      </c>
      <c r="E34" s="407">
        <f t="shared" si="6"/>
        <v>36259.993394990473</v>
      </c>
      <c r="F34" s="407">
        <f t="shared" si="4"/>
        <v>1194160.136196421</v>
      </c>
      <c r="G34" s="408">
        <f t="shared" si="5"/>
        <v>1089692.7463223536</v>
      </c>
    </row>
    <row r="35" spans="2:8" ht="13">
      <c r="B35" s="406">
        <f t="shared" si="0"/>
        <v>20</v>
      </c>
      <c r="C35" s="407">
        <f t="shared" si="1"/>
        <v>155233.69357231935</v>
      </c>
      <c r="D35" s="407">
        <f t="shared" si="2"/>
        <v>122542.91118264871</v>
      </c>
      <c r="E35" s="407">
        <f t="shared" si="6"/>
        <v>32690.782389670614</v>
      </c>
      <c r="F35" s="407">
        <f t="shared" si="4"/>
        <v>1226850.9185860916</v>
      </c>
      <c r="G35" s="408">
        <f t="shared" si="5"/>
        <v>967149.83513970487</v>
      </c>
    </row>
    <row r="36" spans="2:8" ht="13">
      <c r="B36" s="406">
        <f t="shared" si="0"/>
        <v>21</v>
      </c>
      <c r="C36" s="407">
        <f t="shared" si="1"/>
        <v>155233.69357231935</v>
      </c>
      <c r="D36" s="407">
        <f t="shared" si="2"/>
        <v>126219.19851812816</v>
      </c>
      <c r="E36" s="407">
        <f t="shared" si="6"/>
        <v>29014.49505419116</v>
      </c>
      <c r="F36" s="407">
        <f t="shared" si="4"/>
        <v>1255865.4136402828</v>
      </c>
      <c r="G36" s="408">
        <f t="shared" si="5"/>
        <v>840930.63662157673</v>
      </c>
    </row>
    <row r="37" spans="2:8" ht="13">
      <c r="B37" s="406">
        <f t="shared" si="0"/>
        <v>22</v>
      </c>
      <c r="C37" s="407">
        <f t="shared" si="1"/>
        <v>155233.69357231935</v>
      </c>
      <c r="D37" s="407">
        <f t="shared" si="2"/>
        <v>130005.77447367203</v>
      </c>
      <c r="E37" s="407">
        <f t="shared" si="6"/>
        <v>25227.919098647308</v>
      </c>
      <c r="F37" s="407">
        <f t="shared" si="4"/>
        <v>1281093.3327389301</v>
      </c>
      <c r="G37" s="408">
        <f t="shared" si="5"/>
        <v>710924.8621479047</v>
      </c>
    </row>
    <row r="38" spans="2:8" ht="13">
      <c r="B38" s="406">
        <f t="shared" si="0"/>
        <v>23</v>
      </c>
      <c r="C38" s="407">
        <f t="shared" si="1"/>
        <v>155233.69357231935</v>
      </c>
      <c r="D38" s="407">
        <f t="shared" si="2"/>
        <v>133905.94770788218</v>
      </c>
      <c r="E38" s="407">
        <f t="shared" si="6"/>
        <v>21327.745864437144</v>
      </c>
      <c r="F38" s="407">
        <f t="shared" si="4"/>
        <v>1302421.0786033673</v>
      </c>
      <c r="G38" s="408">
        <f t="shared" si="5"/>
        <v>577018.91444002255</v>
      </c>
    </row>
    <row r="39" spans="2:8" ht="13">
      <c r="B39" s="406">
        <f t="shared" si="0"/>
        <v>24</v>
      </c>
      <c r="C39" s="407">
        <f t="shared" si="1"/>
        <v>155233.69357231935</v>
      </c>
      <c r="D39" s="407">
        <f t="shared" si="2"/>
        <v>137923.12613911866</v>
      </c>
      <c r="E39" s="407">
        <f t="shared" si="6"/>
        <v>17310.567433200678</v>
      </c>
      <c r="F39" s="407">
        <f t="shared" si="4"/>
        <v>1319731.6460365681</v>
      </c>
      <c r="G39" s="408">
        <f t="shared" si="5"/>
        <v>439095.78830090386</v>
      </c>
      <c r="H39" s="399"/>
    </row>
    <row r="40" spans="2:8" ht="13">
      <c r="B40" s="406">
        <f t="shared" si="0"/>
        <v>25</v>
      </c>
      <c r="C40" s="407">
        <f t="shared" si="1"/>
        <v>155233.69357231935</v>
      </c>
      <c r="D40" s="407">
        <f t="shared" si="2"/>
        <v>142060.81992329223</v>
      </c>
      <c r="E40" s="407">
        <f t="shared" si="6"/>
        <v>13172.873649027119</v>
      </c>
      <c r="F40" s="407">
        <f t="shared" si="4"/>
        <v>1332904.5196855953</v>
      </c>
      <c r="G40" s="408">
        <f t="shared" si="5"/>
        <v>297034.9683776116</v>
      </c>
    </row>
    <row r="41" spans="2:8" ht="13">
      <c r="B41" s="406">
        <f t="shared" si="0"/>
        <v>26</v>
      </c>
      <c r="C41" s="407">
        <f t="shared" si="1"/>
        <v>155233.69357231935</v>
      </c>
      <c r="D41" s="407">
        <f t="shared" si="2"/>
        <v>146322.64452099099</v>
      </c>
      <c r="E41" s="407">
        <f t="shared" si="6"/>
        <v>8911.0490513283512</v>
      </c>
      <c r="F41" s="407">
        <f t="shared" si="4"/>
        <v>1341815.5687369236</v>
      </c>
      <c r="G41" s="408">
        <f t="shared" si="5"/>
        <v>150712.32385662061</v>
      </c>
    </row>
    <row r="42" spans="2:8" ht="13">
      <c r="B42" s="406">
        <f t="shared" si="0"/>
        <v>27</v>
      </c>
      <c r="C42" s="407">
        <f t="shared" si="1"/>
        <v>155233.69357231935</v>
      </c>
      <c r="D42" s="407">
        <f t="shared" si="2"/>
        <v>150712.3238566207</v>
      </c>
      <c r="E42" s="407">
        <f t="shared" si="6"/>
        <v>4521.3697156986218</v>
      </c>
      <c r="F42" s="407">
        <f t="shared" si="4"/>
        <v>1346336.9384526222</v>
      </c>
      <c r="G42" s="408">
        <f t="shared" si="5"/>
        <v>-8.7311491370201111E-11</v>
      </c>
    </row>
    <row r="43" spans="2:8" ht="13">
      <c r="B43" s="406" t="str">
        <f t="shared" si="0"/>
        <v/>
      </c>
      <c r="C43" s="407" t="str">
        <f t="shared" si="1"/>
        <v/>
      </c>
      <c r="D43" s="407" t="str">
        <f t="shared" si="2"/>
        <v/>
      </c>
      <c r="E43" s="407"/>
      <c r="F43" s="407" t="str">
        <f t="shared" si="4"/>
        <v/>
      </c>
      <c r="G43" s="408" t="str">
        <f t="shared" si="5"/>
        <v/>
      </c>
    </row>
    <row r="44" spans="2:8" ht="13">
      <c r="B44" s="406" t="str">
        <f t="shared" si="0"/>
        <v/>
      </c>
      <c r="C44" s="407" t="str">
        <f t="shared" si="1"/>
        <v/>
      </c>
      <c r="D44" s="407" t="str">
        <f t="shared" si="2"/>
        <v/>
      </c>
      <c r="E44" s="407"/>
      <c r="F44" s="407" t="str">
        <f t="shared" si="4"/>
        <v/>
      </c>
      <c r="G44" s="408" t="str">
        <f t="shared" si="5"/>
        <v/>
      </c>
    </row>
    <row r="45" spans="2:8" ht="13">
      <c r="B45" s="406" t="str">
        <f t="shared" si="0"/>
        <v/>
      </c>
      <c r="C45" s="407" t="str">
        <f t="shared" si="1"/>
        <v/>
      </c>
      <c r="D45" s="407" t="str">
        <f t="shared" si="2"/>
        <v/>
      </c>
      <c r="E45" s="407"/>
      <c r="F45" s="407" t="str">
        <f t="shared" si="4"/>
        <v/>
      </c>
      <c r="G45" s="408" t="str">
        <f t="shared" si="5"/>
        <v/>
      </c>
    </row>
    <row r="46" spans="2:8" ht="13">
      <c r="B46" s="406" t="str">
        <f t="shared" si="0"/>
        <v/>
      </c>
      <c r="C46" s="407" t="str">
        <f t="shared" si="1"/>
        <v/>
      </c>
      <c r="D46" s="407" t="str">
        <f t="shared" si="2"/>
        <v/>
      </c>
      <c r="E46" s="407"/>
      <c r="F46" s="407" t="str">
        <f t="shared" si="4"/>
        <v/>
      </c>
      <c r="G46" s="408" t="str">
        <f t="shared" si="5"/>
        <v/>
      </c>
    </row>
    <row r="47" spans="2:8" ht="13">
      <c r="B47" s="406" t="str">
        <f t="shared" si="0"/>
        <v/>
      </c>
      <c r="C47" s="407" t="str">
        <f t="shared" si="1"/>
        <v/>
      </c>
      <c r="D47" s="407" t="str">
        <f t="shared" si="2"/>
        <v/>
      </c>
      <c r="E47" s="407"/>
      <c r="F47" s="407" t="str">
        <f t="shared" si="4"/>
        <v/>
      </c>
      <c r="G47" s="408" t="str">
        <f t="shared" si="5"/>
        <v/>
      </c>
    </row>
    <row r="48" spans="2:8" ht="13">
      <c r="B48" s="406" t="str">
        <f t="shared" si="0"/>
        <v/>
      </c>
      <c r="C48" s="407" t="str">
        <f t="shared" si="1"/>
        <v/>
      </c>
      <c r="D48" s="407" t="str">
        <f t="shared" si="2"/>
        <v/>
      </c>
      <c r="E48" s="407"/>
      <c r="F48" s="407" t="str">
        <f t="shared" si="4"/>
        <v/>
      </c>
      <c r="G48" s="408" t="str">
        <f t="shared" si="5"/>
        <v/>
      </c>
    </row>
    <row r="49" spans="2:7" ht="13">
      <c r="B49" s="406" t="str">
        <f t="shared" si="0"/>
        <v/>
      </c>
      <c r="C49" s="407" t="str">
        <f t="shared" si="1"/>
        <v/>
      </c>
      <c r="D49" s="407" t="str">
        <f t="shared" si="2"/>
        <v/>
      </c>
      <c r="E49" s="407"/>
      <c r="F49" s="407" t="str">
        <f t="shared" si="4"/>
        <v/>
      </c>
      <c r="G49" s="408" t="str">
        <f t="shared" si="5"/>
        <v/>
      </c>
    </row>
    <row r="50" spans="2:7" ht="13">
      <c r="B50" s="406" t="str">
        <f t="shared" si="0"/>
        <v/>
      </c>
      <c r="C50" s="407" t="str">
        <f t="shared" si="1"/>
        <v/>
      </c>
      <c r="D50" s="407" t="str">
        <f t="shared" si="2"/>
        <v/>
      </c>
      <c r="E50" s="407"/>
      <c r="F50" s="407" t="str">
        <f t="shared" si="4"/>
        <v/>
      </c>
      <c r="G50" s="408" t="str">
        <f t="shared" si="5"/>
        <v/>
      </c>
    </row>
    <row r="51" spans="2:7" ht="13">
      <c r="B51" s="406" t="str">
        <f t="shared" si="0"/>
        <v/>
      </c>
      <c r="C51" s="407" t="str">
        <f t="shared" si="1"/>
        <v/>
      </c>
      <c r="D51" s="407" t="str">
        <f t="shared" si="2"/>
        <v/>
      </c>
      <c r="E51" s="407"/>
      <c r="F51" s="407" t="str">
        <f t="shared" si="4"/>
        <v/>
      </c>
      <c r="G51" s="408" t="str">
        <f t="shared" si="5"/>
        <v/>
      </c>
    </row>
    <row r="52" spans="2:7" ht="13">
      <c r="B52" s="406" t="str">
        <f t="shared" si="0"/>
        <v/>
      </c>
      <c r="C52" s="407" t="str">
        <f t="shared" si="1"/>
        <v/>
      </c>
      <c r="D52" s="407" t="str">
        <f t="shared" si="2"/>
        <v/>
      </c>
      <c r="E52" s="407"/>
      <c r="F52" s="407" t="str">
        <f t="shared" si="4"/>
        <v/>
      </c>
      <c r="G52" s="408" t="str">
        <f t="shared" si="5"/>
        <v/>
      </c>
    </row>
    <row r="53" spans="2:7" ht="13">
      <c r="B53" s="406" t="str">
        <f t="shared" si="0"/>
        <v/>
      </c>
      <c r="C53" s="407" t="str">
        <f t="shared" si="1"/>
        <v/>
      </c>
      <c r="D53" s="407" t="str">
        <f t="shared" si="2"/>
        <v/>
      </c>
      <c r="E53" s="407"/>
      <c r="F53" s="407" t="str">
        <f t="shared" si="4"/>
        <v/>
      </c>
      <c r="G53" s="408" t="str">
        <f t="shared" si="5"/>
        <v/>
      </c>
    </row>
    <row r="54" spans="2:7" ht="13">
      <c r="B54" s="406" t="str">
        <f t="shared" si="0"/>
        <v/>
      </c>
      <c r="C54" s="407" t="str">
        <f t="shared" si="1"/>
        <v/>
      </c>
      <c r="D54" s="407" t="str">
        <f t="shared" si="2"/>
        <v/>
      </c>
      <c r="E54" s="407"/>
      <c r="F54" s="407" t="str">
        <f t="shared" si="4"/>
        <v/>
      </c>
      <c r="G54" s="408" t="str">
        <f t="shared" si="5"/>
        <v/>
      </c>
    </row>
    <row r="55" spans="2:7" ht="13">
      <c r="B55" s="406" t="str">
        <f t="shared" si="0"/>
        <v/>
      </c>
      <c r="C55" s="407" t="str">
        <f t="shared" si="1"/>
        <v/>
      </c>
      <c r="D55" s="407" t="str">
        <f t="shared" si="2"/>
        <v/>
      </c>
      <c r="E55" s="407"/>
      <c r="F55" s="407" t="str">
        <f t="shared" si="4"/>
        <v/>
      </c>
      <c r="G55" s="408" t="str">
        <f t="shared" si="5"/>
        <v/>
      </c>
    </row>
    <row r="56" spans="2:7" ht="13">
      <c r="B56" s="406" t="str">
        <f t="shared" si="0"/>
        <v/>
      </c>
      <c r="C56" s="407" t="str">
        <f t="shared" si="1"/>
        <v/>
      </c>
      <c r="D56" s="407" t="str">
        <f t="shared" si="2"/>
        <v/>
      </c>
      <c r="E56" s="407"/>
      <c r="F56" s="407" t="str">
        <f t="shared" si="4"/>
        <v/>
      </c>
      <c r="G56" s="408" t="str">
        <f t="shared" si="5"/>
        <v/>
      </c>
    </row>
    <row r="57" spans="2:7" ht="13">
      <c r="B57" s="406" t="str">
        <f t="shared" si="0"/>
        <v/>
      </c>
      <c r="C57" s="407" t="str">
        <f t="shared" si="1"/>
        <v/>
      </c>
      <c r="D57" s="407" t="str">
        <f t="shared" si="2"/>
        <v/>
      </c>
      <c r="E57" s="407" t="str">
        <f t="shared" si="6"/>
        <v/>
      </c>
      <c r="F57" s="407" t="str">
        <f t="shared" si="4"/>
        <v/>
      </c>
      <c r="G57" s="408" t="str">
        <f t="shared" si="5"/>
        <v/>
      </c>
    </row>
    <row r="58" spans="2:7" ht="13">
      <c r="B58" s="406" t="str">
        <f t="shared" si="0"/>
        <v/>
      </c>
      <c r="C58" s="407" t="str">
        <f t="shared" si="1"/>
        <v/>
      </c>
      <c r="D58" s="407" t="str">
        <f t="shared" si="2"/>
        <v/>
      </c>
      <c r="E58" s="407" t="str">
        <f t="shared" si="6"/>
        <v/>
      </c>
      <c r="F58" s="407" t="str">
        <f t="shared" si="4"/>
        <v/>
      </c>
      <c r="G58" s="408" t="str">
        <f t="shared" si="5"/>
        <v/>
      </c>
    </row>
    <row r="59" spans="2:7" ht="13">
      <c r="B59" s="406" t="str">
        <f t="shared" si="0"/>
        <v/>
      </c>
      <c r="C59" s="407" t="str">
        <f t="shared" si="1"/>
        <v/>
      </c>
      <c r="D59" s="407" t="str">
        <f t="shared" si="2"/>
        <v/>
      </c>
      <c r="E59" s="407" t="str">
        <f t="shared" si="6"/>
        <v/>
      </c>
      <c r="F59" s="407" t="str">
        <f t="shared" si="4"/>
        <v/>
      </c>
      <c r="G59" s="408" t="str">
        <f t="shared" si="5"/>
        <v/>
      </c>
    </row>
    <row r="60" spans="2:7" ht="13">
      <c r="B60" s="406" t="str">
        <f t="shared" si="0"/>
        <v/>
      </c>
      <c r="C60" s="407" t="str">
        <f t="shared" si="1"/>
        <v/>
      </c>
      <c r="D60" s="407" t="str">
        <f t="shared" si="2"/>
        <v/>
      </c>
      <c r="E60" s="407" t="str">
        <f t="shared" si="6"/>
        <v/>
      </c>
      <c r="F60" s="407" t="str">
        <f t="shared" si="4"/>
        <v/>
      </c>
      <c r="G60" s="408" t="str">
        <f t="shared" si="5"/>
        <v/>
      </c>
    </row>
    <row r="61" spans="2:7" ht="13">
      <c r="B61" s="406" t="str">
        <f t="shared" si="0"/>
        <v/>
      </c>
      <c r="C61" s="407" t="str">
        <f t="shared" si="1"/>
        <v/>
      </c>
      <c r="D61" s="407" t="str">
        <f t="shared" si="2"/>
        <v/>
      </c>
      <c r="E61" s="407" t="str">
        <f t="shared" si="6"/>
        <v/>
      </c>
      <c r="F61" s="407" t="str">
        <f t="shared" si="4"/>
        <v/>
      </c>
      <c r="G61" s="408" t="str">
        <f t="shared" si="5"/>
        <v/>
      </c>
    </row>
    <row r="62" spans="2:7" ht="13">
      <c r="B62" s="406" t="str">
        <f t="shared" si="0"/>
        <v/>
      </c>
      <c r="C62" s="407" t="str">
        <f t="shared" si="1"/>
        <v/>
      </c>
      <c r="D62" s="407" t="str">
        <f t="shared" si="2"/>
        <v/>
      </c>
      <c r="E62" s="407" t="str">
        <f t="shared" si="6"/>
        <v/>
      </c>
      <c r="F62" s="407" t="str">
        <f t="shared" si="4"/>
        <v/>
      </c>
      <c r="G62" s="408" t="str">
        <f t="shared" si="5"/>
        <v/>
      </c>
    </row>
    <row r="63" spans="2:7" ht="13">
      <c r="B63" s="406" t="str">
        <f t="shared" si="0"/>
        <v/>
      </c>
      <c r="C63" s="407" t="str">
        <f t="shared" si="1"/>
        <v/>
      </c>
      <c r="D63" s="407" t="str">
        <f t="shared" si="2"/>
        <v/>
      </c>
      <c r="E63" s="407" t="str">
        <f t="shared" si="6"/>
        <v/>
      </c>
      <c r="F63" s="407" t="str">
        <f t="shared" si="4"/>
        <v/>
      </c>
      <c r="G63" s="408" t="str">
        <f t="shared" si="5"/>
        <v/>
      </c>
    </row>
    <row r="64" spans="2:7" ht="13">
      <c r="B64" s="406" t="str">
        <f t="shared" si="0"/>
        <v/>
      </c>
      <c r="C64" s="407" t="str">
        <f t="shared" si="1"/>
        <v/>
      </c>
      <c r="D64" s="407" t="str">
        <f t="shared" si="2"/>
        <v/>
      </c>
      <c r="E64" s="407" t="str">
        <f t="shared" si="6"/>
        <v/>
      </c>
      <c r="F64" s="407" t="str">
        <f t="shared" si="4"/>
        <v/>
      </c>
      <c r="G64" s="408" t="str">
        <f t="shared" si="5"/>
        <v/>
      </c>
    </row>
    <row r="65" spans="2:7" ht="13">
      <c r="B65" s="406" t="str">
        <f t="shared" si="0"/>
        <v/>
      </c>
      <c r="C65" s="407" t="str">
        <f t="shared" si="1"/>
        <v/>
      </c>
      <c r="D65" s="407" t="str">
        <f t="shared" si="2"/>
        <v/>
      </c>
      <c r="E65" s="407" t="str">
        <f t="shared" si="6"/>
        <v/>
      </c>
      <c r="F65" s="407" t="str">
        <f t="shared" si="4"/>
        <v/>
      </c>
      <c r="G65" s="408" t="str">
        <f t="shared" si="5"/>
        <v/>
      </c>
    </row>
    <row r="66" spans="2:7" ht="13">
      <c r="B66" s="406" t="str">
        <f t="shared" si="0"/>
        <v/>
      </c>
      <c r="C66" s="407" t="str">
        <f t="shared" si="1"/>
        <v/>
      </c>
      <c r="D66" s="407" t="str">
        <f t="shared" si="2"/>
        <v/>
      </c>
      <c r="E66" s="407" t="str">
        <f t="shared" si="6"/>
        <v/>
      </c>
      <c r="F66" s="407" t="str">
        <f t="shared" si="4"/>
        <v/>
      </c>
      <c r="G66" s="408" t="str">
        <f t="shared" si="5"/>
        <v/>
      </c>
    </row>
    <row r="67" spans="2:7" ht="13">
      <c r="B67" s="406" t="str">
        <f t="shared" si="0"/>
        <v/>
      </c>
      <c r="C67" s="407" t="str">
        <f t="shared" si="1"/>
        <v/>
      </c>
      <c r="D67" s="407" t="str">
        <f t="shared" si="2"/>
        <v/>
      </c>
      <c r="E67" s="407" t="str">
        <f t="shared" si="6"/>
        <v/>
      </c>
      <c r="F67" s="407" t="str">
        <f t="shared" si="4"/>
        <v/>
      </c>
      <c r="G67" s="408" t="str">
        <f t="shared" si="5"/>
        <v/>
      </c>
    </row>
    <row r="68" spans="2:7" ht="13">
      <c r="B68" s="406" t="str">
        <f t="shared" si="0"/>
        <v/>
      </c>
      <c r="C68" s="407" t="str">
        <f t="shared" si="1"/>
        <v/>
      </c>
      <c r="D68" s="407" t="str">
        <f t="shared" si="2"/>
        <v/>
      </c>
      <c r="E68" s="407" t="str">
        <f t="shared" si="6"/>
        <v/>
      </c>
      <c r="F68" s="407" t="str">
        <f t="shared" si="4"/>
        <v/>
      </c>
      <c r="G68" s="408" t="str">
        <f t="shared" si="5"/>
        <v/>
      </c>
    </row>
    <row r="69" spans="2:7" ht="13">
      <c r="B69" s="406" t="str">
        <f t="shared" si="0"/>
        <v/>
      </c>
      <c r="C69" s="407" t="str">
        <f t="shared" si="1"/>
        <v/>
      </c>
      <c r="D69" s="407" t="str">
        <f t="shared" si="2"/>
        <v/>
      </c>
      <c r="E69" s="407" t="str">
        <f t="shared" si="6"/>
        <v/>
      </c>
      <c r="F69" s="407" t="str">
        <f t="shared" si="4"/>
        <v/>
      </c>
      <c r="G69" s="408" t="str">
        <f t="shared" si="5"/>
        <v/>
      </c>
    </row>
    <row r="70" spans="2:7" ht="13">
      <c r="B70" s="406" t="str">
        <f t="shared" si="0"/>
        <v/>
      </c>
      <c r="C70" s="407" t="str">
        <f t="shared" si="1"/>
        <v/>
      </c>
      <c r="D70" s="407" t="str">
        <f t="shared" si="2"/>
        <v/>
      </c>
      <c r="E70" s="407" t="str">
        <f t="shared" si="6"/>
        <v/>
      </c>
      <c r="F70" s="407" t="str">
        <f t="shared" si="4"/>
        <v/>
      </c>
      <c r="G70" s="408" t="str">
        <f t="shared" si="5"/>
        <v/>
      </c>
    </row>
    <row r="71" spans="2:7" ht="13">
      <c r="B71" s="406" t="str">
        <f t="shared" si="0"/>
        <v/>
      </c>
      <c r="C71" s="407" t="str">
        <f t="shared" si="1"/>
        <v/>
      </c>
      <c r="D71" s="407" t="str">
        <f t="shared" si="2"/>
        <v/>
      </c>
      <c r="E71" s="407" t="str">
        <f t="shared" si="6"/>
        <v/>
      </c>
      <c r="F71" s="407" t="str">
        <f t="shared" si="4"/>
        <v/>
      </c>
      <c r="G71" s="408" t="str">
        <f t="shared" si="5"/>
        <v/>
      </c>
    </row>
    <row r="72" spans="2:7" ht="13">
      <c r="B72" s="406" t="str">
        <f t="shared" si="0"/>
        <v/>
      </c>
      <c r="C72" s="407" t="str">
        <f t="shared" si="1"/>
        <v/>
      </c>
      <c r="D72" s="407" t="str">
        <f t="shared" si="2"/>
        <v/>
      </c>
      <c r="E72" s="407" t="str">
        <f t="shared" si="6"/>
        <v/>
      </c>
      <c r="F72" s="407" t="str">
        <f t="shared" si="4"/>
        <v/>
      </c>
      <c r="G72" s="408" t="str">
        <f t="shared" si="5"/>
        <v/>
      </c>
    </row>
    <row r="73" spans="2:7" ht="13">
      <c r="B73" s="406" t="str">
        <f t="shared" si="0"/>
        <v/>
      </c>
      <c r="C73" s="407" t="str">
        <f t="shared" si="1"/>
        <v/>
      </c>
      <c r="D73" s="407" t="str">
        <f t="shared" si="2"/>
        <v/>
      </c>
      <c r="E73" s="407" t="str">
        <f t="shared" si="6"/>
        <v/>
      </c>
      <c r="F73" s="407" t="str">
        <f t="shared" si="4"/>
        <v/>
      </c>
      <c r="G73" s="408" t="str">
        <f t="shared" si="5"/>
        <v/>
      </c>
    </row>
    <row r="74" spans="2:7" ht="13">
      <c r="B74" s="406" t="str">
        <f t="shared" si="0"/>
        <v/>
      </c>
      <c r="C74" s="407" t="str">
        <f t="shared" si="1"/>
        <v/>
      </c>
      <c r="D74" s="407" t="str">
        <f t="shared" si="2"/>
        <v/>
      </c>
      <c r="E74" s="407" t="str">
        <f t="shared" si="6"/>
        <v/>
      </c>
      <c r="F74" s="407" t="str">
        <f t="shared" si="4"/>
        <v/>
      </c>
      <c r="G74" s="408" t="str">
        <f t="shared" si="5"/>
        <v/>
      </c>
    </row>
    <row r="75" spans="2:7" ht="13">
      <c r="B75" s="406" t="str">
        <f t="shared" si="0"/>
        <v/>
      </c>
      <c r="C75" s="407" t="str">
        <f t="shared" si="1"/>
        <v/>
      </c>
      <c r="D75" s="407" t="str">
        <f t="shared" si="2"/>
        <v/>
      </c>
      <c r="E75" s="407" t="str">
        <f t="shared" si="6"/>
        <v/>
      </c>
      <c r="F75" s="407" t="str">
        <f t="shared" si="4"/>
        <v/>
      </c>
      <c r="G75" s="408" t="str">
        <f t="shared" si="5"/>
        <v/>
      </c>
    </row>
    <row r="76" spans="2:7" ht="13">
      <c r="B76" s="406" t="str">
        <f t="shared" si="0"/>
        <v/>
      </c>
      <c r="C76" s="407" t="str">
        <f t="shared" si="1"/>
        <v/>
      </c>
      <c r="D76" s="407" t="str">
        <f t="shared" si="2"/>
        <v/>
      </c>
      <c r="E76" s="407" t="str">
        <f t="shared" si="6"/>
        <v/>
      </c>
      <c r="F76" s="407" t="str">
        <f t="shared" si="4"/>
        <v/>
      </c>
      <c r="G76" s="408" t="str">
        <f t="shared" si="5"/>
        <v/>
      </c>
    </row>
    <row r="77" spans="2:7" ht="13">
      <c r="B77" s="406" t="str">
        <f t="shared" si="0"/>
        <v/>
      </c>
      <c r="C77" s="407" t="str">
        <f t="shared" si="1"/>
        <v/>
      </c>
      <c r="D77" s="407" t="str">
        <f t="shared" si="2"/>
        <v/>
      </c>
      <c r="E77" s="407" t="str">
        <f t="shared" si="6"/>
        <v/>
      </c>
      <c r="F77" s="407" t="str">
        <f t="shared" si="4"/>
        <v/>
      </c>
      <c r="G77" s="408" t="str">
        <f t="shared" si="5"/>
        <v/>
      </c>
    </row>
    <row r="78" spans="2:7" ht="13">
      <c r="B78" s="406" t="str">
        <f t="shared" si="0"/>
        <v/>
      </c>
      <c r="C78" s="407" t="str">
        <f t="shared" si="1"/>
        <v/>
      </c>
      <c r="D78" s="407" t="str">
        <f t="shared" si="2"/>
        <v/>
      </c>
      <c r="E78" s="407" t="str">
        <f t="shared" si="6"/>
        <v/>
      </c>
      <c r="F78" s="407" t="str">
        <f t="shared" si="4"/>
        <v/>
      </c>
      <c r="G78" s="408" t="str">
        <f t="shared" si="5"/>
        <v/>
      </c>
    </row>
    <row r="79" spans="2:7" ht="13">
      <c r="B79" s="406" t="str">
        <f t="shared" si="0"/>
        <v/>
      </c>
      <c r="C79" s="407" t="str">
        <f t="shared" si="1"/>
        <v/>
      </c>
      <c r="D79" s="407" t="str">
        <f t="shared" si="2"/>
        <v/>
      </c>
      <c r="E79" s="407" t="str">
        <f t="shared" si="6"/>
        <v/>
      </c>
      <c r="F79" s="407" t="str">
        <f t="shared" si="4"/>
        <v/>
      </c>
      <c r="G79" s="408" t="str">
        <f t="shared" si="5"/>
        <v/>
      </c>
    </row>
    <row r="80" spans="2:7" ht="13">
      <c r="B80" s="406" t="str">
        <f t="shared" ref="B80:B143" si="7">IF(((ROW()-nSkip)&lt;=$G$9),(ROW()-nSkip), "")</f>
        <v/>
      </c>
      <c r="C80" s="407" t="str">
        <f t="shared" si="1"/>
        <v/>
      </c>
      <c r="D80" s="407" t="str">
        <f t="shared" si="2"/>
        <v/>
      </c>
      <c r="E80" s="407" t="str">
        <f t="shared" si="6"/>
        <v/>
      </c>
      <c r="F80" s="407" t="str">
        <f t="shared" si="4"/>
        <v/>
      </c>
      <c r="G80" s="408" t="str">
        <f t="shared" si="5"/>
        <v/>
      </c>
    </row>
    <row r="81" spans="2:7" ht="13">
      <c r="B81" s="406" t="str">
        <f t="shared" si="7"/>
        <v/>
      </c>
      <c r="C81" s="407" t="str">
        <f t="shared" si="1"/>
        <v/>
      </c>
      <c r="D81" s="407" t="str">
        <f t="shared" ref="D81:D144" si="8">IF(((ROW()-nSkip)&lt;=$G$9),-PPMT(($G$5/$G$8),B81,$G$9,$G$4),"")</f>
        <v/>
      </c>
      <c r="E81" s="407" t="str">
        <f t="shared" si="6"/>
        <v/>
      </c>
      <c r="F81" s="407" t="str">
        <f t="shared" ref="F81:F144" si="9">IF(((ROW()-nSkip)&lt;=$G$9),(E81+F80),"")</f>
        <v/>
      </c>
      <c r="G81" s="408" t="str">
        <f t="shared" ref="G81:G144" si="10">IF(((ROW()-nSkip)&lt;=$G$9),(G80-D81),"")</f>
        <v/>
      </c>
    </row>
    <row r="82" spans="2:7" ht="13">
      <c r="B82" s="406" t="str">
        <f t="shared" si="7"/>
        <v/>
      </c>
      <c r="C82" s="407" t="str">
        <f t="shared" ref="C82:C145" si="11">IF((B82&lt;=$G$9),-PMT(($G$5/$G$8),$G$9,$G$4),"")</f>
        <v/>
      </c>
      <c r="D82" s="407" t="str">
        <f t="shared" si="8"/>
        <v/>
      </c>
      <c r="E82" s="407" t="str">
        <f t="shared" ref="E82:E145" si="12">IF(((ROW()-nSkip)&lt;=$G$9),-IPMT(($G$5/$G$8),B82,$G$9,$G$4),"")</f>
        <v/>
      </c>
      <c r="F82" s="407" t="str">
        <f t="shared" si="9"/>
        <v/>
      </c>
      <c r="G82" s="408" t="str">
        <f t="shared" si="10"/>
        <v/>
      </c>
    </row>
    <row r="83" spans="2:7" ht="13">
      <c r="B83" s="406" t="str">
        <f t="shared" si="7"/>
        <v/>
      </c>
      <c r="C83" s="407" t="str">
        <f t="shared" si="11"/>
        <v/>
      </c>
      <c r="D83" s="407" t="str">
        <f t="shared" si="8"/>
        <v/>
      </c>
      <c r="E83" s="407" t="str">
        <f t="shared" si="12"/>
        <v/>
      </c>
      <c r="F83" s="407" t="str">
        <f t="shared" si="9"/>
        <v/>
      </c>
      <c r="G83" s="408" t="str">
        <f t="shared" si="10"/>
        <v/>
      </c>
    </row>
    <row r="84" spans="2:7" ht="13">
      <c r="B84" s="406" t="str">
        <f t="shared" si="7"/>
        <v/>
      </c>
      <c r="C84" s="407" t="str">
        <f t="shared" si="11"/>
        <v/>
      </c>
      <c r="D84" s="407" t="str">
        <f t="shared" si="8"/>
        <v/>
      </c>
      <c r="E84" s="407" t="str">
        <f t="shared" si="12"/>
        <v/>
      </c>
      <c r="F84" s="407" t="str">
        <f t="shared" si="9"/>
        <v/>
      </c>
      <c r="G84" s="408" t="str">
        <f t="shared" si="10"/>
        <v/>
      </c>
    </row>
    <row r="85" spans="2:7" ht="13">
      <c r="B85" s="406" t="str">
        <f t="shared" si="7"/>
        <v/>
      </c>
      <c r="C85" s="407" t="str">
        <f t="shared" si="11"/>
        <v/>
      </c>
      <c r="D85" s="407" t="str">
        <f t="shared" si="8"/>
        <v/>
      </c>
      <c r="E85" s="407" t="str">
        <f t="shared" si="12"/>
        <v/>
      </c>
      <c r="F85" s="407" t="str">
        <f t="shared" si="9"/>
        <v/>
      </c>
      <c r="G85" s="408" t="str">
        <f t="shared" si="10"/>
        <v/>
      </c>
    </row>
    <row r="86" spans="2:7" ht="13">
      <c r="B86" s="406" t="str">
        <f t="shared" si="7"/>
        <v/>
      </c>
      <c r="C86" s="407" t="str">
        <f t="shared" si="11"/>
        <v/>
      </c>
      <c r="D86" s="407" t="str">
        <f t="shared" si="8"/>
        <v/>
      </c>
      <c r="E86" s="407" t="str">
        <f t="shared" si="12"/>
        <v/>
      </c>
      <c r="F86" s="407" t="str">
        <f t="shared" si="9"/>
        <v/>
      </c>
      <c r="G86" s="408" t="str">
        <f t="shared" si="10"/>
        <v/>
      </c>
    </row>
    <row r="87" spans="2:7" ht="13">
      <c r="B87" s="406" t="str">
        <f t="shared" si="7"/>
        <v/>
      </c>
      <c r="C87" s="407" t="str">
        <f t="shared" si="11"/>
        <v/>
      </c>
      <c r="D87" s="407" t="str">
        <f t="shared" si="8"/>
        <v/>
      </c>
      <c r="E87" s="407" t="str">
        <f t="shared" si="12"/>
        <v/>
      </c>
      <c r="F87" s="407" t="str">
        <f t="shared" si="9"/>
        <v/>
      </c>
      <c r="G87" s="408" t="str">
        <f t="shared" si="10"/>
        <v/>
      </c>
    </row>
    <row r="88" spans="2:7" ht="13">
      <c r="B88" s="406" t="str">
        <f t="shared" si="7"/>
        <v/>
      </c>
      <c r="C88" s="407" t="str">
        <f t="shared" si="11"/>
        <v/>
      </c>
      <c r="D88" s="407" t="str">
        <f t="shared" si="8"/>
        <v/>
      </c>
      <c r="E88" s="407" t="str">
        <f t="shared" si="12"/>
        <v/>
      </c>
      <c r="F88" s="407" t="str">
        <f t="shared" si="9"/>
        <v/>
      </c>
      <c r="G88" s="408" t="str">
        <f t="shared" si="10"/>
        <v/>
      </c>
    </row>
    <row r="89" spans="2:7" ht="13">
      <c r="B89" s="406" t="str">
        <f t="shared" si="7"/>
        <v/>
      </c>
      <c r="C89" s="407" t="str">
        <f t="shared" si="11"/>
        <v/>
      </c>
      <c r="D89" s="407" t="str">
        <f t="shared" si="8"/>
        <v/>
      </c>
      <c r="E89" s="407" t="str">
        <f t="shared" si="12"/>
        <v/>
      </c>
      <c r="F89" s="407" t="str">
        <f t="shared" si="9"/>
        <v/>
      </c>
      <c r="G89" s="408" t="str">
        <f t="shared" si="10"/>
        <v/>
      </c>
    </row>
    <row r="90" spans="2:7" ht="13">
      <c r="B90" s="406" t="str">
        <f t="shared" si="7"/>
        <v/>
      </c>
      <c r="C90" s="407" t="str">
        <f t="shared" si="11"/>
        <v/>
      </c>
      <c r="D90" s="407" t="str">
        <f t="shared" si="8"/>
        <v/>
      </c>
      <c r="E90" s="407" t="str">
        <f t="shared" si="12"/>
        <v/>
      </c>
      <c r="F90" s="407" t="str">
        <f t="shared" si="9"/>
        <v/>
      </c>
      <c r="G90" s="408" t="str">
        <f t="shared" si="10"/>
        <v/>
      </c>
    </row>
    <row r="91" spans="2:7" ht="13">
      <c r="B91" s="406" t="str">
        <f t="shared" si="7"/>
        <v/>
      </c>
      <c r="C91" s="407" t="str">
        <f t="shared" si="11"/>
        <v/>
      </c>
      <c r="D91" s="407" t="str">
        <f t="shared" si="8"/>
        <v/>
      </c>
      <c r="E91" s="407" t="str">
        <f t="shared" si="12"/>
        <v/>
      </c>
      <c r="F91" s="407" t="str">
        <f t="shared" si="9"/>
        <v/>
      </c>
      <c r="G91" s="408" t="str">
        <f t="shared" si="10"/>
        <v/>
      </c>
    </row>
    <row r="92" spans="2:7" ht="13">
      <c r="B92" s="406" t="str">
        <f t="shared" si="7"/>
        <v/>
      </c>
      <c r="C92" s="407" t="str">
        <f t="shared" si="11"/>
        <v/>
      </c>
      <c r="D92" s="407" t="str">
        <f t="shared" si="8"/>
        <v/>
      </c>
      <c r="E92" s="407" t="str">
        <f t="shared" si="12"/>
        <v/>
      </c>
      <c r="F92" s="407" t="str">
        <f t="shared" si="9"/>
        <v/>
      </c>
      <c r="G92" s="408" t="str">
        <f t="shared" si="10"/>
        <v/>
      </c>
    </row>
    <row r="93" spans="2:7" ht="13">
      <c r="B93" s="406" t="str">
        <f t="shared" si="7"/>
        <v/>
      </c>
      <c r="C93" s="407" t="str">
        <f t="shared" si="11"/>
        <v/>
      </c>
      <c r="D93" s="407" t="str">
        <f t="shared" si="8"/>
        <v/>
      </c>
      <c r="E93" s="407" t="str">
        <f t="shared" si="12"/>
        <v/>
      </c>
      <c r="F93" s="407" t="str">
        <f t="shared" si="9"/>
        <v/>
      </c>
      <c r="G93" s="408" t="str">
        <f t="shared" si="10"/>
        <v/>
      </c>
    </row>
    <row r="94" spans="2:7" ht="13">
      <c r="B94" s="406" t="str">
        <f t="shared" si="7"/>
        <v/>
      </c>
      <c r="C94" s="407" t="str">
        <f t="shared" si="11"/>
        <v/>
      </c>
      <c r="D94" s="407" t="str">
        <f t="shared" si="8"/>
        <v/>
      </c>
      <c r="E94" s="407" t="str">
        <f t="shared" si="12"/>
        <v/>
      </c>
      <c r="F94" s="407" t="str">
        <f t="shared" si="9"/>
        <v/>
      </c>
      <c r="G94" s="408" t="str">
        <f t="shared" si="10"/>
        <v/>
      </c>
    </row>
    <row r="95" spans="2:7" ht="13">
      <c r="B95" s="406" t="str">
        <f t="shared" si="7"/>
        <v/>
      </c>
      <c r="C95" s="407" t="str">
        <f t="shared" si="11"/>
        <v/>
      </c>
      <c r="D95" s="407" t="str">
        <f t="shared" si="8"/>
        <v/>
      </c>
      <c r="E95" s="407" t="str">
        <f t="shared" si="12"/>
        <v/>
      </c>
      <c r="F95" s="407" t="str">
        <f t="shared" si="9"/>
        <v/>
      </c>
      <c r="G95" s="408" t="str">
        <f t="shared" si="10"/>
        <v/>
      </c>
    </row>
    <row r="96" spans="2:7" ht="13">
      <c r="B96" s="406" t="str">
        <f t="shared" si="7"/>
        <v/>
      </c>
      <c r="C96" s="407" t="str">
        <f t="shared" si="11"/>
        <v/>
      </c>
      <c r="D96" s="407" t="str">
        <f t="shared" si="8"/>
        <v/>
      </c>
      <c r="E96" s="407" t="str">
        <f t="shared" si="12"/>
        <v/>
      </c>
      <c r="F96" s="407" t="str">
        <f t="shared" si="9"/>
        <v/>
      </c>
      <c r="G96" s="408" t="str">
        <f t="shared" si="10"/>
        <v/>
      </c>
    </row>
    <row r="97" spans="2:7" ht="13">
      <c r="B97" s="406" t="str">
        <f t="shared" si="7"/>
        <v/>
      </c>
      <c r="C97" s="407" t="str">
        <f t="shared" si="11"/>
        <v/>
      </c>
      <c r="D97" s="407" t="str">
        <f t="shared" si="8"/>
        <v/>
      </c>
      <c r="E97" s="407" t="str">
        <f t="shared" si="12"/>
        <v/>
      </c>
      <c r="F97" s="407" t="str">
        <f t="shared" si="9"/>
        <v/>
      </c>
      <c r="G97" s="408" t="str">
        <f t="shared" si="10"/>
        <v/>
      </c>
    </row>
    <row r="98" spans="2:7" ht="13">
      <c r="B98" s="406" t="str">
        <f t="shared" si="7"/>
        <v/>
      </c>
      <c r="C98" s="407" t="str">
        <f t="shared" si="11"/>
        <v/>
      </c>
      <c r="D98" s="407" t="str">
        <f t="shared" si="8"/>
        <v/>
      </c>
      <c r="E98" s="407" t="str">
        <f t="shared" si="12"/>
        <v/>
      </c>
      <c r="F98" s="407" t="str">
        <f t="shared" si="9"/>
        <v/>
      </c>
      <c r="G98" s="408" t="str">
        <f t="shared" si="10"/>
        <v/>
      </c>
    </row>
    <row r="99" spans="2:7" ht="13">
      <c r="B99" s="406" t="str">
        <f t="shared" si="7"/>
        <v/>
      </c>
      <c r="C99" s="407" t="str">
        <f t="shared" si="11"/>
        <v/>
      </c>
      <c r="D99" s="407" t="str">
        <f t="shared" si="8"/>
        <v/>
      </c>
      <c r="E99" s="407" t="str">
        <f t="shared" si="12"/>
        <v/>
      </c>
      <c r="F99" s="407" t="str">
        <f t="shared" si="9"/>
        <v/>
      </c>
      <c r="G99" s="408" t="str">
        <f t="shared" si="10"/>
        <v/>
      </c>
    </row>
    <row r="100" spans="2:7" ht="13">
      <c r="B100" s="406" t="str">
        <f t="shared" si="7"/>
        <v/>
      </c>
      <c r="C100" s="407" t="str">
        <f t="shared" si="11"/>
        <v/>
      </c>
      <c r="D100" s="407" t="str">
        <f t="shared" si="8"/>
        <v/>
      </c>
      <c r="E100" s="407" t="str">
        <f t="shared" si="12"/>
        <v/>
      </c>
      <c r="F100" s="407" t="str">
        <f t="shared" si="9"/>
        <v/>
      </c>
      <c r="G100" s="408" t="str">
        <f t="shared" si="10"/>
        <v/>
      </c>
    </row>
    <row r="101" spans="2:7" ht="13">
      <c r="B101" s="406" t="str">
        <f t="shared" si="7"/>
        <v/>
      </c>
      <c r="C101" s="407" t="str">
        <f t="shared" si="11"/>
        <v/>
      </c>
      <c r="D101" s="407" t="str">
        <f t="shared" si="8"/>
        <v/>
      </c>
      <c r="E101" s="407" t="str">
        <f t="shared" si="12"/>
        <v/>
      </c>
      <c r="F101" s="407" t="str">
        <f t="shared" si="9"/>
        <v/>
      </c>
      <c r="G101" s="408" t="str">
        <f t="shared" si="10"/>
        <v/>
      </c>
    </row>
    <row r="102" spans="2:7" ht="13">
      <c r="B102" s="406" t="str">
        <f t="shared" si="7"/>
        <v/>
      </c>
      <c r="C102" s="407" t="str">
        <f t="shared" si="11"/>
        <v/>
      </c>
      <c r="D102" s="407" t="str">
        <f t="shared" si="8"/>
        <v/>
      </c>
      <c r="E102" s="407" t="str">
        <f t="shared" si="12"/>
        <v/>
      </c>
      <c r="F102" s="407" t="str">
        <f t="shared" si="9"/>
        <v/>
      </c>
      <c r="G102" s="408" t="str">
        <f t="shared" si="10"/>
        <v/>
      </c>
    </row>
    <row r="103" spans="2:7" ht="13">
      <c r="B103" s="406" t="str">
        <f t="shared" si="7"/>
        <v/>
      </c>
      <c r="C103" s="407" t="str">
        <f t="shared" si="11"/>
        <v/>
      </c>
      <c r="D103" s="407" t="str">
        <f t="shared" si="8"/>
        <v/>
      </c>
      <c r="E103" s="407" t="str">
        <f t="shared" si="12"/>
        <v/>
      </c>
      <c r="F103" s="407" t="str">
        <f t="shared" si="9"/>
        <v/>
      </c>
      <c r="G103" s="408" t="str">
        <f t="shared" si="10"/>
        <v/>
      </c>
    </row>
    <row r="104" spans="2:7" ht="13">
      <c r="B104" s="406" t="str">
        <f t="shared" si="7"/>
        <v/>
      </c>
      <c r="C104" s="407" t="str">
        <f t="shared" si="11"/>
        <v/>
      </c>
      <c r="D104" s="407" t="str">
        <f t="shared" si="8"/>
        <v/>
      </c>
      <c r="E104" s="407" t="str">
        <f t="shared" si="12"/>
        <v/>
      </c>
      <c r="F104" s="407" t="str">
        <f t="shared" si="9"/>
        <v/>
      </c>
      <c r="G104" s="408" t="str">
        <f t="shared" si="10"/>
        <v/>
      </c>
    </row>
    <row r="105" spans="2:7" ht="13">
      <c r="B105" s="406" t="str">
        <f t="shared" si="7"/>
        <v/>
      </c>
      <c r="C105" s="407" t="str">
        <f t="shared" si="11"/>
        <v/>
      </c>
      <c r="D105" s="407" t="str">
        <f t="shared" si="8"/>
        <v/>
      </c>
      <c r="E105" s="407" t="str">
        <f t="shared" si="12"/>
        <v/>
      </c>
      <c r="F105" s="407" t="str">
        <f t="shared" si="9"/>
        <v/>
      </c>
      <c r="G105" s="408" t="str">
        <f t="shared" si="10"/>
        <v/>
      </c>
    </row>
    <row r="106" spans="2:7" ht="13">
      <c r="B106" s="406" t="str">
        <f t="shared" si="7"/>
        <v/>
      </c>
      <c r="C106" s="407" t="str">
        <f t="shared" si="11"/>
        <v/>
      </c>
      <c r="D106" s="407" t="str">
        <f t="shared" si="8"/>
        <v/>
      </c>
      <c r="E106" s="407" t="str">
        <f t="shared" si="12"/>
        <v/>
      </c>
      <c r="F106" s="407" t="str">
        <f t="shared" si="9"/>
        <v/>
      </c>
      <c r="G106" s="408" t="str">
        <f t="shared" si="10"/>
        <v/>
      </c>
    </row>
    <row r="107" spans="2:7" ht="13">
      <c r="B107" s="406" t="str">
        <f t="shared" si="7"/>
        <v/>
      </c>
      <c r="C107" s="407" t="str">
        <f t="shared" si="11"/>
        <v/>
      </c>
      <c r="D107" s="407" t="str">
        <f t="shared" si="8"/>
        <v/>
      </c>
      <c r="E107" s="407" t="str">
        <f t="shared" si="12"/>
        <v/>
      </c>
      <c r="F107" s="407" t="str">
        <f t="shared" si="9"/>
        <v/>
      </c>
      <c r="G107" s="408" t="str">
        <f t="shared" si="10"/>
        <v/>
      </c>
    </row>
    <row r="108" spans="2:7" ht="13">
      <c r="B108" s="406" t="str">
        <f t="shared" si="7"/>
        <v/>
      </c>
      <c r="C108" s="407" t="str">
        <f t="shared" si="11"/>
        <v/>
      </c>
      <c r="D108" s="407" t="str">
        <f t="shared" si="8"/>
        <v/>
      </c>
      <c r="E108" s="407" t="str">
        <f t="shared" si="12"/>
        <v/>
      </c>
      <c r="F108" s="407" t="str">
        <f t="shared" si="9"/>
        <v/>
      </c>
      <c r="G108" s="408" t="str">
        <f t="shared" si="10"/>
        <v/>
      </c>
    </row>
    <row r="109" spans="2:7" ht="13">
      <c r="B109" s="406" t="str">
        <f t="shared" si="7"/>
        <v/>
      </c>
      <c r="C109" s="407" t="str">
        <f t="shared" si="11"/>
        <v/>
      </c>
      <c r="D109" s="407" t="str">
        <f t="shared" si="8"/>
        <v/>
      </c>
      <c r="E109" s="407" t="str">
        <f t="shared" si="12"/>
        <v/>
      </c>
      <c r="F109" s="407" t="str">
        <f t="shared" si="9"/>
        <v/>
      </c>
      <c r="G109" s="408" t="str">
        <f t="shared" si="10"/>
        <v/>
      </c>
    </row>
    <row r="110" spans="2:7" ht="13">
      <c r="B110" s="406" t="str">
        <f t="shared" si="7"/>
        <v/>
      </c>
      <c r="C110" s="407" t="str">
        <f t="shared" si="11"/>
        <v/>
      </c>
      <c r="D110" s="407" t="str">
        <f t="shared" si="8"/>
        <v/>
      </c>
      <c r="E110" s="407" t="str">
        <f t="shared" si="12"/>
        <v/>
      </c>
      <c r="F110" s="407" t="str">
        <f t="shared" si="9"/>
        <v/>
      </c>
      <c r="G110" s="408" t="str">
        <f t="shared" si="10"/>
        <v/>
      </c>
    </row>
    <row r="111" spans="2:7" ht="13">
      <c r="B111" s="406" t="str">
        <f t="shared" si="7"/>
        <v/>
      </c>
      <c r="C111" s="407" t="str">
        <f t="shared" si="11"/>
        <v/>
      </c>
      <c r="D111" s="407" t="str">
        <f t="shared" si="8"/>
        <v/>
      </c>
      <c r="E111" s="407" t="str">
        <f t="shared" si="12"/>
        <v/>
      </c>
      <c r="F111" s="407" t="str">
        <f t="shared" si="9"/>
        <v/>
      </c>
      <c r="G111" s="408" t="str">
        <f t="shared" si="10"/>
        <v/>
      </c>
    </row>
    <row r="112" spans="2:7" ht="13">
      <c r="B112" s="406" t="str">
        <f t="shared" si="7"/>
        <v/>
      </c>
      <c r="C112" s="407" t="str">
        <f t="shared" si="11"/>
        <v/>
      </c>
      <c r="D112" s="407" t="str">
        <f t="shared" si="8"/>
        <v/>
      </c>
      <c r="E112" s="407" t="str">
        <f t="shared" si="12"/>
        <v/>
      </c>
      <c r="F112" s="407" t="str">
        <f t="shared" si="9"/>
        <v/>
      </c>
      <c r="G112" s="408" t="str">
        <f t="shared" si="10"/>
        <v/>
      </c>
    </row>
    <row r="113" spans="2:7" ht="13">
      <c r="B113" s="406" t="str">
        <f t="shared" si="7"/>
        <v/>
      </c>
      <c r="C113" s="407" t="str">
        <f t="shared" si="11"/>
        <v/>
      </c>
      <c r="D113" s="407" t="str">
        <f t="shared" si="8"/>
        <v/>
      </c>
      <c r="E113" s="407" t="str">
        <f t="shared" si="12"/>
        <v/>
      </c>
      <c r="F113" s="407" t="str">
        <f t="shared" si="9"/>
        <v/>
      </c>
      <c r="G113" s="408" t="str">
        <f t="shared" si="10"/>
        <v/>
      </c>
    </row>
    <row r="114" spans="2:7" ht="13">
      <c r="B114" s="406" t="str">
        <f t="shared" si="7"/>
        <v/>
      </c>
      <c r="C114" s="407" t="str">
        <f t="shared" si="11"/>
        <v/>
      </c>
      <c r="D114" s="407" t="str">
        <f t="shared" si="8"/>
        <v/>
      </c>
      <c r="E114" s="407" t="str">
        <f t="shared" si="12"/>
        <v/>
      </c>
      <c r="F114" s="407" t="str">
        <f t="shared" si="9"/>
        <v/>
      </c>
      <c r="G114" s="408" t="str">
        <f t="shared" si="10"/>
        <v/>
      </c>
    </row>
    <row r="115" spans="2:7" ht="13">
      <c r="B115" s="406" t="str">
        <f t="shared" si="7"/>
        <v/>
      </c>
      <c r="C115" s="407" t="str">
        <f t="shared" si="11"/>
        <v/>
      </c>
      <c r="D115" s="407" t="str">
        <f t="shared" si="8"/>
        <v/>
      </c>
      <c r="E115" s="407" t="str">
        <f t="shared" si="12"/>
        <v/>
      </c>
      <c r="F115" s="407" t="str">
        <f t="shared" si="9"/>
        <v/>
      </c>
      <c r="G115" s="408" t="str">
        <f t="shared" si="10"/>
        <v/>
      </c>
    </row>
    <row r="116" spans="2:7" ht="13">
      <c r="B116" s="406" t="str">
        <f t="shared" si="7"/>
        <v/>
      </c>
      <c r="C116" s="407" t="str">
        <f t="shared" si="11"/>
        <v/>
      </c>
      <c r="D116" s="407" t="str">
        <f t="shared" si="8"/>
        <v/>
      </c>
      <c r="E116" s="407" t="str">
        <f t="shared" si="12"/>
        <v/>
      </c>
      <c r="F116" s="407" t="str">
        <f t="shared" si="9"/>
        <v/>
      </c>
      <c r="G116" s="408" t="str">
        <f t="shared" si="10"/>
        <v/>
      </c>
    </row>
    <row r="117" spans="2:7" ht="13">
      <c r="B117" s="406" t="str">
        <f t="shared" si="7"/>
        <v/>
      </c>
      <c r="C117" s="407" t="str">
        <f t="shared" si="11"/>
        <v/>
      </c>
      <c r="D117" s="407" t="str">
        <f t="shared" si="8"/>
        <v/>
      </c>
      <c r="E117" s="407" t="str">
        <f t="shared" si="12"/>
        <v/>
      </c>
      <c r="F117" s="407" t="str">
        <f t="shared" si="9"/>
        <v/>
      </c>
      <c r="G117" s="408" t="str">
        <f t="shared" si="10"/>
        <v/>
      </c>
    </row>
    <row r="118" spans="2:7" ht="13">
      <c r="B118" s="406" t="str">
        <f t="shared" si="7"/>
        <v/>
      </c>
      <c r="C118" s="407" t="str">
        <f t="shared" si="11"/>
        <v/>
      </c>
      <c r="D118" s="407" t="str">
        <f t="shared" si="8"/>
        <v/>
      </c>
      <c r="E118" s="407" t="str">
        <f t="shared" si="12"/>
        <v/>
      </c>
      <c r="F118" s="407" t="str">
        <f t="shared" si="9"/>
        <v/>
      </c>
      <c r="G118" s="408" t="str">
        <f t="shared" si="10"/>
        <v/>
      </c>
    </row>
    <row r="119" spans="2:7" ht="13">
      <c r="B119" s="406" t="str">
        <f t="shared" si="7"/>
        <v/>
      </c>
      <c r="C119" s="407" t="str">
        <f t="shared" si="11"/>
        <v/>
      </c>
      <c r="D119" s="407" t="str">
        <f t="shared" si="8"/>
        <v/>
      </c>
      <c r="E119" s="407" t="str">
        <f t="shared" si="12"/>
        <v/>
      </c>
      <c r="F119" s="407" t="str">
        <f t="shared" si="9"/>
        <v/>
      </c>
      <c r="G119" s="408" t="str">
        <f t="shared" si="10"/>
        <v/>
      </c>
    </row>
    <row r="120" spans="2:7" ht="13">
      <c r="B120" s="406" t="str">
        <f t="shared" si="7"/>
        <v/>
      </c>
      <c r="C120" s="407" t="str">
        <f t="shared" si="11"/>
        <v/>
      </c>
      <c r="D120" s="407" t="str">
        <f t="shared" si="8"/>
        <v/>
      </c>
      <c r="E120" s="407" t="str">
        <f t="shared" si="12"/>
        <v/>
      </c>
      <c r="F120" s="407" t="str">
        <f t="shared" si="9"/>
        <v/>
      </c>
      <c r="G120" s="408" t="str">
        <f t="shared" si="10"/>
        <v/>
      </c>
    </row>
    <row r="121" spans="2:7" ht="13">
      <c r="B121" s="406" t="str">
        <f t="shared" si="7"/>
        <v/>
      </c>
      <c r="C121" s="407" t="str">
        <f t="shared" si="11"/>
        <v/>
      </c>
      <c r="D121" s="407" t="str">
        <f t="shared" si="8"/>
        <v/>
      </c>
      <c r="E121" s="407" t="str">
        <f t="shared" si="12"/>
        <v/>
      </c>
      <c r="F121" s="407" t="str">
        <f t="shared" si="9"/>
        <v/>
      </c>
      <c r="G121" s="408" t="str">
        <f t="shared" si="10"/>
        <v/>
      </c>
    </row>
    <row r="122" spans="2:7" ht="13">
      <c r="B122" s="406" t="str">
        <f t="shared" si="7"/>
        <v/>
      </c>
      <c r="C122" s="407" t="str">
        <f t="shared" si="11"/>
        <v/>
      </c>
      <c r="D122" s="407" t="str">
        <f t="shared" si="8"/>
        <v/>
      </c>
      <c r="E122" s="407" t="str">
        <f t="shared" si="12"/>
        <v/>
      </c>
      <c r="F122" s="407" t="str">
        <f t="shared" si="9"/>
        <v/>
      </c>
      <c r="G122" s="408" t="str">
        <f t="shared" si="10"/>
        <v/>
      </c>
    </row>
    <row r="123" spans="2:7" ht="13">
      <c r="B123" s="406" t="str">
        <f t="shared" si="7"/>
        <v/>
      </c>
      <c r="C123" s="407" t="str">
        <f t="shared" si="11"/>
        <v/>
      </c>
      <c r="D123" s="407" t="str">
        <f t="shared" si="8"/>
        <v/>
      </c>
      <c r="E123" s="407" t="str">
        <f t="shared" si="12"/>
        <v/>
      </c>
      <c r="F123" s="407" t="str">
        <f t="shared" si="9"/>
        <v/>
      </c>
      <c r="G123" s="408" t="str">
        <f t="shared" si="10"/>
        <v/>
      </c>
    </row>
    <row r="124" spans="2:7" ht="13">
      <c r="B124" s="406" t="str">
        <f t="shared" si="7"/>
        <v/>
      </c>
      <c r="C124" s="407" t="str">
        <f t="shared" si="11"/>
        <v/>
      </c>
      <c r="D124" s="407" t="str">
        <f t="shared" si="8"/>
        <v/>
      </c>
      <c r="E124" s="407" t="str">
        <f t="shared" si="12"/>
        <v/>
      </c>
      <c r="F124" s="407" t="str">
        <f t="shared" si="9"/>
        <v/>
      </c>
      <c r="G124" s="408" t="str">
        <f t="shared" si="10"/>
        <v/>
      </c>
    </row>
    <row r="125" spans="2:7" ht="13">
      <c r="B125" s="406" t="str">
        <f t="shared" si="7"/>
        <v/>
      </c>
      <c r="C125" s="407" t="str">
        <f t="shared" si="11"/>
        <v/>
      </c>
      <c r="D125" s="407" t="str">
        <f t="shared" si="8"/>
        <v/>
      </c>
      <c r="E125" s="407" t="str">
        <f t="shared" si="12"/>
        <v/>
      </c>
      <c r="F125" s="407" t="str">
        <f t="shared" si="9"/>
        <v/>
      </c>
      <c r="G125" s="408" t="str">
        <f t="shared" si="10"/>
        <v/>
      </c>
    </row>
    <row r="126" spans="2:7" ht="13">
      <c r="B126" s="406" t="str">
        <f t="shared" si="7"/>
        <v/>
      </c>
      <c r="C126" s="407" t="str">
        <f t="shared" si="11"/>
        <v/>
      </c>
      <c r="D126" s="407" t="str">
        <f t="shared" si="8"/>
        <v/>
      </c>
      <c r="E126" s="407" t="str">
        <f t="shared" si="12"/>
        <v/>
      </c>
      <c r="F126" s="407" t="str">
        <f t="shared" si="9"/>
        <v/>
      </c>
      <c r="G126" s="408" t="str">
        <f t="shared" si="10"/>
        <v/>
      </c>
    </row>
    <row r="127" spans="2:7" ht="13">
      <c r="B127" s="406" t="str">
        <f t="shared" si="7"/>
        <v/>
      </c>
      <c r="C127" s="407" t="str">
        <f t="shared" si="11"/>
        <v/>
      </c>
      <c r="D127" s="407" t="str">
        <f t="shared" si="8"/>
        <v/>
      </c>
      <c r="E127" s="407" t="str">
        <f t="shared" si="12"/>
        <v/>
      </c>
      <c r="F127" s="407" t="str">
        <f t="shared" si="9"/>
        <v/>
      </c>
      <c r="G127" s="408" t="str">
        <f t="shared" si="10"/>
        <v/>
      </c>
    </row>
    <row r="128" spans="2:7" ht="13">
      <c r="B128" s="406" t="str">
        <f t="shared" si="7"/>
        <v/>
      </c>
      <c r="C128" s="407" t="str">
        <f t="shared" si="11"/>
        <v/>
      </c>
      <c r="D128" s="407" t="str">
        <f t="shared" si="8"/>
        <v/>
      </c>
      <c r="E128" s="407" t="str">
        <f t="shared" si="12"/>
        <v/>
      </c>
      <c r="F128" s="407" t="str">
        <f t="shared" si="9"/>
        <v/>
      </c>
      <c r="G128" s="408" t="str">
        <f t="shared" si="10"/>
        <v/>
      </c>
    </row>
    <row r="129" spans="2:7" ht="13">
      <c r="B129" s="406" t="str">
        <f t="shared" si="7"/>
        <v/>
      </c>
      <c r="C129" s="407" t="str">
        <f t="shared" si="11"/>
        <v/>
      </c>
      <c r="D129" s="407" t="str">
        <f t="shared" si="8"/>
        <v/>
      </c>
      <c r="E129" s="407" t="str">
        <f t="shared" si="12"/>
        <v/>
      </c>
      <c r="F129" s="407" t="str">
        <f t="shared" si="9"/>
        <v/>
      </c>
      <c r="G129" s="408" t="str">
        <f t="shared" si="10"/>
        <v/>
      </c>
    </row>
    <row r="130" spans="2:7" ht="13">
      <c r="B130" s="406" t="str">
        <f t="shared" si="7"/>
        <v/>
      </c>
      <c r="C130" s="407" t="str">
        <f t="shared" si="11"/>
        <v/>
      </c>
      <c r="D130" s="407" t="str">
        <f t="shared" si="8"/>
        <v/>
      </c>
      <c r="E130" s="407" t="str">
        <f t="shared" si="12"/>
        <v/>
      </c>
      <c r="F130" s="407" t="str">
        <f t="shared" si="9"/>
        <v/>
      </c>
      <c r="G130" s="408" t="str">
        <f t="shared" si="10"/>
        <v/>
      </c>
    </row>
    <row r="131" spans="2:7" ht="13">
      <c r="B131" s="406" t="str">
        <f t="shared" si="7"/>
        <v/>
      </c>
      <c r="C131" s="407" t="str">
        <f t="shared" si="11"/>
        <v/>
      </c>
      <c r="D131" s="407" t="str">
        <f t="shared" si="8"/>
        <v/>
      </c>
      <c r="E131" s="407" t="str">
        <f t="shared" si="12"/>
        <v/>
      </c>
      <c r="F131" s="407" t="str">
        <f t="shared" si="9"/>
        <v/>
      </c>
      <c r="G131" s="408" t="str">
        <f t="shared" si="10"/>
        <v/>
      </c>
    </row>
    <row r="132" spans="2:7" ht="13">
      <c r="B132" s="406" t="str">
        <f t="shared" si="7"/>
        <v/>
      </c>
      <c r="C132" s="407" t="str">
        <f t="shared" si="11"/>
        <v/>
      </c>
      <c r="D132" s="407" t="str">
        <f t="shared" si="8"/>
        <v/>
      </c>
      <c r="E132" s="407" t="str">
        <f t="shared" si="12"/>
        <v/>
      </c>
      <c r="F132" s="407" t="str">
        <f t="shared" si="9"/>
        <v/>
      </c>
      <c r="G132" s="408" t="str">
        <f t="shared" si="10"/>
        <v/>
      </c>
    </row>
    <row r="133" spans="2:7" ht="13">
      <c r="B133" s="406" t="str">
        <f t="shared" si="7"/>
        <v/>
      </c>
      <c r="C133" s="407" t="str">
        <f t="shared" si="11"/>
        <v/>
      </c>
      <c r="D133" s="407" t="str">
        <f t="shared" si="8"/>
        <v/>
      </c>
      <c r="E133" s="407" t="str">
        <f t="shared" si="12"/>
        <v/>
      </c>
      <c r="F133" s="407" t="str">
        <f t="shared" si="9"/>
        <v/>
      </c>
      <c r="G133" s="408" t="str">
        <f t="shared" si="10"/>
        <v/>
      </c>
    </row>
    <row r="134" spans="2:7" ht="13">
      <c r="B134" s="406" t="str">
        <f t="shared" si="7"/>
        <v/>
      </c>
      <c r="C134" s="407" t="str">
        <f t="shared" si="11"/>
        <v/>
      </c>
      <c r="D134" s="407" t="str">
        <f t="shared" si="8"/>
        <v/>
      </c>
      <c r="E134" s="407" t="str">
        <f t="shared" si="12"/>
        <v/>
      </c>
      <c r="F134" s="407" t="str">
        <f t="shared" si="9"/>
        <v/>
      </c>
      <c r="G134" s="408" t="str">
        <f t="shared" si="10"/>
        <v/>
      </c>
    </row>
    <row r="135" spans="2:7" ht="13">
      <c r="B135" s="406" t="str">
        <f t="shared" si="7"/>
        <v/>
      </c>
      <c r="C135" s="407" t="str">
        <f t="shared" si="11"/>
        <v/>
      </c>
      <c r="D135" s="407" t="str">
        <f t="shared" si="8"/>
        <v/>
      </c>
      <c r="E135" s="407" t="str">
        <f t="shared" si="12"/>
        <v/>
      </c>
      <c r="F135" s="407" t="str">
        <f t="shared" si="9"/>
        <v/>
      </c>
      <c r="G135" s="408" t="str">
        <f t="shared" si="10"/>
        <v/>
      </c>
    </row>
    <row r="136" spans="2:7" ht="13">
      <c r="B136" s="406" t="str">
        <f t="shared" si="7"/>
        <v/>
      </c>
      <c r="C136" s="407" t="str">
        <f t="shared" si="11"/>
        <v/>
      </c>
      <c r="D136" s="407" t="str">
        <f t="shared" si="8"/>
        <v/>
      </c>
      <c r="E136" s="407" t="str">
        <f t="shared" si="12"/>
        <v/>
      </c>
      <c r="F136" s="407" t="str">
        <f t="shared" si="9"/>
        <v/>
      </c>
      <c r="G136" s="408" t="str">
        <f t="shared" si="10"/>
        <v/>
      </c>
    </row>
    <row r="137" spans="2:7" ht="13">
      <c r="B137" s="406" t="str">
        <f t="shared" si="7"/>
        <v/>
      </c>
      <c r="C137" s="407" t="str">
        <f t="shared" si="11"/>
        <v/>
      </c>
      <c r="D137" s="407" t="str">
        <f t="shared" si="8"/>
        <v/>
      </c>
      <c r="E137" s="407" t="str">
        <f t="shared" si="12"/>
        <v/>
      </c>
      <c r="F137" s="407" t="str">
        <f t="shared" si="9"/>
        <v/>
      </c>
      <c r="G137" s="408" t="str">
        <f t="shared" si="10"/>
        <v/>
      </c>
    </row>
    <row r="138" spans="2:7" ht="13">
      <c r="B138" s="406" t="str">
        <f t="shared" si="7"/>
        <v/>
      </c>
      <c r="C138" s="407" t="str">
        <f t="shared" si="11"/>
        <v/>
      </c>
      <c r="D138" s="407" t="str">
        <f t="shared" si="8"/>
        <v/>
      </c>
      <c r="E138" s="407" t="str">
        <f t="shared" si="12"/>
        <v/>
      </c>
      <c r="F138" s="407" t="str">
        <f t="shared" si="9"/>
        <v/>
      </c>
      <c r="G138" s="408" t="str">
        <f t="shared" si="10"/>
        <v/>
      </c>
    </row>
    <row r="139" spans="2:7" ht="13">
      <c r="B139" s="406" t="str">
        <f t="shared" si="7"/>
        <v/>
      </c>
      <c r="C139" s="407" t="str">
        <f t="shared" si="11"/>
        <v/>
      </c>
      <c r="D139" s="407" t="str">
        <f t="shared" si="8"/>
        <v/>
      </c>
      <c r="E139" s="407" t="str">
        <f t="shared" si="12"/>
        <v/>
      </c>
      <c r="F139" s="407" t="str">
        <f t="shared" si="9"/>
        <v/>
      </c>
      <c r="G139" s="408" t="str">
        <f t="shared" si="10"/>
        <v/>
      </c>
    </row>
    <row r="140" spans="2:7" ht="13">
      <c r="B140" s="406" t="str">
        <f t="shared" si="7"/>
        <v/>
      </c>
      <c r="C140" s="407" t="str">
        <f t="shared" si="11"/>
        <v/>
      </c>
      <c r="D140" s="407" t="str">
        <f t="shared" si="8"/>
        <v/>
      </c>
      <c r="E140" s="407" t="str">
        <f t="shared" si="12"/>
        <v/>
      </c>
      <c r="F140" s="407" t="str">
        <f t="shared" si="9"/>
        <v/>
      </c>
      <c r="G140" s="408" t="str">
        <f t="shared" si="10"/>
        <v/>
      </c>
    </row>
    <row r="141" spans="2:7" ht="13">
      <c r="B141" s="406" t="str">
        <f t="shared" si="7"/>
        <v/>
      </c>
      <c r="C141" s="407" t="str">
        <f t="shared" si="11"/>
        <v/>
      </c>
      <c r="D141" s="407" t="str">
        <f t="shared" si="8"/>
        <v/>
      </c>
      <c r="E141" s="407" t="str">
        <f t="shared" si="12"/>
        <v/>
      </c>
      <c r="F141" s="407" t="str">
        <f t="shared" si="9"/>
        <v/>
      </c>
      <c r="G141" s="408" t="str">
        <f t="shared" si="10"/>
        <v/>
      </c>
    </row>
    <row r="142" spans="2:7" ht="13">
      <c r="B142" s="406" t="str">
        <f t="shared" si="7"/>
        <v/>
      </c>
      <c r="C142" s="407" t="str">
        <f t="shared" si="11"/>
        <v/>
      </c>
      <c r="D142" s="407" t="str">
        <f t="shared" si="8"/>
        <v/>
      </c>
      <c r="E142" s="407" t="str">
        <f t="shared" si="12"/>
        <v/>
      </c>
      <c r="F142" s="407" t="str">
        <f t="shared" si="9"/>
        <v/>
      </c>
      <c r="G142" s="408" t="str">
        <f t="shared" si="10"/>
        <v/>
      </c>
    </row>
    <row r="143" spans="2:7" ht="13">
      <c r="B143" s="406" t="str">
        <f t="shared" si="7"/>
        <v/>
      </c>
      <c r="C143" s="407" t="str">
        <f t="shared" si="11"/>
        <v/>
      </c>
      <c r="D143" s="407" t="str">
        <f t="shared" si="8"/>
        <v/>
      </c>
      <c r="E143" s="407" t="str">
        <f t="shared" si="12"/>
        <v/>
      </c>
      <c r="F143" s="407" t="str">
        <f t="shared" si="9"/>
        <v/>
      </c>
      <c r="G143" s="408" t="str">
        <f t="shared" si="10"/>
        <v/>
      </c>
    </row>
    <row r="144" spans="2:7" ht="13">
      <c r="B144" s="406" t="str">
        <f t="shared" ref="B144:B207" si="13">IF(((ROW()-nSkip)&lt;=$G$9),(ROW()-nSkip), "")</f>
        <v/>
      </c>
      <c r="C144" s="407" t="str">
        <f t="shared" si="11"/>
        <v/>
      </c>
      <c r="D144" s="407" t="str">
        <f t="shared" si="8"/>
        <v/>
      </c>
      <c r="E144" s="407" t="str">
        <f t="shared" si="12"/>
        <v/>
      </c>
      <c r="F144" s="407" t="str">
        <f t="shared" si="9"/>
        <v/>
      </c>
      <c r="G144" s="408" t="str">
        <f t="shared" si="10"/>
        <v/>
      </c>
    </row>
    <row r="145" spans="2:7" ht="13">
      <c r="B145" s="406" t="str">
        <f t="shared" si="13"/>
        <v/>
      </c>
      <c r="C145" s="407" t="str">
        <f t="shared" si="11"/>
        <v/>
      </c>
      <c r="D145" s="407" t="str">
        <f t="shared" ref="D145:D208" si="14">IF(((ROW()-nSkip)&lt;=$G$9),-PPMT(($G$5/$G$8),B145,$G$9,$G$4),"")</f>
        <v/>
      </c>
      <c r="E145" s="407" t="str">
        <f t="shared" si="12"/>
        <v/>
      </c>
      <c r="F145" s="407" t="str">
        <f t="shared" ref="F145:F208" si="15">IF(((ROW()-nSkip)&lt;=$G$9),(E145+F144),"")</f>
        <v/>
      </c>
      <c r="G145" s="408" t="str">
        <f t="shared" ref="G145:G208" si="16">IF(((ROW()-nSkip)&lt;=$G$9),(G144-D145),"")</f>
        <v/>
      </c>
    </row>
    <row r="146" spans="2:7" ht="13">
      <c r="B146" s="406" t="str">
        <f t="shared" si="13"/>
        <v/>
      </c>
      <c r="C146" s="407" t="str">
        <f t="shared" ref="C146:C209" si="17">IF((B146&lt;=$G$9),-PMT(($G$5/$G$8),$G$9,$G$4),"")</f>
        <v/>
      </c>
      <c r="D146" s="407" t="str">
        <f t="shared" si="14"/>
        <v/>
      </c>
      <c r="E146" s="407" t="str">
        <f t="shared" ref="E146:E209" si="18">IF(((ROW()-nSkip)&lt;=$G$9),-IPMT(($G$5/$G$8),B146,$G$9,$G$4),"")</f>
        <v/>
      </c>
      <c r="F146" s="407" t="str">
        <f t="shared" si="15"/>
        <v/>
      </c>
      <c r="G146" s="408" t="str">
        <f t="shared" si="16"/>
        <v/>
      </c>
    </row>
    <row r="147" spans="2:7" ht="13">
      <c r="B147" s="406" t="str">
        <f t="shared" si="13"/>
        <v/>
      </c>
      <c r="C147" s="407" t="str">
        <f t="shared" si="17"/>
        <v/>
      </c>
      <c r="D147" s="407" t="str">
        <f t="shared" si="14"/>
        <v/>
      </c>
      <c r="E147" s="407" t="str">
        <f t="shared" si="18"/>
        <v/>
      </c>
      <c r="F147" s="407" t="str">
        <f t="shared" si="15"/>
        <v/>
      </c>
      <c r="G147" s="408" t="str">
        <f t="shared" si="16"/>
        <v/>
      </c>
    </row>
    <row r="148" spans="2:7" ht="13">
      <c r="B148" s="406" t="str">
        <f t="shared" si="13"/>
        <v/>
      </c>
      <c r="C148" s="407" t="str">
        <f t="shared" si="17"/>
        <v/>
      </c>
      <c r="D148" s="407" t="str">
        <f t="shared" si="14"/>
        <v/>
      </c>
      <c r="E148" s="407" t="str">
        <f t="shared" si="18"/>
        <v/>
      </c>
      <c r="F148" s="407" t="str">
        <f t="shared" si="15"/>
        <v/>
      </c>
      <c r="G148" s="408" t="str">
        <f t="shared" si="16"/>
        <v/>
      </c>
    </row>
    <row r="149" spans="2:7" ht="13">
      <c r="B149" s="406" t="str">
        <f t="shared" si="13"/>
        <v/>
      </c>
      <c r="C149" s="407" t="str">
        <f t="shared" si="17"/>
        <v/>
      </c>
      <c r="D149" s="407" t="str">
        <f t="shared" si="14"/>
        <v/>
      </c>
      <c r="E149" s="407" t="str">
        <f t="shared" si="18"/>
        <v/>
      </c>
      <c r="F149" s="407" t="str">
        <f t="shared" si="15"/>
        <v/>
      </c>
      <c r="G149" s="408" t="str">
        <f t="shared" si="16"/>
        <v/>
      </c>
    </row>
    <row r="150" spans="2:7" ht="13">
      <c r="B150" s="406" t="str">
        <f t="shared" si="13"/>
        <v/>
      </c>
      <c r="C150" s="407" t="str">
        <f t="shared" si="17"/>
        <v/>
      </c>
      <c r="D150" s="407" t="str">
        <f t="shared" si="14"/>
        <v/>
      </c>
      <c r="E150" s="407" t="str">
        <f t="shared" si="18"/>
        <v/>
      </c>
      <c r="F150" s="407" t="str">
        <f t="shared" si="15"/>
        <v/>
      </c>
      <c r="G150" s="408" t="str">
        <f t="shared" si="16"/>
        <v/>
      </c>
    </row>
    <row r="151" spans="2:7" ht="13">
      <c r="B151" s="406" t="str">
        <f t="shared" si="13"/>
        <v/>
      </c>
      <c r="C151" s="407" t="str">
        <f t="shared" si="17"/>
        <v/>
      </c>
      <c r="D151" s="407" t="str">
        <f t="shared" si="14"/>
        <v/>
      </c>
      <c r="E151" s="407" t="str">
        <f t="shared" si="18"/>
        <v/>
      </c>
      <c r="F151" s="407" t="str">
        <f t="shared" si="15"/>
        <v/>
      </c>
      <c r="G151" s="408" t="str">
        <f t="shared" si="16"/>
        <v/>
      </c>
    </row>
    <row r="152" spans="2:7" ht="13">
      <c r="B152" s="406" t="str">
        <f t="shared" si="13"/>
        <v/>
      </c>
      <c r="C152" s="407" t="str">
        <f t="shared" si="17"/>
        <v/>
      </c>
      <c r="D152" s="407" t="str">
        <f t="shared" si="14"/>
        <v/>
      </c>
      <c r="E152" s="407" t="str">
        <f t="shared" si="18"/>
        <v/>
      </c>
      <c r="F152" s="407" t="str">
        <f t="shared" si="15"/>
        <v/>
      </c>
      <c r="G152" s="408" t="str">
        <f t="shared" si="16"/>
        <v/>
      </c>
    </row>
    <row r="153" spans="2:7" ht="13">
      <c r="B153" s="406" t="str">
        <f t="shared" si="13"/>
        <v/>
      </c>
      <c r="C153" s="407" t="str">
        <f t="shared" si="17"/>
        <v/>
      </c>
      <c r="D153" s="407" t="str">
        <f t="shared" si="14"/>
        <v/>
      </c>
      <c r="E153" s="407" t="str">
        <f t="shared" si="18"/>
        <v/>
      </c>
      <c r="F153" s="407" t="str">
        <f t="shared" si="15"/>
        <v/>
      </c>
      <c r="G153" s="408" t="str">
        <f t="shared" si="16"/>
        <v/>
      </c>
    </row>
    <row r="154" spans="2:7" ht="13">
      <c r="B154" s="406" t="str">
        <f t="shared" si="13"/>
        <v/>
      </c>
      <c r="C154" s="407" t="str">
        <f t="shared" si="17"/>
        <v/>
      </c>
      <c r="D154" s="407" t="str">
        <f t="shared" si="14"/>
        <v/>
      </c>
      <c r="E154" s="407" t="str">
        <f t="shared" si="18"/>
        <v/>
      </c>
      <c r="F154" s="407" t="str">
        <f t="shared" si="15"/>
        <v/>
      </c>
      <c r="G154" s="408" t="str">
        <f t="shared" si="16"/>
        <v/>
      </c>
    </row>
    <row r="155" spans="2:7" ht="13">
      <c r="B155" s="406" t="str">
        <f t="shared" si="13"/>
        <v/>
      </c>
      <c r="C155" s="407" t="str">
        <f t="shared" si="17"/>
        <v/>
      </c>
      <c r="D155" s="407" t="str">
        <f t="shared" si="14"/>
        <v/>
      </c>
      <c r="E155" s="407" t="str">
        <f t="shared" si="18"/>
        <v/>
      </c>
      <c r="F155" s="407" t="str">
        <f t="shared" si="15"/>
        <v/>
      </c>
      <c r="G155" s="408" t="str">
        <f t="shared" si="16"/>
        <v/>
      </c>
    </row>
    <row r="156" spans="2:7" ht="13">
      <c r="B156" s="406" t="str">
        <f t="shared" si="13"/>
        <v/>
      </c>
      <c r="C156" s="407" t="str">
        <f t="shared" si="17"/>
        <v/>
      </c>
      <c r="D156" s="407" t="str">
        <f t="shared" si="14"/>
        <v/>
      </c>
      <c r="E156" s="407" t="str">
        <f t="shared" si="18"/>
        <v/>
      </c>
      <c r="F156" s="407" t="str">
        <f t="shared" si="15"/>
        <v/>
      </c>
      <c r="G156" s="408" t="str">
        <f t="shared" si="16"/>
        <v/>
      </c>
    </row>
    <row r="157" spans="2:7" ht="13">
      <c r="B157" s="406" t="str">
        <f t="shared" si="13"/>
        <v/>
      </c>
      <c r="C157" s="407" t="str">
        <f t="shared" si="17"/>
        <v/>
      </c>
      <c r="D157" s="407" t="str">
        <f t="shared" si="14"/>
        <v/>
      </c>
      <c r="E157" s="407" t="str">
        <f t="shared" si="18"/>
        <v/>
      </c>
      <c r="F157" s="407" t="str">
        <f t="shared" si="15"/>
        <v/>
      </c>
      <c r="G157" s="408" t="str">
        <f t="shared" si="16"/>
        <v/>
      </c>
    </row>
    <row r="158" spans="2:7" ht="13">
      <c r="B158" s="406" t="str">
        <f t="shared" si="13"/>
        <v/>
      </c>
      <c r="C158" s="407" t="str">
        <f t="shared" si="17"/>
        <v/>
      </c>
      <c r="D158" s="407" t="str">
        <f t="shared" si="14"/>
        <v/>
      </c>
      <c r="E158" s="407" t="str">
        <f t="shared" si="18"/>
        <v/>
      </c>
      <c r="F158" s="407" t="str">
        <f t="shared" si="15"/>
        <v/>
      </c>
      <c r="G158" s="408" t="str">
        <f t="shared" si="16"/>
        <v/>
      </c>
    </row>
    <row r="159" spans="2:7" ht="13">
      <c r="B159" s="406" t="str">
        <f t="shared" si="13"/>
        <v/>
      </c>
      <c r="C159" s="407" t="str">
        <f t="shared" si="17"/>
        <v/>
      </c>
      <c r="D159" s="407" t="str">
        <f t="shared" si="14"/>
        <v/>
      </c>
      <c r="E159" s="407" t="str">
        <f t="shared" si="18"/>
        <v/>
      </c>
      <c r="F159" s="407" t="str">
        <f t="shared" si="15"/>
        <v/>
      </c>
      <c r="G159" s="408" t="str">
        <f t="shared" si="16"/>
        <v/>
      </c>
    </row>
    <row r="160" spans="2:7" ht="13">
      <c r="B160" s="406" t="str">
        <f t="shared" si="13"/>
        <v/>
      </c>
      <c r="C160" s="407" t="str">
        <f t="shared" si="17"/>
        <v/>
      </c>
      <c r="D160" s="407" t="str">
        <f t="shared" si="14"/>
        <v/>
      </c>
      <c r="E160" s="407" t="str">
        <f t="shared" si="18"/>
        <v/>
      </c>
      <c r="F160" s="407" t="str">
        <f t="shared" si="15"/>
        <v/>
      </c>
      <c r="G160" s="408" t="str">
        <f t="shared" si="16"/>
        <v/>
      </c>
    </row>
    <row r="161" spans="2:7" ht="13">
      <c r="B161" s="406" t="str">
        <f t="shared" si="13"/>
        <v/>
      </c>
      <c r="C161" s="407" t="str">
        <f t="shared" si="17"/>
        <v/>
      </c>
      <c r="D161" s="407" t="str">
        <f t="shared" si="14"/>
        <v/>
      </c>
      <c r="E161" s="407" t="str">
        <f t="shared" si="18"/>
        <v/>
      </c>
      <c r="F161" s="407" t="str">
        <f t="shared" si="15"/>
        <v/>
      </c>
      <c r="G161" s="408" t="str">
        <f t="shared" si="16"/>
        <v/>
      </c>
    </row>
    <row r="162" spans="2:7" ht="13">
      <c r="B162" s="406" t="str">
        <f t="shared" si="13"/>
        <v/>
      </c>
      <c r="C162" s="407" t="str">
        <f t="shared" si="17"/>
        <v/>
      </c>
      <c r="D162" s="407" t="str">
        <f t="shared" si="14"/>
        <v/>
      </c>
      <c r="E162" s="407" t="str">
        <f t="shared" si="18"/>
        <v/>
      </c>
      <c r="F162" s="407" t="str">
        <f t="shared" si="15"/>
        <v/>
      </c>
      <c r="G162" s="408" t="str">
        <f t="shared" si="16"/>
        <v/>
      </c>
    </row>
    <row r="163" spans="2:7" ht="13">
      <c r="B163" s="406" t="str">
        <f t="shared" si="13"/>
        <v/>
      </c>
      <c r="C163" s="407" t="str">
        <f t="shared" si="17"/>
        <v/>
      </c>
      <c r="D163" s="407" t="str">
        <f t="shared" si="14"/>
        <v/>
      </c>
      <c r="E163" s="407" t="str">
        <f t="shared" si="18"/>
        <v/>
      </c>
      <c r="F163" s="407" t="str">
        <f t="shared" si="15"/>
        <v/>
      </c>
      <c r="G163" s="408" t="str">
        <f t="shared" si="16"/>
        <v/>
      </c>
    </row>
    <row r="164" spans="2:7" ht="13">
      <c r="B164" s="406" t="str">
        <f t="shared" si="13"/>
        <v/>
      </c>
      <c r="C164" s="407" t="str">
        <f t="shared" si="17"/>
        <v/>
      </c>
      <c r="D164" s="407" t="str">
        <f t="shared" si="14"/>
        <v/>
      </c>
      <c r="E164" s="407" t="str">
        <f t="shared" si="18"/>
        <v/>
      </c>
      <c r="F164" s="407" t="str">
        <f t="shared" si="15"/>
        <v/>
      </c>
      <c r="G164" s="408" t="str">
        <f t="shared" si="16"/>
        <v/>
      </c>
    </row>
    <row r="165" spans="2:7" ht="13">
      <c r="B165" s="406" t="str">
        <f t="shared" si="13"/>
        <v/>
      </c>
      <c r="C165" s="407" t="str">
        <f t="shared" si="17"/>
        <v/>
      </c>
      <c r="D165" s="407" t="str">
        <f t="shared" si="14"/>
        <v/>
      </c>
      <c r="E165" s="407" t="str">
        <f t="shared" si="18"/>
        <v/>
      </c>
      <c r="F165" s="407" t="str">
        <f t="shared" si="15"/>
        <v/>
      </c>
      <c r="G165" s="408" t="str">
        <f t="shared" si="16"/>
        <v/>
      </c>
    </row>
    <row r="166" spans="2:7" ht="13">
      <c r="B166" s="406" t="str">
        <f t="shared" si="13"/>
        <v/>
      </c>
      <c r="C166" s="407" t="str">
        <f t="shared" si="17"/>
        <v/>
      </c>
      <c r="D166" s="407" t="str">
        <f t="shared" si="14"/>
        <v/>
      </c>
      <c r="E166" s="407" t="str">
        <f t="shared" si="18"/>
        <v/>
      </c>
      <c r="F166" s="407" t="str">
        <f t="shared" si="15"/>
        <v/>
      </c>
      <c r="G166" s="408" t="str">
        <f t="shared" si="16"/>
        <v/>
      </c>
    </row>
    <row r="167" spans="2:7" ht="13">
      <c r="B167" s="406" t="str">
        <f t="shared" si="13"/>
        <v/>
      </c>
      <c r="C167" s="407" t="str">
        <f t="shared" si="17"/>
        <v/>
      </c>
      <c r="D167" s="407" t="str">
        <f t="shared" si="14"/>
        <v/>
      </c>
      <c r="E167" s="407" t="str">
        <f t="shared" si="18"/>
        <v/>
      </c>
      <c r="F167" s="407" t="str">
        <f t="shared" si="15"/>
        <v/>
      </c>
      <c r="G167" s="408" t="str">
        <f t="shared" si="16"/>
        <v/>
      </c>
    </row>
    <row r="168" spans="2:7" ht="13">
      <c r="B168" s="406" t="str">
        <f t="shared" si="13"/>
        <v/>
      </c>
      <c r="C168" s="407" t="str">
        <f t="shared" si="17"/>
        <v/>
      </c>
      <c r="D168" s="407" t="str">
        <f t="shared" si="14"/>
        <v/>
      </c>
      <c r="E168" s="407" t="str">
        <f t="shared" si="18"/>
        <v/>
      </c>
      <c r="F168" s="407" t="str">
        <f t="shared" si="15"/>
        <v/>
      </c>
      <c r="G168" s="408" t="str">
        <f t="shared" si="16"/>
        <v/>
      </c>
    </row>
    <row r="169" spans="2:7" ht="13">
      <c r="B169" s="406" t="str">
        <f t="shared" si="13"/>
        <v/>
      </c>
      <c r="C169" s="407" t="str">
        <f t="shared" si="17"/>
        <v/>
      </c>
      <c r="D169" s="407" t="str">
        <f t="shared" si="14"/>
        <v/>
      </c>
      <c r="E169" s="407" t="str">
        <f t="shared" si="18"/>
        <v/>
      </c>
      <c r="F169" s="407" t="str">
        <f t="shared" si="15"/>
        <v/>
      </c>
      <c r="G169" s="408" t="str">
        <f t="shared" si="16"/>
        <v/>
      </c>
    </row>
    <row r="170" spans="2:7" ht="13">
      <c r="B170" s="406" t="str">
        <f t="shared" si="13"/>
        <v/>
      </c>
      <c r="C170" s="407" t="str">
        <f t="shared" si="17"/>
        <v/>
      </c>
      <c r="D170" s="407" t="str">
        <f t="shared" si="14"/>
        <v/>
      </c>
      <c r="E170" s="407" t="str">
        <f t="shared" si="18"/>
        <v/>
      </c>
      <c r="F170" s="407" t="str">
        <f t="shared" si="15"/>
        <v/>
      </c>
      <c r="G170" s="408" t="str">
        <f t="shared" si="16"/>
        <v/>
      </c>
    </row>
    <row r="171" spans="2:7" ht="13">
      <c r="B171" s="406" t="str">
        <f t="shared" si="13"/>
        <v/>
      </c>
      <c r="C171" s="407" t="str">
        <f t="shared" si="17"/>
        <v/>
      </c>
      <c r="D171" s="407" t="str">
        <f t="shared" si="14"/>
        <v/>
      </c>
      <c r="E171" s="407" t="str">
        <f t="shared" si="18"/>
        <v/>
      </c>
      <c r="F171" s="407" t="str">
        <f t="shared" si="15"/>
        <v/>
      </c>
      <c r="G171" s="408" t="str">
        <f t="shared" si="16"/>
        <v/>
      </c>
    </row>
    <row r="172" spans="2:7" ht="13">
      <c r="B172" s="406" t="str">
        <f t="shared" si="13"/>
        <v/>
      </c>
      <c r="C172" s="407" t="str">
        <f t="shared" si="17"/>
        <v/>
      </c>
      <c r="D172" s="407" t="str">
        <f t="shared" si="14"/>
        <v/>
      </c>
      <c r="E172" s="407" t="str">
        <f t="shared" si="18"/>
        <v/>
      </c>
      <c r="F172" s="407" t="str">
        <f t="shared" si="15"/>
        <v/>
      </c>
      <c r="G172" s="408" t="str">
        <f t="shared" si="16"/>
        <v/>
      </c>
    </row>
    <row r="173" spans="2:7" ht="13">
      <c r="B173" s="406" t="str">
        <f t="shared" si="13"/>
        <v/>
      </c>
      <c r="C173" s="407" t="str">
        <f t="shared" si="17"/>
        <v/>
      </c>
      <c r="D173" s="407" t="str">
        <f t="shared" si="14"/>
        <v/>
      </c>
      <c r="E173" s="407" t="str">
        <f t="shared" si="18"/>
        <v/>
      </c>
      <c r="F173" s="407" t="str">
        <f t="shared" si="15"/>
        <v/>
      </c>
      <c r="G173" s="408" t="str">
        <f t="shared" si="16"/>
        <v/>
      </c>
    </row>
    <row r="174" spans="2:7" ht="13">
      <c r="B174" s="406" t="str">
        <f t="shared" si="13"/>
        <v/>
      </c>
      <c r="C174" s="407" t="str">
        <f t="shared" si="17"/>
        <v/>
      </c>
      <c r="D174" s="407" t="str">
        <f t="shared" si="14"/>
        <v/>
      </c>
      <c r="E174" s="407" t="str">
        <f t="shared" si="18"/>
        <v/>
      </c>
      <c r="F174" s="407" t="str">
        <f t="shared" si="15"/>
        <v/>
      </c>
      <c r="G174" s="408" t="str">
        <f t="shared" si="16"/>
        <v/>
      </c>
    </row>
    <row r="175" spans="2:7" ht="13">
      <c r="B175" s="406" t="str">
        <f t="shared" si="13"/>
        <v/>
      </c>
      <c r="C175" s="407" t="str">
        <f t="shared" si="17"/>
        <v/>
      </c>
      <c r="D175" s="407" t="str">
        <f t="shared" si="14"/>
        <v/>
      </c>
      <c r="E175" s="407" t="str">
        <f t="shared" si="18"/>
        <v/>
      </c>
      <c r="F175" s="407" t="str">
        <f t="shared" si="15"/>
        <v/>
      </c>
      <c r="G175" s="408" t="str">
        <f t="shared" si="16"/>
        <v/>
      </c>
    </row>
    <row r="176" spans="2:7" ht="13">
      <c r="B176" s="406" t="str">
        <f t="shared" si="13"/>
        <v/>
      </c>
      <c r="C176" s="407" t="str">
        <f t="shared" si="17"/>
        <v/>
      </c>
      <c r="D176" s="407" t="str">
        <f t="shared" si="14"/>
        <v/>
      </c>
      <c r="E176" s="407" t="str">
        <f t="shared" si="18"/>
        <v/>
      </c>
      <c r="F176" s="407" t="str">
        <f t="shared" si="15"/>
        <v/>
      </c>
      <c r="G176" s="408" t="str">
        <f t="shared" si="16"/>
        <v/>
      </c>
    </row>
    <row r="177" spans="2:7" ht="13">
      <c r="B177" s="406" t="str">
        <f t="shared" si="13"/>
        <v/>
      </c>
      <c r="C177" s="407" t="str">
        <f t="shared" si="17"/>
        <v/>
      </c>
      <c r="D177" s="407" t="str">
        <f t="shared" si="14"/>
        <v/>
      </c>
      <c r="E177" s="407" t="str">
        <f t="shared" si="18"/>
        <v/>
      </c>
      <c r="F177" s="407" t="str">
        <f t="shared" si="15"/>
        <v/>
      </c>
      <c r="G177" s="408" t="str">
        <f t="shared" si="16"/>
        <v/>
      </c>
    </row>
    <row r="178" spans="2:7" ht="13">
      <c r="B178" s="406" t="str">
        <f t="shared" si="13"/>
        <v/>
      </c>
      <c r="C178" s="407" t="str">
        <f t="shared" si="17"/>
        <v/>
      </c>
      <c r="D178" s="407" t="str">
        <f t="shared" si="14"/>
        <v/>
      </c>
      <c r="E178" s="407" t="str">
        <f t="shared" si="18"/>
        <v/>
      </c>
      <c r="F178" s="407" t="str">
        <f t="shared" si="15"/>
        <v/>
      </c>
      <c r="G178" s="408" t="str">
        <f t="shared" si="16"/>
        <v/>
      </c>
    </row>
    <row r="179" spans="2:7" ht="13">
      <c r="B179" s="406" t="str">
        <f t="shared" si="13"/>
        <v/>
      </c>
      <c r="C179" s="407" t="str">
        <f t="shared" si="17"/>
        <v/>
      </c>
      <c r="D179" s="407" t="str">
        <f t="shared" si="14"/>
        <v/>
      </c>
      <c r="E179" s="407" t="str">
        <f t="shared" si="18"/>
        <v/>
      </c>
      <c r="F179" s="407" t="str">
        <f t="shared" si="15"/>
        <v/>
      </c>
      <c r="G179" s="408" t="str">
        <f t="shared" si="16"/>
        <v/>
      </c>
    </row>
    <row r="180" spans="2:7" ht="13">
      <c r="B180" s="406" t="str">
        <f t="shared" si="13"/>
        <v/>
      </c>
      <c r="C180" s="407" t="str">
        <f t="shared" si="17"/>
        <v/>
      </c>
      <c r="D180" s="407" t="str">
        <f t="shared" si="14"/>
        <v/>
      </c>
      <c r="E180" s="407" t="str">
        <f t="shared" si="18"/>
        <v/>
      </c>
      <c r="F180" s="407" t="str">
        <f t="shared" si="15"/>
        <v/>
      </c>
      <c r="G180" s="408" t="str">
        <f t="shared" si="16"/>
        <v/>
      </c>
    </row>
    <row r="181" spans="2:7" ht="13">
      <c r="B181" s="406" t="str">
        <f t="shared" si="13"/>
        <v/>
      </c>
      <c r="C181" s="407" t="str">
        <f t="shared" si="17"/>
        <v/>
      </c>
      <c r="D181" s="407" t="str">
        <f t="shared" si="14"/>
        <v/>
      </c>
      <c r="E181" s="407" t="str">
        <f t="shared" si="18"/>
        <v/>
      </c>
      <c r="F181" s="407" t="str">
        <f t="shared" si="15"/>
        <v/>
      </c>
      <c r="G181" s="408" t="str">
        <f t="shared" si="16"/>
        <v/>
      </c>
    </row>
    <row r="182" spans="2:7" ht="13">
      <c r="B182" s="406" t="str">
        <f t="shared" si="13"/>
        <v/>
      </c>
      <c r="C182" s="407" t="str">
        <f t="shared" si="17"/>
        <v/>
      </c>
      <c r="D182" s="407" t="str">
        <f t="shared" si="14"/>
        <v/>
      </c>
      <c r="E182" s="407" t="str">
        <f t="shared" si="18"/>
        <v/>
      </c>
      <c r="F182" s="407" t="str">
        <f t="shared" si="15"/>
        <v/>
      </c>
      <c r="G182" s="408" t="str">
        <f t="shared" si="16"/>
        <v/>
      </c>
    </row>
    <row r="183" spans="2:7" ht="13">
      <c r="B183" s="406" t="str">
        <f t="shared" si="13"/>
        <v/>
      </c>
      <c r="C183" s="407" t="str">
        <f t="shared" si="17"/>
        <v/>
      </c>
      <c r="D183" s="407" t="str">
        <f t="shared" si="14"/>
        <v/>
      </c>
      <c r="E183" s="407" t="str">
        <f t="shared" si="18"/>
        <v/>
      </c>
      <c r="F183" s="407" t="str">
        <f t="shared" si="15"/>
        <v/>
      </c>
      <c r="G183" s="408" t="str">
        <f t="shared" si="16"/>
        <v/>
      </c>
    </row>
    <row r="184" spans="2:7" ht="13">
      <c r="B184" s="406" t="str">
        <f t="shared" si="13"/>
        <v/>
      </c>
      <c r="C184" s="407" t="str">
        <f t="shared" si="17"/>
        <v/>
      </c>
      <c r="D184" s="407" t="str">
        <f t="shared" si="14"/>
        <v/>
      </c>
      <c r="E184" s="407" t="str">
        <f t="shared" si="18"/>
        <v/>
      </c>
      <c r="F184" s="407" t="str">
        <f t="shared" si="15"/>
        <v/>
      </c>
      <c r="G184" s="408" t="str">
        <f t="shared" si="16"/>
        <v/>
      </c>
    </row>
    <row r="185" spans="2:7" ht="13">
      <c r="B185" s="406" t="str">
        <f t="shared" si="13"/>
        <v/>
      </c>
      <c r="C185" s="407" t="str">
        <f t="shared" si="17"/>
        <v/>
      </c>
      <c r="D185" s="407" t="str">
        <f t="shared" si="14"/>
        <v/>
      </c>
      <c r="E185" s="407" t="str">
        <f t="shared" si="18"/>
        <v/>
      </c>
      <c r="F185" s="407" t="str">
        <f t="shared" si="15"/>
        <v/>
      </c>
      <c r="G185" s="408" t="str">
        <f t="shared" si="16"/>
        <v/>
      </c>
    </row>
    <row r="186" spans="2:7" ht="13">
      <c r="B186" s="406" t="str">
        <f t="shared" si="13"/>
        <v/>
      </c>
      <c r="C186" s="407" t="str">
        <f t="shared" si="17"/>
        <v/>
      </c>
      <c r="D186" s="407" t="str">
        <f t="shared" si="14"/>
        <v/>
      </c>
      <c r="E186" s="407" t="str">
        <f t="shared" si="18"/>
        <v/>
      </c>
      <c r="F186" s="407" t="str">
        <f t="shared" si="15"/>
        <v/>
      </c>
      <c r="G186" s="408" t="str">
        <f t="shared" si="16"/>
        <v/>
      </c>
    </row>
    <row r="187" spans="2:7" ht="13">
      <c r="B187" s="406" t="str">
        <f t="shared" si="13"/>
        <v/>
      </c>
      <c r="C187" s="407" t="str">
        <f t="shared" si="17"/>
        <v/>
      </c>
      <c r="D187" s="407" t="str">
        <f t="shared" si="14"/>
        <v/>
      </c>
      <c r="E187" s="407" t="str">
        <f t="shared" si="18"/>
        <v/>
      </c>
      <c r="F187" s="407" t="str">
        <f t="shared" si="15"/>
        <v/>
      </c>
      <c r="G187" s="408" t="str">
        <f t="shared" si="16"/>
        <v/>
      </c>
    </row>
    <row r="188" spans="2:7" ht="13">
      <c r="B188" s="406" t="str">
        <f t="shared" si="13"/>
        <v/>
      </c>
      <c r="C188" s="407" t="str">
        <f t="shared" si="17"/>
        <v/>
      </c>
      <c r="D188" s="407" t="str">
        <f t="shared" si="14"/>
        <v/>
      </c>
      <c r="E188" s="407" t="str">
        <f t="shared" si="18"/>
        <v/>
      </c>
      <c r="F188" s="407" t="str">
        <f t="shared" si="15"/>
        <v/>
      </c>
      <c r="G188" s="408" t="str">
        <f t="shared" si="16"/>
        <v/>
      </c>
    </row>
    <row r="189" spans="2:7" ht="13">
      <c r="B189" s="406" t="str">
        <f t="shared" si="13"/>
        <v/>
      </c>
      <c r="C189" s="407" t="str">
        <f t="shared" si="17"/>
        <v/>
      </c>
      <c r="D189" s="407" t="str">
        <f t="shared" si="14"/>
        <v/>
      </c>
      <c r="E189" s="407" t="str">
        <f t="shared" si="18"/>
        <v/>
      </c>
      <c r="F189" s="407" t="str">
        <f t="shared" si="15"/>
        <v/>
      </c>
      <c r="G189" s="408" t="str">
        <f t="shared" si="16"/>
        <v/>
      </c>
    </row>
    <row r="190" spans="2:7" ht="13">
      <c r="B190" s="406" t="str">
        <f t="shared" si="13"/>
        <v/>
      </c>
      <c r="C190" s="407" t="str">
        <f t="shared" si="17"/>
        <v/>
      </c>
      <c r="D190" s="407" t="str">
        <f t="shared" si="14"/>
        <v/>
      </c>
      <c r="E190" s="407" t="str">
        <f t="shared" si="18"/>
        <v/>
      </c>
      <c r="F190" s="407" t="str">
        <f t="shared" si="15"/>
        <v/>
      </c>
      <c r="G190" s="408" t="str">
        <f t="shared" si="16"/>
        <v/>
      </c>
    </row>
    <row r="191" spans="2:7" ht="13">
      <c r="B191" s="406" t="str">
        <f t="shared" si="13"/>
        <v/>
      </c>
      <c r="C191" s="407" t="str">
        <f t="shared" si="17"/>
        <v/>
      </c>
      <c r="D191" s="407" t="str">
        <f t="shared" si="14"/>
        <v/>
      </c>
      <c r="E191" s="407" t="str">
        <f t="shared" si="18"/>
        <v/>
      </c>
      <c r="F191" s="407" t="str">
        <f t="shared" si="15"/>
        <v/>
      </c>
      <c r="G191" s="408" t="str">
        <f t="shared" si="16"/>
        <v/>
      </c>
    </row>
    <row r="192" spans="2:7" ht="13">
      <c r="B192" s="406" t="str">
        <f t="shared" si="13"/>
        <v/>
      </c>
      <c r="C192" s="407" t="str">
        <f t="shared" si="17"/>
        <v/>
      </c>
      <c r="D192" s="407" t="str">
        <f t="shared" si="14"/>
        <v/>
      </c>
      <c r="E192" s="407" t="str">
        <f t="shared" si="18"/>
        <v/>
      </c>
      <c r="F192" s="407" t="str">
        <f t="shared" si="15"/>
        <v/>
      </c>
      <c r="G192" s="408" t="str">
        <f t="shared" si="16"/>
        <v/>
      </c>
    </row>
    <row r="193" spans="2:7" ht="13">
      <c r="B193" s="406" t="str">
        <f t="shared" si="13"/>
        <v/>
      </c>
      <c r="C193" s="407" t="str">
        <f t="shared" si="17"/>
        <v/>
      </c>
      <c r="D193" s="407" t="str">
        <f t="shared" si="14"/>
        <v/>
      </c>
      <c r="E193" s="407" t="str">
        <f t="shared" si="18"/>
        <v/>
      </c>
      <c r="F193" s="407" t="str">
        <f t="shared" si="15"/>
        <v/>
      </c>
      <c r="G193" s="408" t="str">
        <f t="shared" si="16"/>
        <v/>
      </c>
    </row>
    <row r="194" spans="2:7" ht="13">
      <c r="B194" s="406" t="str">
        <f t="shared" si="13"/>
        <v/>
      </c>
      <c r="C194" s="407" t="str">
        <f t="shared" si="17"/>
        <v/>
      </c>
      <c r="D194" s="407" t="str">
        <f t="shared" si="14"/>
        <v/>
      </c>
      <c r="E194" s="407" t="str">
        <f t="shared" si="18"/>
        <v/>
      </c>
      <c r="F194" s="407" t="str">
        <f t="shared" si="15"/>
        <v/>
      </c>
      <c r="G194" s="408" t="str">
        <f t="shared" si="16"/>
        <v/>
      </c>
    </row>
    <row r="195" spans="2:7" ht="13">
      <c r="B195" s="406" t="str">
        <f t="shared" si="13"/>
        <v/>
      </c>
      <c r="C195" s="407" t="str">
        <f t="shared" si="17"/>
        <v/>
      </c>
      <c r="D195" s="407" t="str">
        <f t="shared" si="14"/>
        <v/>
      </c>
      <c r="E195" s="407" t="str">
        <f t="shared" si="18"/>
        <v/>
      </c>
      <c r="F195" s="407" t="str">
        <f t="shared" si="15"/>
        <v/>
      </c>
      <c r="G195" s="408" t="str">
        <f t="shared" si="16"/>
        <v/>
      </c>
    </row>
    <row r="196" spans="2:7" ht="13">
      <c r="B196" s="406" t="str">
        <f t="shared" si="13"/>
        <v/>
      </c>
      <c r="C196" s="407" t="str">
        <f t="shared" si="17"/>
        <v/>
      </c>
      <c r="D196" s="407" t="str">
        <f t="shared" si="14"/>
        <v/>
      </c>
      <c r="E196" s="407" t="str">
        <f t="shared" si="18"/>
        <v/>
      </c>
      <c r="F196" s="407" t="str">
        <f t="shared" si="15"/>
        <v/>
      </c>
      <c r="G196" s="408" t="str">
        <f t="shared" si="16"/>
        <v/>
      </c>
    </row>
    <row r="197" spans="2:7" ht="13">
      <c r="B197" s="406" t="str">
        <f t="shared" si="13"/>
        <v/>
      </c>
      <c r="C197" s="407" t="str">
        <f t="shared" si="17"/>
        <v/>
      </c>
      <c r="D197" s="407" t="str">
        <f t="shared" si="14"/>
        <v/>
      </c>
      <c r="E197" s="407" t="str">
        <f t="shared" si="18"/>
        <v/>
      </c>
      <c r="F197" s="407" t="str">
        <f t="shared" si="15"/>
        <v/>
      </c>
      <c r="G197" s="408" t="str">
        <f t="shared" si="16"/>
        <v/>
      </c>
    </row>
    <row r="198" spans="2:7" ht="13">
      <c r="B198" s="406" t="str">
        <f t="shared" si="13"/>
        <v/>
      </c>
      <c r="C198" s="407" t="str">
        <f t="shared" si="17"/>
        <v/>
      </c>
      <c r="D198" s="407" t="str">
        <f t="shared" si="14"/>
        <v/>
      </c>
      <c r="E198" s="407" t="str">
        <f t="shared" si="18"/>
        <v/>
      </c>
      <c r="F198" s="407" t="str">
        <f t="shared" si="15"/>
        <v/>
      </c>
      <c r="G198" s="408" t="str">
        <f t="shared" si="16"/>
        <v/>
      </c>
    </row>
    <row r="199" spans="2:7" ht="13">
      <c r="B199" s="406" t="str">
        <f t="shared" si="13"/>
        <v/>
      </c>
      <c r="C199" s="407" t="str">
        <f t="shared" si="17"/>
        <v/>
      </c>
      <c r="D199" s="407" t="str">
        <f t="shared" si="14"/>
        <v/>
      </c>
      <c r="E199" s="407" t="str">
        <f t="shared" si="18"/>
        <v/>
      </c>
      <c r="F199" s="407" t="str">
        <f t="shared" si="15"/>
        <v/>
      </c>
      <c r="G199" s="408" t="str">
        <f t="shared" si="16"/>
        <v/>
      </c>
    </row>
    <row r="200" spans="2:7" ht="13">
      <c r="B200" s="406" t="str">
        <f t="shared" si="13"/>
        <v/>
      </c>
      <c r="C200" s="407" t="str">
        <f t="shared" si="17"/>
        <v/>
      </c>
      <c r="D200" s="407" t="str">
        <f t="shared" si="14"/>
        <v/>
      </c>
      <c r="E200" s="407" t="str">
        <f t="shared" si="18"/>
        <v/>
      </c>
      <c r="F200" s="407" t="str">
        <f t="shared" si="15"/>
        <v/>
      </c>
      <c r="G200" s="408" t="str">
        <f t="shared" si="16"/>
        <v/>
      </c>
    </row>
    <row r="201" spans="2:7" ht="13">
      <c r="B201" s="406" t="str">
        <f t="shared" si="13"/>
        <v/>
      </c>
      <c r="C201" s="407" t="str">
        <f t="shared" si="17"/>
        <v/>
      </c>
      <c r="D201" s="407" t="str">
        <f t="shared" si="14"/>
        <v/>
      </c>
      <c r="E201" s="407" t="str">
        <f t="shared" si="18"/>
        <v/>
      </c>
      <c r="F201" s="407" t="str">
        <f t="shared" si="15"/>
        <v/>
      </c>
      <c r="G201" s="408" t="str">
        <f t="shared" si="16"/>
        <v/>
      </c>
    </row>
    <row r="202" spans="2:7" ht="13">
      <c r="B202" s="406" t="str">
        <f t="shared" si="13"/>
        <v/>
      </c>
      <c r="C202" s="407" t="str">
        <f t="shared" si="17"/>
        <v/>
      </c>
      <c r="D202" s="407" t="str">
        <f t="shared" si="14"/>
        <v/>
      </c>
      <c r="E202" s="407" t="str">
        <f t="shared" si="18"/>
        <v/>
      </c>
      <c r="F202" s="407" t="str">
        <f t="shared" si="15"/>
        <v/>
      </c>
      <c r="G202" s="408" t="str">
        <f t="shared" si="16"/>
        <v/>
      </c>
    </row>
    <row r="203" spans="2:7" ht="13">
      <c r="B203" s="406" t="str">
        <f t="shared" si="13"/>
        <v/>
      </c>
      <c r="C203" s="407" t="str">
        <f t="shared" si="17"/>
        <v/>
      </c>
      <c r="D203" s="407" t="str">
        <f t="shared" si="14"/>
        <v/>
      </c>
      <c r="E203" s="407" t="str">
        <f t="shared" si="18"/>
        <v/>
      </c>
      <c r="F203" s="407" t="str">
        <f t="shared" si="15"/>
        <v/>
      </c>
      <c r="G203" s="408" t="str">
        <f t="shared" si="16"/>
        <v/>
      </c>
    </row>
    <row r="204" spans="2:7" ht="13">
      <c r="B204" s="406" t="str">
        <f t="shared" si="13"/>
        <v/>
      </c>
      <c r="C204" s="407" t="str">
        <f t="shared" si="17"/>
        <v/>
      </c>
      <c r="D204" s="407" t="str">
        <f t="shared" si="14"/>
        <v/>
      </c>
      <c r="E204" s="407" t="str">
        <f t="shared" si="18"/>
        <v/>
      </c>
      <c r="F204" s="407" t="str">
        <f t="shared" si="15"/>
        <v/>
      </c>
      <c r="G204" s="408" t="str">
        <f t="shared" si="16"/>
        <v/>
      </c>
    </row>
    <row r="205" spans="2:7" ht="13">
      <c r="B205" s="406" t="str">
        <f t="shared" si="13"/>
        <v/>
      </c>
      <c r="C205" s="407" t="str">
        <f t="shared" si="17"/>
        <v/>
      </c>
      <c r="D205" s="407" t="str">
        <f t="shared" si="14"/>
        <v/>
      </c>
      <c r="E205" s="407" t="str">
        <f t="shared" si="18"/>
        <v/>
      </c>
      <c r="F205" s="407" t="str">
        <f t="shared" si="15"/>
        <v/>
      </c>
      <c r="G205" s="408" t="str">
        <f t="shared" si="16"/>
        <v/>
      </c>
    </row>
    <row r="206" spans="2:7" ht="13">
      <c r="B206" s="406" t="str">
        <f t="shared" si="13"/>
        <v/>
      </c>
      <c r="C206" s="407" t="str">
        <f t="shared" si="17"/>
        <v/>
      </c>
      <c r="D206" s="407" t="str">
        <f t="shared" si="14"/>
        <v/>
      </c>
      <c r="E206" s="407" t="str">
        <f t="shared" si="18"/>
        <v/>
      </c>
      <c r="F206" s="407" t="str">
        <f t="shared" si="15"/>
        <v/>
      </c>
      <c r="G206" s="408" t="str">
        <f t="shared" si="16"/>
        <v/>
      </c>
    </row>
    <row r="207" spans="2:7" ht="13">
      <c r="B207" s="406" t="str">
        <f t="shared" si="13"/>
        <v/>
      </c>
      <c r="C207" s="407" t="str">
        <f t="shared" si="17"/>
        <v/>
      </c>
      <c r="D207" s="407" t="str">
        <f t="shared" si="14"/>
        <v/>
      </c>
      <c r="E207" s="407" t="str">
        <f t="shared" si="18"/>
        <v/>
      </c>
      <c r="F207" s="407" t="str">
        <f t="shared" si="15"/>
        <v/>
      </c>
      <c r="G207" s="408" t="str">
        <f t="shared" si="16"/>
        <v/>
      </c>
    </row>
    <row r="208" spans="2:7" ht="13">
      <c r="B208" s="406" t="str">
        <f t="shared" ref="B208:B271" si="19">IF(((ROW()-nSkip)&lt;=$G$9),(ROW()-nSkip), "")</f>
        <v/>
      </c>
      <c r="C208" s="407" t="str">
        <f t="shared" si="17"/>
        <v/>
      </c>
      <c r="D208" s="407" t="str">
        <f t="shared" si="14"/>
        <v/>
      </c>
      <c r="E208" s="407" t="str">
        <f t="shared" si="18"/>
        <v/>
      </c>
      <c r="F208" s="407" t="str">
        <f t="shared" si="15"/>
        <v/>
      </c>
      <c r="G208" s="408" t="str">
        <f t="shared" si="16"/>
        <v/>
      </c>
    </row>
    <row r="209" spans="2:7" ht="13">
      <c r="B209" s="406" t="str">
        <f t="shared" si="19"/>
        <v/>
      </c>
      <c r="C209" s="407" t="str">
        <f t="shared" si="17"/>
        <v/>
      </c>
      <c r="D209" s="407" t="str">
        <f t="shared" ref="D209:D272" si="20">IF(((ROW()-nSkip)&lt;=$G$9),-PPMT(($G$5/$G$8),B209,$G$9,$G$4),"")</f>
        <v/>
      </c>
      <c r="E209" s="407" t="str">
        <f t="shared" si="18"/>
        <v/>
      </c>
      <c r="F209" s="407" t="str">
        <f t="shared" ref="F209:F272" si="21">IF(((ROW()-nSkip)&lt;=$G$9),(E209+F208),"")</f>
        <v/>
      </c>
      <c r="G209" s="408" t="str">
        <f t="shared" ref="G209:G272" si="22">IF(((ROW()-nSkip)&lt;=$G$9),(G208-D209),"")</f>
        <v/>
      </c>
    </row>
    <row r="210" spans="2:7" ht="13">
      <c r="B210" s="406" t="str">
        <f t="shared" si="19"/>
        <v/>
      </c>
      <c r="C210" s="407" t="str">
        <f t="shared" ref="C210:C273" si="23">IF((B210&lt;=$G$9),-PMT(($G$5/$G$8),$G$9,$G$4),"")</f>
        <v/>
      </c>
      <c r="D210" s="407" t="str">
        <f t="shared" si="20"/>
        <v/>
      </c>
      <c r="E210" s="407" t="str">
        <f t="shared" ref="E210:E273" si="24">IF(((ROW()-nSkip)&lt;=$G$9),-IPMT(($G$5/$G$8),B210,$G$9,$G$4),"")</f>
        <v/>
      </c>
      <c r="F210" s="407" t="str">
        <f t="shared" si="21"/>
        <v/>
      </c>
      <c r="G210" s="408" t="str">
        <f t="shared" si="22"/>
        <v/>
      </c>
    </row>
    <row r="211" spans="2:7" ht="13">
      <c r="B211" s="406" t="str">
        <f t="shared" si="19"/>
        <v/>
      </c>
      <c r="C211" s="407" t="str">
        <f t="shared" si="23"/>
        <v/>
      </c>
      <c r="D211" s="407" t="str">
        <f t="shared" si="20"/>
        <v/>
      </c>
      <c r="E211" s="407" t="str">
        <f t="shared" si="24"/>
        <v/>
      </c>
      <c r="F211" s="407" t="str">
        <f t="shared" si="21"/>
        <v/>
      </c>
      <c r="G211" s="408" t="str">
        <f t="shared" si="22"/>
        <v/>
      </c>
    </row>
    <row r="212" spans="2:7" ht="13">
      <c r="B212" s="406" t="str">
        <f t="shared" si="19"/>
        <v/>
      </c>
      <c r="C212" s="407" t="str">
        <f t="shared" si="23"/>
        <v/>
      </c>
      <c r="D212" s="407" t="str">
        <f t="shared" si="20"/>
        <v/>
      </c>
      <c r="E212" s="407" t="str">
        <f t="shared" si="24"/>
        <v/>
      </c>
      <c r="F212" s="407" t="str">
        <f t="shared" si="21"/>
        <v/>
      </c>
      <c r="G212" s="408" t="str">
        <f t="shared" si="22"/>
        <v/>
      </c>
    </row>
    <row r="213" spans="2:7" ht="13">
      <c r="B213" s="406" t="str">
        <f t="shared" si="19"/>
        <v/>
      </c>
      <c r="C213" s="407" t="str">
        <f t="shared" si="23"/>
        <v/>
      </c>
      <c r="D213" s="407" t="str">
        <f t="shared" si="20"/>
        <v/>
      </c>
      <c r="E213" s="407" t="str">
        <f t="shared" si="24"/>
        <v/>
      </c>
      <c r="F213" s="407" t="str">
        <f t="shared" si="21"/>
        <v/>
      </c>
      <c r="G213" s="408" t="str">
        <f t="shared" si="22"/>
        <v/>
      </c>
    </row>
    <row r="214" spans="2:7" ht="13">
      <c r="B214" s="406" t="str">
        <f t="shared" si="19"/>
        <v/>
      </c>
      <c r="C214" s="407" t="str">
        <f t="shared" si="23"/>
        <v/>
      </c>
      <c r="D214" s="407" t="str">
        <f t="shared" si="20"/>
        <v/>
      </c>
      <c r="E214" s="407" t="str">
        <f t="shared" si="24"/>
        <v/>
      </c>
      <c r="F214" s="407" t="str">
        <f t="shared" si="21"/>
        <v/>
      </c>
      <c r="G214" s="408" t="str">
        <f t="shared" si="22"/>
        <v/>
      </c>
    </row>
    <row r="215" spans="2:7" ht="13">
      <c r="B215" s="406" t="str">
        <f t="shared" si="19"/>
        <v/>
      </c>
      <c r="C215" s="407" t="str">
        <f t="shared" si="23"/>
        <v/>
      </c>
      <c r="D215" s="407" t="str">
        <f t="shared" si="20"/>
        <v/>
      </c>
      <c r="E215" s="407" t="str">
        <f t="shared" si="24"/>
        <v/>
      </c>
      <c r="F215" s="407" t="str">
        <f t="shared" si="21"/>
        <v/>
      </c>
      <c r="G215" s="408" t="str">
        <f t="shared" si="22"/>
        <v/>
      </c>
    </row>
    <row r="216" spans="2:7" ht="13">
      <c r="B216" s="406" t="str">
        <f t="shared" si="19"/>
        <v/>
      </c>
      <c r="C216" s="407" t="str">
        <f t="shared" si="23"/>
        <v/>
      </c>
      <c r="D216" s="407" t="str">
        <f t="shared" si="20"/>
        <v/>
      </c>
      <c r="E216" s="407" t="str">
        <f t="shared" si="24"/>
        <v/>
      </c>
      <c r="F216" s="407" t="str">
        <f t="shared" si="21"/>
        <v/>
      </c>
      <c r="G216" s="408" t="str">
        <f t="shared" si="22"/>
        <v/>
      </c>
    </row>
    <row r="217" spans="2:7" ht="13">
      <c r="B217" s="406" t="str">
        <f t="shared" si="19"/>
        <v/>
      </c>
      <c r="C217" s="407" t="str">
        <f t="shared" si="23"/>
        <v/>
      </c>
      <c r="D217" s="407" t="str">
        <f t="shared" si="20"/>
        <v/>
      </c>
      <c r="E217" s="407" t="str">
        <f t="shared" si="24"/>
        <v/>
      </c>
      <c r="F217" s="407" t="str">
        <f t="shared" si="21"/>
        <v/>
      </c>
      <c r="G217" s="408" t="str">
        <f t="shared" si="22"/>
        <v/>
      </c>
    </row>
    <row r="218" spans="2:7" ht="13">
      <c r="B218" s="406" t="str">
        <f t="shared" si="19"/>
        <v/>
      </c>
      <c r="C218" s="407" t="str">
        <f t="shared" si="23"/>
        <v/>
      </c>
      <c r="D218" s="407" t="str">
        <f t="shared" si="20"/>
        <v/>
      </c>
      <c r="E218" s="407" t="str">
        <f t="shared" si="24"/>
        <v/>
      </c>
      <c r="F218" s="407" t="str">
        <f t="shared" si="21"/>
        <v/>
      </c>
      <c r="G218" s="408" t="str">
        <f t="shared" si="22"/>
        <v/>
      </c>
    </row>
    <row r="219" spans="2:7" ht="13">
      <c r="B219" s="406" t="str">
        <f t="shared" si="19"/>
        <v/>
      </c>
      <c r="C219" s="407" t="str">
        <f t="shared" si="23"/>
        <v/>
      </c>
      <c r="D219" s="407" t="str">
        <f t="shared" si="20"/>
        <v/>
      </c>
      <c r="E219" s="407" t="str">
        <f t="shared" si="24"/>
        <v/>
      </c>
      <c r="F219" s="407" t="str">
        <f t="shared" si="21"/>
        <v/>
      </c>
      <c r="G219" s="408" t="str">
        <f t="shared" si="22"/>
        <v/>
      </c>
    </row>
    <row r="220" spans="2:7" ht="13">
      <c r="B220" s="406" t="str">
        <f t="shared" si="19"/>
        <v/>
      </c>
      <c r="C220" s="407" t="str">
        <f t="shared" si="23"/>
        <v/>
      </c>
      <c r="D220" s="407" t="str">
        <f t="shared" si="20"/>
        <v/>
      </c>
      <c r="E220" s="407" t="str">
        <f t="shared" si="24"/>
        <v/>
      </c>
      <c r="F220" s="407" t="str">
        <f t="shared" si="21"/>
        <v/>
      </c>
      <c r="G220" s="408" t="str">
        <f t="shared" si="22"/>
        <v/>
      </c>
    </row>
    <row r="221" spans="2:7" ht="13">
      <c r="B221" s="406" t="str">
        <f t="shared" si="19"/>
        <v/>
      </c>
      <c r="C221" s="407" t="str">
        <f t="shared" si="23"/>
        <v/>
      </c>
      <c r="D221" s="407" t="str">
        <f t="shared" si="20"/>
        <v/>
      </c>
      <c r="E221" s="407" t="str">
        <f t="shared" si="24"/>
        <v/>
      </c>
      <c r="F221" s="407" t="str">
        <f t="shared" si="21"/>
        <v/>
      </c>
      <c r="G221" s="408" t="str">
        <f t="shared" si="22"/>
        <v/>
      </c>
    </row>
    <row r="222" spans="2:7" ht="13">
      <c r="B222" s="406" t="str">
        <f t="shared" si="19"/>
        <v/>
      </c>
      <c r="C222" s="407" t="str">
        <f t="shared" si="23"/>
        <v/>
      </c>
      <c r="D222" s="407" t="str">
        <f t="shared" si="20"/>
        <v/>
      </c>
      <c r="E222" s="407" t="str">
        <f t="shared" si="24"/>
        <v/>
      </c>
      <c r="F222" s="407" t="str">
        <f t="shared" si="21"/>
        <v/>
      </c>
      <c r="G222" s="408" t="str">
        <f t="shared" si="22"/>
        <v/>
      </c>
    </row>
    <row r="223" spans="2:7" ht="13">
      <c r="B223" s="406" t="str">
        <f t="shared" si="19"/>
        <v/>
      </c>
      <c r="C223" s="407" t="str">
        <f t="shared" si="23"/>
        <v/>
      </c>
      <c r="D223" s="407" t="str">
        <f t="shared" si="20"/>
        <v/>
      </c>
      <c r="E223" s="407" t="str">
        <f t="shared" si="24"/>
        <v/>
      </c>
      <c r="F223" s="407" t="str">
        <f t="shared" si="21"/>
        <v/>
      </c>
      <c r="G223" s="408" t="str">
        <f t="shared" si="22"/>
        <v/>
      </c>
    </row>
    <row r="224" spans="2:7" ht="13">
      <c r="B224" s="406" t="str">
        <f t="shared" si="19"/>
        <v/>
      </c>
      <c r="C224" s="407" t="str">
        <f t="shared" si="23"/>
        <v/>
      </c>
      <c r="D224" s="407" t="str">
        <f t="shared" si="20"/>
        <v/>
      </c>
      <c r="E224" s="407" t="str">
        <f t="shared" si="24"/>
        <v/>
      </c>
      <c r="F224" s="407" t="str">
        <f t="shared" si="21"/>
        <v/>
      </c>
      <c r="G224" s="408" t="str">
        <f t="shared" si="22"/>
        <v/>
      </c>
    </row>
    <row r="225" spans="2:7" ht="13">
      <c r="B225" s="406" t="str">
        <f t="shared" si="19"/>
        <v/>
      </c>
      <c r="C225" s="407" t="str">
        <f t="shared" si="23"/>
        <v/>
      </c>
      <c r="D225" s="407" t="str">
        <f t="shared" si="20"/>
        <v/>
      </c>
      <c r="E225" s="407" t="str">
        <f t="shared" si="24"/>
        <v/>
      </c>
      <c r="F225" s="407" t="str">
        <f t="shared" si="21"/>
        <v/>
      </c>
      <c r="G225" s="408" t="str">
        <f t="shared" si="22"/>
        <v/>
      </c>
    </row>
    <row r="226" spans="2:7" ht="13">
      <c r="B226" s="406" t="str">
        <f t="shared" si="19"/>
        <v/>
      </c>
      <c r="C226" s="407" t="str">
        <f t="shared" si="23"/>
        <v/>
      </c>
      <c r="D226" s="407" t="str">
        <f t="shared" si="20"/>
        <v/>
      </c>
      <c r="E226" s="407" t="str">
        <f t="shared" si="24"/>
        <v/>
      </c>
      <c r="F226" s="407" t="str">
        <f t="shared" si="21"/>
        <v/>
      </c>
      <c r="G226" s="408" t="str">
        <f t="shared" si="22"/>
        <v/>
      </c>
    </row>
    <row r="227" spans="2:7" ht="13">
      <c r="B227" s="406" t="str">
        <f t="shared" si="19"/>
        <v/>
      </c>
      <c r="C227" s="407" t="str">
        <f t="shared" si="23"/>
        <v/>
      </c>
      <c r="D227" s="407" t="str">
        <f t="shared" si="20"/>
        <v/>
      </c>
      <c r="E227" s="407" t="str">
        <f t="shared" si="24"/>
        <v/>
      </c>
      <c r="F227" s="407" t="str">
        <f t="shared" si="21"/>
        <v/>
      </c>
      <c r="G227" s="408" t="str">
        <f t="shared" si="22"/>
        <v/>
      </c>
    </row>
    <row r="228" spans="2:7" ht="13">
      <c r="B228" s="406" t="str">
        <f t="shared" si="19"/>
        <v/>
      </c>
      <c r="C228" s="407" t="str">
        <f t="shared" si="23"/>
        <v/>
      </c>
      <c r="D228" s="407" t="str">
        <f t="shared" si="20"/>
        <v/>
      </c>
      <c r="E228" s="407" t="str">
        <f t="shared" si="24"/>
        <v/>
      </c>
      <c r="F228" s="407" t="str">
        <f t="shared" si="21"/>
        <v/>
      </c>
      <c r="G228" s="408" t="str">
        <f t="shared" si="22"/>
        <v/>
      </c>
    </row>
    <row r="229" spans="2:7" ht="13">
      <c r="B229" s="406" t="str">
        <f t="shared" si="19"/>
        <v/>
      </c>
      <c r="C229" s="407" t="str">
        <f t="shared" si="23"/>
        <v/>
      </c>
      <c r="D229" s="407" t="str">
        <f t="shared" si="20"/>
        <v/>
      </c>
      <c r="E229" s="407" t="str">
        <f t="shared" si="24"/>
        <v/>
      </c>
      <c r="F229" s="407" t="str">
        <f t="shared" si="21"/>
        <v/>
      </c>
      <c r="G229" s="408" t="str">
        <f t="shared" si="22"/>
        <v/>
      </c>
    </row>
    <row r="230" spans="2:7" ht="13">
      <c r="B230" s="406" t="str">
        <f t="shared" si="19"/>
        <v/>
      </c>
      <c r="C230" s="407" t="str">
        <f t="shared" si="23"/>
        <v/>
      </c>
      <c r="D230" s="407" t="str">
        <f t="shared" si="20"/>
        <v/>
      </c>
      <c r="E230" s="407" t="str">
        <f t="shared" si="24"/>
        <v/>
      </c>
      <c r="F230" s="407" t="str">
        <f t="shared" si="21"/>
        <v/>
      </c>
      <c r="G230" s="408" t="str">
        <f t="shared" si="22"/>
        <v/>
      </c>
    </row>
    <row r="231" spans="2:7" ht="13">
      <c r="B231" s="406" t="str">
        <f t="shared" si="19"/>
        <v/>
      </c>
      <c r="C231" s="407" t="str">
        <f t="shared" si="23"/>
        <v/>
      </c>
      <c r="D231" s="407" t="str">
        <f t="shared" si="20"/>
        <v/>
      </c>
      <c r="E231" s="407" t="str">
        <f t="shared" si="24"/>
        <v/>
      </c>
      <c r="F231" s="407" t="str">
        <f t="shared" si="21"/>
        <v/>
      </c>
      <c r="G231" s="408" t="str">
        <f t="shared" si="22"/>
        <v/>
      </c>
    </row>
    <row r="232" spans="2:7" ht="13">
      <c r="B232" s="406" t="str">
        <f t="shared" si="19"/>
        <v/>
      </c>
      <c r="C232" s="407" t="str">
        <f t="shared" si="23"/>
        <v/>
      </c>
      <c r="D232" s="407" t="str">
        <f t="shared" si="20"/>
        <v/>
      </c>
      <c r="E232" s="407" t="str">
        <f t="shared" si="24"/>
        <v/>
      </c>
      <c r="F232" s="407" t="str">
        <f t="shared" si="21"/>
        <v/>
      </c>
      <c r="G232" s="408" t="str">
        <f t="shared" si="22"/>
        <v/>
      </c>
    </row>
    <row r="233" spans="2:7" ht="13">
      <c r="B233" s="406" t="str">
        <f t="shared" si="19"/>
        <v/>
      </c>
      <c r="C233" s="407" t="str">
        <f t="shared" si="23"/>
        <v/>
      </c>
      <c r="D233" s="407" t="str">
        <f t="shared" si="20"/>
        <v/>
      </c>
      <c r="E233" s="407" t="str">
        <f t="shared" si="24"/>
        <v/>
      </c>
      <c r="F233" s="407" t="str">
        <f t="shared" si="21"/>
        <v/>
      </c>
      <c r="G233" s="408" t="str">
        <f t="shared" si="22"/>
        <v/>
      </c>
    </row>
    <row r="234" spans="2:7" ht="13">
      <c r="B234" s="406" t="str">
        <f t="shared" si="19"/>
        <v/>
      </c>
      <c r="C234" s="407" t="str">
        <f t="shared" si="23"/>
        <v/>
      </c>
      <c r="D234" s="407" t="str">
        <f t="shared" si="20"/>
        <v/>
      </c>
      <c r="E234" s="407" t="str">
        <f t="shared" si="24"/>
        <v/>
      </c>
      <c r="F234" s="407" t="str">
        <f t="shared" si="21"/>
        <v/>
      </c>
      <c r="G234" s="408" t="str">
        <f t="shared" si="22"/>
        <v/>
      </c>
    </row>
    <row r="235" spans="2:7" ht="13">
      <c r="B235" s="406" t="str">
        <f t="shared" si="19"/>
        <v/>
      </c>
      <c r="C235" s="407" t="str">
        <f t="shared" si="23"/>
        <v/>
      </c>
      <c r="D235" s="407" t="str">
        <f t="shared" si="20"/>
        <v/>
      </c>
      <c r="E235" s="407" t="str">
        <f t="shared" si="24"/>
        <v/>
      </c>
      <c r="F235" s="407" t="str">
        <f t="shared" si="21"/>
        <v/>
      </c>
      <c r="G235" s="408" t="str">
        <f t="shared" si="22"/>
        <v/>
      </c>
    </row>
    <row r="236" spans="2:7" ht="13">
      <c r="B236" s="406" t="str">
        <f t="shared" si="19"/>
        <v/>
      </c>
      <c r="C236" s="407" t="str">
        <f t="shared" si="23"/>
        <v/>
      </c>
      <c r="D236" s="407" t="str">
        <f t="shared" si="20"/>
        <v/>
      </c>
      <c r="E236" s="407" t="str">
        <f t="shared" si="24"/>
        <v/>
      </c>
      <c r="F236" s="407" t="str">
        <f t="shared" si="21"/>
        <v/>
      </c>
      <c r="G236" s="408" t="str">
        <f t="shared" si="22"/>
        <v/>
      </c>
    </row>
    <row r="237" spans="2:7" ht="13">
      <c r="B237" s="406" t="str">
        <f t="shared" si="19"/>
        <v/>
      </c>
      <c r="C237" s="407" t="str">
        <f t="shared" si="23"/>
        <v/>
      </c>
      <c r="D237" s="407" t="str">
        <f t="shared" si="20"/>
        <v/>
      </c>
      <c r="E237" s="407" t="str">
        <f t="shared" si="24"/>
        <v/>
      </c>
      <c r="F237" s="407" t="str">
        <f t="shared" si="21"/>
        <v/>
      </c>
      <c r="G237" s="408" t="str">
        <f t="shared" si="22"/>
        <v/>
      </c>
    </row>
    <row r="238" spans="2:7" ht="13">
      <c r="B238" s="406" t="str">
        <f t="shared" si="19"/>
        <v/>
      </c>
      <c r="C238" s="407" t="str">
        <f t="shared" si="23"/>
        <v/>
      </c>
      <c r="D238" s="407" t="str">
        <f t="shared" si="20"/>
        <v/>
      </c>
      <c r="E238" s="407" t="str">
        <f t="shared" si="24"/>
        <v/>
      </c>
      <c r="F238" s="407" t="str">
        <f t="shared" si="21"/>
        <v/>
      </c>
      <c r="G238" s="408" t="str">
        <f t="shared" si="22"/>
        <v/>
      </c>
    </row>
    <row r="239" spans="2:7" ht="13">
      <c r="B239" s="406" t="str">
        <f t="shared" si="19"/>
        <v/>
      </c>
      <c r="C239" s="407" t="str">
        <f t="shared" si="23"/>
        <v/>
      </c>
      <c r="D239" s="407" t="str">
        <f t="shared" si="20"/>
        <v/>
      </c>
      <c r="E239" s="407" t="str">
        <f t="shared" si="24"/>
        <v/>
      </c>
      <c r="F239" s="407" t="str">
        <f t="shared" si="21"/>
        <v/>
      </c>
      <c r="G239" s="408" t="str">
        <f t="shared" si="22"/>
        <v/>
      </c>
    </row>
    <row r="240" spans="2:7" ht="13">
      <c r="B240" s="406" t="str">
        <f t="shared" si="19"/>
        <v/>
      </c>
      <c r="C240" s="407" t="str">
        <f t="shared" si="23"/>
        <v/>
      </c>
      <c r="D240" s="407" t="str">
        <f t="shared" si="20"/>
        <v/>
      </c>
      <c r="E240" s="407" t="str">
        <f t="shared" si="24"/>
        <v/>
      </c>
      <c r="F240" s="407" t="str">
        <f t="shared" si="21"/>
        <v/>
      </c>
      <c r="G240" s="408" t="str">
        <f t="shared" si="22"/>
        <v/>
      </c>
    </row>
    <row r="241" spans="2:7" ht="13">
      <c r="B241" s="406" t="str">
        <f t="shared" si="19"/>
        <v/>
      </c>
      <c r="C241" s="407" t="str">
        <f t="shared" si="23"/>
        <v/>
      </c>
      <c r="D241" s="407" t="str">
        <f t="shared" si="20"/>
        <v/>
      </c>
      <c r="E241" s="407" t="str">
        <f t="shared" si="24"/>
        <v/>
      </c>
      <c r="F241" s="407" t="str">
        <f t="shared" si="21"/>
        <v/>
      </c>
      <c r="G241" s="408" t="str">
        <f t="shared" si="22"/>
        <v/>
      </c>
    </row>
    <row r="242" spans="2:7" ht="13">
      <c r="B242" s="406" t="str">
        <f t="shared" si="19"/>
        <v/>
      </c>
      <c r="C242" s="407" t="str">
        <f t="shared" si="23"/>
        <v/>
      </c>
      <c r="D242" s="407" t="str">
        <f t="shared" si="20"/>
        <v/>
      </c>
      <c r="E242" s="407" t="str">
        <f t="shared" si="24"/>
        <v/>
      </c>
      <c r="F242" s="407" t="str">
        <f t="shared" si="21"/>
        <v/>
      </c>
      <c r="G242" s="408" t="str">
        <f t="shared" si="22"/>
        <v/>
      </c>
    </row>
    <row r="243" spans="2:7" ht="13">
      <c r="B243" s="406" t="str">
        <f t="shared" si="19"/>
        <v/>
      </c>
      <c r="C243" s="407" t="str">
        <f t="shared" si="23"/>
        <v/>
      </c>
      <c r="D243" s="407" t="str">
        <f t="shared" si="20"/>
        <v/>
      </c>
      <c r="E243" s="407" t="str">
        <f t="shared" si="24"/>
        <v/>
      </c>
      <c r="F243" s="407" t="str">
        <f t="shared" si="21"/>
        <v/>
      </c>
      <c r="G243" s="408" t="str">
        <f t="shared" si="22"/>
        <v/>
      </c>
    </row>
    <row r="244" spans="2:7" ht="13">
      <c r="B244" s="406" t="str">
        <f t="shared" si="19"/>
        <v/>
      </c>
      <c r="C244" s="407" t="str">
        <f t="shared" si="23"/>
        <v/>
      </c>
      <c r="D244" s="407" t="str">
        <f t="shared" si="20"/>
        <v/>
      </c>
      <c r="E244" s="407" t="str">
        <f t="shared" si="24"/>
        <v/>
      </c>
      <c r="F244" s="407" t="str">
        <f t="shared" si="21"/>
        <v/>
      </c>
      <c r="G244" s="408" t="str">
        <f t="shared" si="22"/>
        <v/>
      </c>
    </row>
    <row r="245" spans="2:7" ht="13">
      <c r="B245" s="406" t="str">
        <f t="shared" si="19"/>
        <v/>
      </c>
      <c r="C245" s="407" t="str">
        <f t="shared" si="23"/>
        <v/>
      </c>
      <c r="D245" s="407" t="str">
        <f t="shared" si="20"/>
        <v/>
      </c>
      <c r="E245" s="407" t="str">
        <f t="shared" si="24"/>
        <v/>
      </c>
      <c r="F245" s="407" t="str">
        <f t="shared" si="21"/>
        <v/>
      </c>
      <c r="G245" s="408" t="str">
        <f t="shared" si="22"/>
        <v/>
      </c>
    </row>
    <row r="246" spans="2:7" ht="13">
      <c r="B246" s="406" t="str">
        <f t="shared" si="19"/>
        <v/>
      </c>
      <c r="C246" s="407" t="str">
        <f t="shared" si="23"/>
        <v/>
      </c>
      <c r="D246" s="407" t="str">
        <f t="shared" si="20"/>
        <v/>
      </c>
      <c r="E246" s="407" t="str">
        <f t="shared" si="24"/>
        <v/>
      </c>
      <c r="F246" s="407" t="str">
        <f t="shared" si="21"/>
        <v/>
      </c>
      <c r="G246" s="408" t="str">
        <f t="shared" si="22"/>
        <v/>
      </c>
    </row>
    <row r="247" spans="2:7" ht="13">
      <c r="B247" s="406" t="str">
        <f t="shared" si="19"/>
        <v/>
      </c>
      <c r="C247" s="407" t="str">
        <f t="shared" si="23"/>
        <v/>
      </c>
      <c r="D247" s="407" t="str">
        <f t="shared" si="20"/>
        <v/>
      </c>
      <c r="E247" s="407" t="str">
        <f t="shared" si="24"/>
        <v/>
      </c>
      <c r="F247" s="407" t="str">
        <f t="shared" si="21"/>
        <v/>
      </c>
      <c r="G247" s="408" t="str">
        <f t="shared" si="22"/>
        <v/>
      </c>
    </row>
    <row r="248" spans="2:7" ht="13">
      <c r="B248" s="406" t="str">
        <f t="shared" si="19"/>
        <v/>
      </c>
      <c r="C248" s="407" t="str">
        <f t="shared" si="23"/>
        <v/>
      </c>
      <c r="D248" s="407" t="str">
        <f t="shared" si="20"/>
        <v/>
      </c>
      <c r="E248" s="407" t="str">
        <f t="shared" si="24"/>
        <v/>
      </c>
      <c r="F248" s="407" t="str">
        <f t="shared" si="21"/>
        <v/>
      </c>
      <c r="G248" s="408" t="str">
        <f t="shared" si="22"/>
        <v/>
      </c>
    </row>
    <row r="249" spans="2:7" ht="13">
      <c r="B249" s="406" t="str">
        <f t="shared" si="19"/>
        <v/>
      </c>
      <c r="C249" s="407" t="str">
        <f t="shared" si="23"/>
        <v/>
      </c>
      <c r="D249" s="407" t="str">
        <f t="shared" si="20"/>
        <v/>
      </c>
      <c r="E249" s="407" t="str">
        <f t="shared" si="24"/>
        <v/>
      </c>
      <c r="F249" s="407" t="str">
        <f t="shared" si="21"/>
        <v/>
      </c>
      <c r="G249" s="408" t="str">
        <f t="shared" si="22"/>
        <v/>
      </c>
    </row>
    <row r="250" spans="2:7" ht="13">
      <c r="B250" s="406" t="str">
        <f t="shared" si="19"/>
        <v/>
      </c>
      <c r="C250" s="407" t="str">
        <f t="shared" si="23"/>
        <v/>
      </c>
      <c r="D250" s="407" t="str">
        <f t="shared" si="20"/>
        <v/>
      </c>
      <c r="E250" s="407" t="str">
        <f t="shared" si="24"/>
        <v/>
      </c>
      <c r="F250" s="407" t="str">
        <f t="shared" si="21"/>
        <v/>
      </c>
      <c r="G250" s="408" t="str">
        <f t="shared" si="22"/>
        <v/>
      </c>
    </row>
    <row r="251" spans="2:7" ht="13">
      <c r="B251" s="406" t="str">
        <f t="shared" si="19"/>
        <v/>
      </c>
      <c r="C251" s="407" t="str">
        <f t="shared" si="23"/>
        <v/>
      </c>
      <c r="D251" s="407" t="str">
        <f t="shared" si="20"/>
        <v/>
      </c>
      <c r="E251" s="407" t="str">
        <f t="shared" si="24"/>
        <v/>
      </c>
      <c r="F251" s="407" t="str">
        <f t="shared" si="21"/>
        <v/>
      </c>
      <c r="G251" s="408" t="str">
        <f t="shared" si="22"/>
        <v/>
      </c>
    </row>
    <row r="252" spans="2:7" ht="13">
      <c r="B252" s="406" t="str">
        <f t="shared" si="19"/>
        <v/>
      </c>
      <c r="C252" s="407" t="str">
        <f t="shared" si="23"/>
        <v/>
      </c>
      <c r="D252" s="407" t="str">
        <f t="shared" si="20"/>
        <v/>
      </c>
      <c r="E252" s="407" t="str">
        <f t="shared" si="24"/>
        <v/>
      </c>
      <c r="F252" s="407" t="str">
        <f t="shared" si="21"/>
        <v/>
      </c>
      <c r="G252" s="408" t="str">
        <f t="shared" si="22"/>
        <v/>
      </c>
    </row>
    <row r="253" spans="2:7" ht="13">
      <c r="B253" s="406" t="str">
        <f t="shared" si="19"/>
        <v/>
      </c>
      <c r="C253" s="407" t="str">
        <f t="shared" si="23"/>
        <v/>
      </c>
      <c r="D253" s="407" t="str">
        <f t="shared" si="20"/>
        <v/>
      </c>
      <c r="E253" s="407" t="str">
        <f t="shared" si="24"/>
        <v/>
      </c>
      <c r="F253" s="407" t="str">
        <f t="shared" si="21"/>
        <v/>
      </c>
      <c r="G253" s="408" t="str">
        <f t="shared" si="22"/>
        <v/>
      </c>
    </row>
    <row r="254" spans="2:7" ht="13">
      <c r="B254" s="406" t="str">
        <f t="shared" si="19"/>
        <v/>
      </c>
      <c r="C254" s="407" t="str">
        <f t="shared" si="23"/>
        <v/>
      </c>
      <c r="D254" s="407" t="str">
        <f t="shared" si="20"/>
        <v/>
      </c>
      <c r="E254" s="407" t="str">
        <f t="shared" si="24"/>
        <v/>
      </c>
      <c r="F254" s="407" t="str">
        <f t="shared" si="21"/>
        <v/>
      </c>
      <c r="G254" s="408" t="str">
        <f t="shared" si="22"/>
        <v/>
      </c>
    </row>
    <row r="255" spans="2:7" ht="13">
      <c r="B255" s="406" t="str">
        <f t="shared" si="19"/>
        <v/>
      </c>
      <c r="C255" s="407" t="str">
        <f t="shared" si="23"/>
        <v/>
      </c>
      <c r="D255" s="407" t="str">
        <f t="shared" si="20"/>
        <v/>
      </c>
      <c r="E255" s="407" t="str">
        <f t="shared" si="24"/>
        <v/>
      </c>
      <c r="F255" s="407" t="str">
        <f t="shared" si="21"/>
        <v/>
      </c>
      <c r="G255" s="408" t="str">
        <f t="shared" si="22"/>
        <v/>
      </c>
    </row>
    <row r="256" spans="2:7" ht="13">
      <c r="B256" s="406" t="str">
        <f t="shared" si="19"/>
        <v/>
      </c>
      <c r="C256" s="407" t="str">
        <f t="shared" si="23"/>
        <v/>
      </c>
      <c r="D256" s="407" t="str">
        <f t="shared" si="20"/>
        <v/>
      </c>
      <c r="E256" s="407" t="str">
        <f t="shared" si="24"/>
        <v/>
      </c>
      <c r="F256" s="407" t="str">
        <f t="shared" si="21"/>
        <v/>
      </c>
      <c r="G256" s="408" t="str">
        <f t="shared" si="22"/>
        <v/>
      </c>
    </row>
    <row r="257" spans="2:7" ht="13">
      <c r="B257" s="406" t="str">
        <f t="shared" si="19"/>
        <v/>
      </c>
      <c r="C257" s="407" t="str">
        <f t="shared" si="23"/>
        <v/>
      </c>
      <c r="D257" s="407" t="str">
        <f t="shared" si="20"/>
        <v/>
      </c>
      <c r="E257" s="407" t="str">
        <f t="shared" si="24"/>
        <v/>
      </c>
      <c r="F257" s="407" t="str">
        <f t="shared" si="21"/>
        <v/>
      </c>
      <c r="G257" s="408" t="str">
        <f t="shared" si="22"/>
        <v/>
      </c>
    </row>
    <row r="258" spans="2:7" ht="13">
      <c r="B258" s="406" t="str">
        <f t="shared" si="19"/>
        <v/>
      </c>
      <c r="C258" s="407" t="str">
        <f t="shared" si="23"/>
        <v/>
      </c>
      <c r="D258" s="407" t="str">
        <f t="shared" si="20"/>
        <v/>
      </c>
      <c r="E258" s="407" t="str">
        <f t="shared" si="24"/>
        <v/>
      </c>
      <c r="F258" s="407" t="str">
        <f t="shared" si="21"/>
        <v/>
      </c>
      <c r="G258" s="408" t="str">
        <f t="shared" si="22"/>
        <v/>
      </c>
    </row>
    <row r="259" spans="2:7" ht="13">
      <c r="B259" s="406" t="str">
        <f t="shared" si="19"/>
        <v/>
      </c>
      <c r="C259" s="407" t="str">
        <f t="shared" si="23"/>
        <v/>
      </c>
      <c r="D259" s="407" t="str">
        <f t="shared" si="20"/>
        <v/>
      </c>
      <c r="E259" s="407" t="str">
        <f t="shared" si="24"/>
        <v/>
      </c>
      <c r="F259" s="407" t="str">
        <f t="shared" si="21"/>
        <v/>
      </c>
      <c r="G259" s="408" t="str">
        <f t="shared" si="22"/>
        <v/>
      </c>
    </row>
    <row r="260" spans="2:7" ht="13">
      <c r="B260" s="406" t="str">
        <f t="shared" si="19"/>
        <v/>
      </c>
      <c r="C260" s="407" t="str">
        <f t="shared" si="23"/>
        <v/>
      </c>
      <c r="D260" s="407" t="str">
        <f t="shared" si="20"/>
        <v/>
      </c>
      <c r="E260" s="407" t="str">
        <f t="shared" si="24"/>
        <v/>
      </c>
      <c r="F260" s="407" t="str">
        <f t="shared" si="21"/>
        <v/>
      </c>
      <c r="G260" s="408" t="str">
        <f t="shared" si="22"/>
        <v/>
      </c>
    </row>
    <row r="261" spans="2:7" ht="13">
      <c r="B261" s="406" t="str">
        <f t="shared" si="19"/>
        <v/>
      </c>
      <c r="C261" s="407" t="str">
        <f t="shared" si="23"/>
        <v/>
      </c>
      <c r="D261" s="407" t="str">
        <f t="shared" si="20"/>
        <v/>
      </c>
      <c r="E261" s="407" t="str">
        <f t="shared" si="24"/>
        <v/>
      </c>
      <c r="F261" s="407" t="str">
        <f t="shared" si="21"/>
        <v/>
      </c>
      <c r="G261" s="408" t="str">
        <f t="shared" si="22"/>
        <v/>
      </c>
    </row>
    <row r="262" spans="2:7" ht="13">
      <c r="B262" s="406" t="str">
        <f t="shared" si="19"/>
        <v/>
      </c>
      <c r="C262" s="407" t="str">
        <f t="shared" si="23"/>
        <v/>
      </c>
      <c r="D262" s="407" t="str">
        <f t="shared" si="20"/>
        <v/>
      </c>
      <c r="E262" s="407" t="str">
        <f t="shared" si="24"/>
        <v/>
      </c>
      <c r="F262" s="407" t="str">
        <f t="shared" si="21"/>
        <v/>
      </c>
      <c r="G262" s="408" t="str">
        <f t="shared" si="22"/>
        <v/>
      </c>
    </row>
    <row r="263" spans="2:7" ht="13">
      <c r="B263" s="406" t="str">
        <f t="shared" si="19"/>
        <v/>
      </c>
      <c r="C263" s="407" t="str">
        <f t="shared" si="23"/>
        <v/>
      </c>
      <c r="D263" s="407" t="str">
        <f t="shared" si="20"/>
        <v/>
      </c>
      <c r="E263" s="407" t="str">
        <f t="shared" si="24"/>
        <v/>
      </c>
      <c r="F263" s="407" t="str">
        <f t="shared" si="21"/>
        <v/>
      </c>
      <c r="G263" s="408" t="str">
        <f t="shared" si="22"/>
        <v/>
      </c>
    </row>
    <row r="264" spans="2:7" ht="13">
      <c r="B264" s="406" t="str">
        <f t="shared" si="19"/>
        <v/>
      </c>
      <c r="C264" s="407" t="str">
        <f t="shared" si="23"/>
        <v/>
      </c>
      <c r="D264" s="407" t="str">
        <f t="shared" si="20"/>
        <v/>
      </c>
      <c r="E264" s="407" t="str">
        <f t="shared" si="24"/>
        <v/>
      </c>
      <c r="F264" s="407" t="str">
        <f t="shared" si="21"/>
        <v/>
      </c>
      <c r="G264" s="408" t="str">
        <f t="shared" si="22"/>
        <v/>
      </c>
    </row>
    <row r="265" spans="2:7" ht="13">
      <c r="B265" s="406" t="str">
        <f t="shared" si="19"/>
        <v/>
      </c>
      <c r="C265" s="407" t="str">
        <f t="shared" si="23"/>
        <v/>
      </c>
      <c r="D265" s="407" t="str">
        <f t="shared" si="20"/>
        <v/>
      </c>
      <c r="E265" s="407" t="str">
        <f t="shared" si="24"/>
        <v/>
      </c>
      <c r="F265" s="407" t="str">
        <f t="shared" si="21"/>
        <v/>
      </c>
      <c r="G265" s="408" t="str">
        <f t="shared" si="22"/>
        <v/>
      </c>
    </row>
    <row r="266" spans="2:7" ht="13">
      <c r="B266" s="406" t="str">
        <f t="shared" si="19"/>
        <v/>
      </c>
      <c r="C266" s="407" t="str">
        <f t="shared" si="23"/>
        <v/>
      </c>
      <c r="D266" s="407" t="str">
        <f t="shared" si="20"/>
        <v/>
      </c>
      <c r="E266" s="407" t="str">
        <f t="shared" si="24"/>
        <v/>
      </c>
      <c r="F266" s="407" t="str">
        <f t="shared" si="21"/>
        <v/>
      </c>
      <c r="G266" s="408" t="str">
        <f t="shared" si="22"/>
        <v/>
      </c>
    </row>
    <row r="267" spans="2:7" ht="13">
      <c r="B267" s="406" t="str">
        <f t="shared" si="19"/>
        <v/>
      </c>
      <c r="C267" s="407" t="str">
        <f t="shared" si="23"/>
        <v/>
      </c>
      <c r="D267" s="407" t="str">
        <f t="shared" si="20"/>
        <v/>
      </c>
      <c r="E267" s="407" t="str">
        <f t="shared" si="24"/>
        <v/>
      </c>
      <c r="F267" s="407" t="str">
        <f t="shared" si="21"/>
        <v/>
      </c>
      <c r="G267" s="408" t="str">
        <f t="shared" si="22"/>
        <v/>
      </c>
    </row>
    <row r="268" spans="2:7" ht="13">
      <c r="B268" s="406" t="str">
        <f t="shared" si="19"/>
        <v/>
      </c>
      <c r="C268" s="407" t="str">
        <f t="shared" si="23"/>
        <v/>
      </c>
      <c r="D268" s="407" t="str">
        <f t="shared" si="20"/>
        <v/>
      </c>
      <c r="E268" s="407" t="str">
        <f t="shared" si="24"/>
        <v/>
      </c>
      <c r="F268" s="407" t="str">
        <f t="shared" si="21"/>
        <v/>
      </c>
      <c r="G268" s="408" t="str">
        <f t="shared" si="22"/>
        <v/>
      </c>
    </row>
    <row r="269" spans="2:7" ht="13">
      <c r="B269" s="406" t="str">
        <f t="shared" si="19"/>
        <v/>
      </c>
      <c r="C269" s="407" t="str">
        <f t="shared" si="23"/>
        <v/>
      </c>
      <c r="D269" s="407" t="str">
        <f t="shared" si="20"/>
        <v/>
      </c>
      <c r="E269" s="407" t="str">
        <f t="shared" si="24"/>
        <v/>
      </c>
      <c r="F269" s="407" t="str">
        <f t="shared" si="21"/>
        <v/>
      </c>
      <c r="G269" s="408" t="str">
        <f t="shared" si="22"/>
        <v/>
      </c>
    </row>
    <row r="270" spans="2:7" ht="13">
      <c r="B270" s="406" t="str">
        <f t="shared" si="19"/>
        <v/>
      </c>
      <c r="C270" s="407" t="str">
        <f t="shared" si="23"/>
        <v/>
      </c>
      <c r="D270" s="407" t="str">
        <f t="shared" si="20"/>
        <v/>
      </c>
      <c r="E270" s="407" t="str">
        <f t="shared" si="24"/>
        <v/>
      </c>
      <c r="F270" s="407" t="str">
        <f t="shared" si="21"/>
        <v/>
      </c>
      <c r="G270" s="408" t="str">
        <f t="shared" si="22"/>
        <v/>
      </c>
    </row>
    <row r="271" spans="2:7" ht="13">
      <c r="B271" s="406" t="str">
        <f t="shared" si="19"/>
        <v/>
      </c>
      <c r="C271" s="407" t="str">
        <f t="shared" si="23"/>
        <v/>
      </c>
      <c r="D271" s="407" t="str">
        <f t="shared" si="20"/>
        <v/>
      </c>
      <c r="E271" s="407" t="str">
        <f t="shared" si="24"/>
        <v/>
      </c>
      <c r="F271" s="407" t="str">
        <f t="shared" si="21"/>
        <v/>
      </c>
      <c r="G271" s="408" t="str">
        <f t="shared" si="22"/>
        <v/>
      </c>
    </row>
    <row r="272" spans="2:7" ht="13">
      <c r="B272" s="406" t="str">
        <f t="shared" ref="B272:B335" si="25">IF(((ROW()-nSkip)&lt;=$G$9),(ROW()-nSkip), "")</f>
        <v/>
      </c>
      <c r="C272" s="407" t="str">
        <f t="shared" si="23"/>
        <v/>
      </c>
      <c r="D272" s="407" t="str">
        <f t="shared" si="20"/>
        <v/>
      </c>
      <c r="E272" s="407" t="str">
        <f t="shared" si="24"/>
        <v/>
      </c>
      <c r="F272" s="407" t="str">
        <f t="shared" si="21"/>
        <v/>
      </c>
      <c r="G272" s="408" t="str">
        <f t="shared" si="22"/>
        <v/>
      </c>
    </row>
    <row r="273" spans="2:7" ht="13">
      <c r="B273" s="406" t="str">
        <f t="shared" si="25"/>
        <v/>
      </c>
      <c r="C273" s="407" t="str">
        <f t="shared" si="23"/>
        <v/>
      </c>
      <c r="D273" s="407" t="str">
        <f t="shared" ref="D273:D336" si="26">IF(((ROW()-nSkip)&lt;=$G$9),-PPMT(($G$5/$G$8),B273,$G$9,$G$4),"")</f>
        <v/>
      </c>
      <c r="E273" s="407" t="str">
        <f t="shared" si="24"/>
        <v/>
      </c>
      <c r="F273" s="407" t="str">
        <f t="shared" ref="F273:F336" si="27">IF(((ROW()-nSkip)&lt;=$G$9),(E273+F272),"")</f>
        <v/>
      </c>
      <c r="G273" s="408" t="str">
        <f t="shared" ref="G273:G336" si="28">IF(((ROW()-nSkip)&lt;=$G$9),(G272-D273),"")</f>
        <v/>
      </c>
    </row>
    <row r="274" spans="2:7" ht="13">
      <c r="B274" s="406" t="str">
        <f t="shared" si="25"/>
        <v/>
      </c>
      <c r="C274" s="407" t="str">
        <f t="shared" ref="C274:C337" si="29">IF((B274&lt;=$G$9),-PMT(($G$5/$G$8),$G$9,$G$4),"")</f>
        <v/>
      </c>
      <c r="D274" s="407" t="str">
        <f t="shared" si="26"/>
        <v/>
      </c>
      <c r="E274" s="407" t="str">
        <f t="shared" ref="E274:E337" si="30">IF(((ROW()-nSkip)&lt;=$G$9),-IPMT(($G$5/$G$8),B274,$G$9,$G$4),"")</f>
        <v/>
      </c>
      <c r="F274" s="407" t="str">
        <f t="shared" si="27"/>
        <v/>
      </c>
      <c r="G274" s="408" t="str">
        <f t="shared" si="28"/>
        <v/>
      </c>
    </row>
    <row r="275" spans="2:7" ht="13">
      <c r="B275" s="406" t="str">
        <f t="shared" si="25"/>
        <v/>
      </c>
      <c r="C275" s="407" t="str">
        <f t="shared" si="29"/>
        <v/>
      </c>
      <c r="D275" s="407" t="str">
        <f t="shared" si="26"/>
        <v/>
      </c>
      <c r="E275" s="407" t="str">
        <f t="shared" si="30"/>
        <v/>
      </c>
      <c r="F275" s="407" t="str">
        <f t="shared" si="27"/>
        <v/>
      </c>
      <c r="G275" s="408" t="str">
        <f t="shared" si="28"/>
        <v/>
      </c>
    </row>
    <row r="276" spans="2:7" ht="13">
      <c r="B276" s="406" t="str">
        <f t="shared" si="25"/>
        <v/>
      </c>
      <c r="C276" s="407" t="str">
        <f t="shared" si="29"/>
        <v/>
      </c>
      <c r="D276" s="407" t="str">
        <f t="shared" si="26"/>
        <v/>
      </c>
      <c r="E276" s="407" t="str">
        <f t="shared" si="30"/>
        <v/>
      </c>
      <c r="F276" s="407" t="str">
        <f t="shared" si="27"/>
        <v/>
      </c>
      <c r="G276" s="408" t="str">
        <f t="shared" si="28"/>
        <v/>
      </c>
    </row>
    <row r="277" spans="2:7" ht="13">
      <c r="B277" s="406" t="str">
        <f t="shared" si="25"/>
        <v/>
      </c>
      <c r="C277" s="407" t="str">
        <f t="shared" si="29"/>
        <v/>
      </c>
      <c r="D277" s="407" t="str">
        <f t="shared" si="26"/>
        <v/>
      </c>
      <c r="E277" s="407" t="str">
        <f t="shared" si="30"/>
        <v/>
      </c>
      <c r="F277" s="407" t="str">
        <f t="shared" si="27"/>
        <v/>
      </c>
      <c r="G277" s="408" t="str">
        <f t="shared" si="28"/>
        <v/>
      </c>
    </row>
    <row r="278" spans="2:7" ht="13">
      <c r="B278" s="406" t="str">
        <f t="shared" si="25"/>
        <v/>
      </c>
      <c r="C278" s="407" t="str">
        <f t="shared" si="29"/>
        <v/>
      </c>
      <c r="D278" s="407" t="str">
        <f t="shared" si="26"/>
        <v/>
      </c>
      <c r="E278" s="407" t="str">
        <f t="shared" si="30"/>
        <v/>
      </c>
      <c r="F278" s="407" t="str">
        <f t="shared" si="27"/>
        <v/>
      </c>
      <c r="G278" s="408" t="str">
        <f t="shared" si="28"/>
        <v/>
      </c>
    </row>
    <row r="279" spans="2:7" ht="13">
      <c r="B279" s="406" t="str">
        <f t="shared" si="25"/>
        <v/>
      </c>
      <c r="C279" s="407" t="str">
        <f t="shared" si="29"/>
        <v/>
      </c>
      <c r="D279" s="407" t="str">
        <f t="shared" si="26"/>
        <v/>
      </c>
      <c r="E279" s="407" t="str">
        <f t="shared" si="30"/>
        <v/>
      </c>
      <c r="F279" s="407" t="str">
        <f t="shared" si="27"/>
        <v/>
      </c>
      <c r="G279" s="408" t="str">
        <f t="shared" si="28"/>
        <v/>
      </c>
    </row>
    <row r="280" spans="2:7" ht="13">
      <c r="B280" s="406" t="str">
        <f t="shared" si="25"/>
        <v/>
      </c>
      <c r="C280" s="407" t="str">
        <f t="shared" si="29"/>
        <v/>
      </c>
      <c r="D280" s="407" t="str">
        <f t="shared" si="26"/>
        <v/>
      </c>
      <c r="E280" s="407" t="str">
        <f t="shared" si="30"/>
        <v/>
      </c>
      <c r="F280" s="407" t="str">
        <f t="shared" si="27"/>
        <v/>
      </c>
      <c r="G280" s="408" t="str">
        <f t="shared" si="28"/>
        <v/>
      </c>
    </row>
    <row r="281" spans="2:7" ht="13">
      <c r="B281" s="406" t="str">
        <f t="shared" si="25"/>
        <v/>
      </c>
      <c r="C281" s="407" t="str">
        <f t="shared" si="29"/>
        <v/>
      </c>
      <c r="D281" s="407" t="str">
        <f t="shared" si="26"/>
        <v/>
      </c>
      <c r="E281" s="407" t="str">
        <f t="shared" si="30"/>
        <v/>
      </c>
      <c r="F281" s="407" t="str">
        <f t="shared" si="27"/>
        <v/>
      </c>
      <c r="G281" s="408" t="str">
        <f t="shared" si="28"/>
        <v/>
      </c>
    </row>
    <row r="282" spans="2:7" ht="13">
      <c r="B282" s="406" t="str">
        <f t="shared" si="25"/>
        <v/>
      </c>
      <c r="C282" s="407" t="str">
        <f t="shared" si="29"/>
        <v/>
      </c>
      <c r="D282" s="407" t="str">
        <f t="shared" si="26"/>
        <v/>
      </c>
      <c r="E282" s="407" t="str">
        <f t="shared" si="30"/>
        <v/>
      </c>
      <c r="F282" s="407" t="str">
        <f t="shared" si="27"/>
        <v/>
      </c>
      <c r="G282" s="408" t="str">
        <f t="shared" si="28"/>
        <v/>
      </c>
    </row>
    <row r="283" spans="2:7" ht="13">
      <c r="B283" s="406" t="str">
        <f t="shared" si="25"/>
        <v/>
      </c>
      <c r="C283" s="407" t="str">
        <f t="shared" si="29"/>
        <v/>
      </c>
      <c r="D283" s="407" t="str">
        <f t="shared" si="26"/>
        <v/>
      </c>
      <c r="E283" s="407" t="str">
        <f t="shared" si="30"/>
        <v/>
      </c>
      <c r="F283" s="407" t="str">
        <f t="shared" si="27"/>
        <v/>
      </c>
      <c r="G283" s="408" t="str">
        <f t="shared" si="28"/>
        <v/>
      </c>
    </row>
    <row r="284" spans="2:7" ht="13">
      <c r="B284" s="406" t="str">
        <f t="shared" si="25"/>
        <v/>
      </c>
      <c r="C284" s="407" t="str">
        <f t="shared" si="29"/>
        <v/>
      </c>
      <c r="D284" s="407" t="str">
        <f t="shared" si="26"/>
        <v/>
      </c>
      <c r="E284" s="407" t="str">
        <f t="shared" si="30"/>
        <v/>
      </c>
      <c r="F284" s="407" t="str">
        <f t="shared" si="27"/>
        <v/>
      </c>
      <c r="G284" s="408" t="str">
        <f t="shared" si="28"/>
        <v/>
      </c>
    </row>
    <row r="285" spans="2:7" ht="13">
      <c r="B285" s="406" t="str">
        <f t="shared" si="25"/>
        <v/>
      </c>
      <c r="C285" s="407" t="str">
        <f t="shared" si="29"/>
        <v/>
      </c>
      <c r="D285" s="407" t="str">
        <f t="shared" si="26"/>
        <v/>
      </c>
      <c r="E285" s="407" t="str">
        <f t="shared" si="30"/>
        <v/>
      </c>
      <c r="F285" s="407" t="str">
        <f t="shared" si="27"/>
        <v/>
      </c>
      <c r="G285" s="408" t="str">
        <f t="shared" si="28"/>
        <v/>
      </c>
    </row>
    <row r="286" spans="2:7" ht="13">
      <c r="B286" s="406" t="str">
        <f t="shared" si="25"/>
        <v/>
      </c>
      <c r="C286" s="407" t="str">
        <f t="shared" si="29"/>
        <v/>
      </c>
      <c r="D286" s="407" t="str">
        <f t="shared" si="26"/>
        <v/>
      </c>
      <c r="E286" s="407" t="str">
        <f t="shared" si="30"/>
        <v/>
      </c>
      <c r="F286" s="407" t="str">
        <f t="shared" si="27"/>
        <v/>
      </c>
      <c r="G286" s="408" t="str">
        <f t="shared" si="28"/>
        <v/>
      </c>
    </row>
    <row r="287" spans="2:7" ht="13">
      <c r="B287" s="406" t="str">
        <f t="shared" si="25"/>
        <v/>
      </c>
      <c r="C287" s="407" t="str">
        <f t="shared" si="29"/>
        <v/>
      </c>
      <c r="D287" s="407" t="str">
        <f t="shared" si="26"/>
        <v/>
      </c>
      <c r="E287" s="407" t="str">
        <f t="shared" si="30"/>
        <v/>
      </c>
      <c r="F287" s="407" t="str">
        <f t="shared" si="27"/>
        <v/>
      </c>
      <c r="G287" s="408" t="str">
        <f t="shared" si="28"/>
        <v/>
      </c>
    </row>
    <row r="288" spans="2:7" ht="13">
      <c r="B288" s="406" t="str">
        <f t="shared" si="25"/>
        <v/>
      </c>
      <c r="C288" s="407" t="str">
        <f t="shared" si="29"/>
        <v/>
      </c>
      <c r="D288" s="407" t="str">
        <f t="shared" si="26"/>
        <v/>
      </c>
      <c r="E288" s="407" t="str">
        <f t="shared" si="30"/>
        <v/>
      </c>
      <c r="F288" s="407" t="str">
        <f t="shared" si="27"/>
        <v/>
      </c>
      <c r="G288" s="408" t="str">
        <f t="shared" si="28"/>
        <v/>
      </c>
    </row>
    <row r="289" spans="2:7" ht="13">
      <c r="B289" s="406" t="str">
        <f t="shared" si="25"/>
        <v/>
      </c>
      <c r="C289" s="407" t="str">
        <f t="shared" si="29"/>
        <v/>
      </c>
      <c r="D289" s="407" t="str">
        <f t="shared" si="26"/>
        <v/>
      </c>
      <c r="E289" s="407" t="str">
        <f t="shared" si="30"/>
        <v/>
      </c>
      <c r="F289" s="407" t="str">
        <f t="shared" si="27"/>
        <v/>
      </c>
      <c r="G289" s="408" t="str">
        <f t="shared" si="28"/>
        <v/>
      </c>
    </row>
    <row r="290" spans="2:7" ht="13">
      <c r="B290" s="406" t="str">
        <f t="shared" si="25"/>
        <v/>
      </c>
      <c r="C290" s="407" t="str">
        <f t="shared" si="29"/>
        <v/>
      </c>
      <c r="D290" s="407" t="str">
        <f t="shared" si="26"/>
        <v/>
      </c>
      <c r="E290" s="407" t="str">
        <f t="shared" si="30"/>
        <v/>
      </c>
      <c r="F290" s="407" t="str">
        <f t="shared" si="27"/>
        <v/>
      </c>
      <c r="G290" s="408" t="str">
        <f t="shared" si="28"/>
        <v/>
      </c>
    </row>
    <row r="291" spans="2:7" ht="13">
      <c r="B291" s="406" t="str">
        <f t="shared" si="25"/>
        <v/>
      </c>
      <c r="C291" s="407" t="str">
        <f t="shared" si="29"/>
        <v/>
      </c>
      <c r="D291" s="407" t="str">
        <f t="shared" si="26"/>
        <v/>
      </c>
      <c r="E291" s="407" t="str">
        <f t="shared" si="30"/>
        <v/>
      </c>
      <c r="F291" s="407" t="str">
        <f t="shared" si="27"/>
        <v/>
      </c>
      <c r="G291" s="408" t="str">
        <f t="shared" si="28"/>
        <v/>
      </c>
    </row>
    <row r="292" spans="2:7" ht="13">
      <c r="B292" s="406" t="str">
        <f t="shared" si="25"/>
        <v/>
      </c>
      <c r="C292" s="407" t="str">
        <f t="shared" si="29"/>
        <v/>
      </c>
      <c r="D292" s="407" t="str">
        <f t="shared" si="26"/>
        <v/>
      </c>
      <c r="E292" s="407" t="str">
        <f t="shared" si="30"/>
        <v/>
      </c>
      <c r="F292" s="407" t="str">
        <f t="shared" si="27"/>
        <v/>
      </c>
      <c r="G292" s="408" t="str">
        <f t="shared" si="28"/>
        <v/>
      </c>
    </row>
    <row r="293" spans="2:7" ht="13">
      <c r="B293" s="406" t="str">
        <f t="shared" si="25"/>
        <v/>
      </c>
      <c r="C293" s="407" t="str">
        <f t="shared" si="29"/>
        <v/>
      </c>
      <c r="D293" s="407" t="str">
        <f t="shared" si="26"/>
        <v/>
      </c>
      <c r="E293" s="407" t="str">
        <f t="shared" si="30"/>
        <v/>
      </c>
      <c r="F293" s="407" t="str">
        <f t="shared" si="27"/>
        <v/>
      </c>
      <c r="G293" s="408" t="str">
        <f t="shared" si="28"/>
        <v/>
      </c>
    </row>
    <row r="294" spans="2:7" ht="13">
      <c r="B294" s="406" t="str">
        <f t="shared" si="25"/>
        <v/>
      </c>
      <c r="C294" s="407" t="str">
        <f t="shared" si="29"/>
        <v/>
      </c>
      <c r="D294" s="407" t="str">
        <f t="shared" si="26"/>
        <v/>
      </c>
      <c r="E294" s="407" t="str">
        <f t="shared" si="30"/>
        <v/>
      </c>
      <c r="F294" s="407" t="str">
        <f t="shared" si="27"/>
        <v/>
      </c>
      <c r="G294" s="408" t="str">
        <f t="shared" si="28"/>
        <v/>
      </c>
    </row>
    <row r="295" spans="2:7" ht="13">
      <c r="B295" s="406" t="str">
        <f t="shared" si="25"/>
        <v/>
      </c>
      <c r="C295" s="407" t="str">
        <f t="shared" si="29"/>
        <v/>
      </c>
      <c r="D295" s="407" t="str">
        <f t="shared" si="26"/>
        <v/>
      </c>
      <c r="E295" s="407" t="str">
        <f t="shared" si="30"/>
        <v/>
      </c>
      <c r="F295" s="407" t="str">
        <f t="shared" si="27"/>
        <v/>
      </c>
      <c r="G295" s="408" t="str">
        <f t="shared" si="28"/>
        <v/>
      </c>
    </row>
    <row r="296" spans="2:7" ht="13">
      <c r="B296" s="406" t="str">
        <f t="shared" si="25"/>
        <v/>
      </c>
      <c r="C296" s="407" t="str">
        <f t="shared" si="29"/>
        <v/>
      </c>
      <c r="D296" s="407" t="str">
        <f t="shared" si="26"/>
        <v/>
      </c>
      <c r="E296" s="407" t="str">
        <f t="shared" si="30"/>
        <v/>
      </c>
      <c r="F296" s="407" t="str">
        <f t="shared" si="27"/>
        <v/>
      </c>
      <c r="G296" s="408" t="str">
        <f t="shared" si="28"/>
        <v/>
      </c>
    </row>
    <row r="297" spans="2:7" ht="13">
      <c r="B297" s="406" t="str">
        <f t="shared" si="25"/>
        <v/>
      </c>
      <c r="C297" s="407" t="str">
        <f t="shared" si="29"/>
        <v/>
      </c>
      <c r="D297" s="407" t="str">
        <f t="shared" si="26"/>
        <v/>
      </c>
      <c r="E297" s="407" t="str">
        <f t="shared" si="30"/>
        <v/>
      </c>
      <c r="F297" s="407" t="str">
        <f t="shared" si="27"/>
        <v/>
      </c>
      <c r="G297" s="408" t="str">
        <f t="shared" si="28"/>
        <v/>
      </c>
    </row>
    <row r="298" spans="2:7" ht="13">
      <c r="B298" s="406" t="str">
        <f t="shared" si="25"/>
        <v/>
      </c>
      <c r="C298" s="407" t="str">
        <f t="shared" si="29"/>
        <v/>
      </c>
      <c r="D298" s="407" t="str">
        <f t="shared" si="26"/>
        <v/>
      </c>
      <c r="E298" s="407" t="str">
        <f t="shared" si="30"/>
        <v/>
      </c>
      <c r="F298" s="407" t="str">
        <f t="shared" si="27"/>
        <v/>
      </c>
      <c r="G298" s="408" t="str">
        <f t="shared" si="28"/>
        <v/>
      </c>
    </row>
    <row r="299" spans="2:7" ht="13">
      <c r="B299" s="406" t="str">
        <f t="shared" si="25"/>
        <v/>
      </c>
      <c r="C299" s="407" t="str">
        <f t="shared" si="29"/>
        <v/>
      </c>
      <c r="D299" s="407" t="str">
        <f t="shared" si="26"/>
        <v/>
      </c>
      <c r="E299" s="407" t="str">
        <f t="shared" si="30"/>
        <v/>
      </c>
      <c r="F299" s="407" t="str">
        <f t="shared" si="27"/>
        <v/>
      </c>
      <c r="G299" s="408" t="str">
        <f t="shared" si="28"/>
        <v/>
      </c>
    </row>
    <row r="300" spans="2:7" ht="13">
      <c r="B300" s="406" t="str">
        <f t="shared" si="25"/>
        <v/>
      </c>
      <c r="C300" s="407" t="str">
        <f t="shared" si="29"/>
        <v/>
      </c>
      <c r="D300" s="407" t="str">
        <f t="shared" si="26"/>
        <v/>
      </c>
      <c r="E300" s="407" t="str">
        <f t="shared" si="30"/>
        <v/>
      </c>
      <c r="F300" s="407" t="str">
        <f t="shared" si="27"/>
        <v/>
      </c>
      <c r="G300" s="408" t="str">
        <f t="shared" si="28"/>
        <v/>
      </c>
    </row>
    <row r="301" spans="2:7" ht="13">
      <c r="B301" s="406" t="str">
        <f t="shared" si="25"/>
        <v/>
      </c>
      <c r="C301" s="407" t="str">
        <f t="shared" si="29"/>
        <v/>
      </c>
      <c r="D301" s="407" t="str">
        <f t="shared" si="26"/>
        <v/>
      </c>
      <c r="E301" s="407" t="str">
        <f t="shared" si="30"/>
        <v/>
      </c>
      <c r="F301" s="407" t="str">
        <f t="shared" si="27"/>
        <v/>
      </c>
      <c r="G301" s="408" t="str">
        <f t="shared" si="28"/>
        <v/>
      </c>
    </row>
    <row r="302" spans="2:7" ht="13">
      <c r="B302" s="406" t="str">
        <f t="shared" si="25"/>
        <v/>
      </c>
      <c r="C302" s="407" t="str">
        <f t="shared" si="29"/>
        <v/>
      </c>
      <c r="D302" s="407" t="str">
        <f t="shared" si="26"/>
        <v/>
      </c>
      <c r="E302" s="407" t="str">
        <f t="shared" si="30"/>
        <v/>
      </c>
      <c r="F302" s="407" t="str">
        <f t="shared" si="27"/>
        <v/>
      </c>
      <c r="G302" s="408" t="str">
        <f t="shared" si="28"/>
        <v/>
      </c>
    </row>
    <row r="303" spans="2:7" ht="13">
      <c r="B303" s="406" t="str">
        <f t="shared" si="25"/>
        <v/>
      </c>
      <c r="C303" s="407" t="str">
        <f t="shared" si="29"/>
        <v/>
      </c>
      <c r="D303" s="407" t="str">
        <f t="shared" si="26"/>
        <v/>
      </c>
      <c r="E303" s="407" t="str">
        <f t="shared" si="30"/>
        <v/>
      </c>
      <c r="F303" s="407" t="str">
        <f t="shared" si="27"/>
        <v/>
      </c>
      <c r="G303" s="408" t="str">
        <f t="shared" si="28"/>
        <v/>
      </c>
    </row>
    <row r="304" spans="2:7" ht="13">
      <c r="B304" s="406" t="str">
        <f t="shared" si="25"/>
        <v/>
      </c>
      <c r="C304" s="407" t="str">
        <f t="shared" si="29"/>
        <v/>
      </c>
      <c r="D304" s="407" t="str">
        <f t="shared" si="26"/>
        <v/>
      </c>
      <c r="E304" s="407" t="str">
        <f t="shared" si="30"/>
        <v/>
      </c>
      <c r="F304" s="407" t="str">
        <f t="shared" si="27"/>
        <v/>
      </c>
      <c r="G304" s="408" t="str">
        <f t="shared" si="28"/>
        <v/>
      </c>
    </row>
    <row r="305" spans="2:7" ht="13">
      <c r="B305" s="406" t="str">
        <f t="shared" si="25"/>
        <v/>
      </c>
      <c r="C305" s="407" t="str">
        <f t="shared" si="29"/>
        <v/>
      </c>
      <c r="D305" s="407" t="str">
        <f t="shared" si="26"/>
        <v/>
      </c>
      <c r="E305" s="407" t="str">
        <f t="shared" si="30"/>
        <v/>
      </c>
      <c r="F305" s="407" t="str">
        <f t="shared" si="27"/>
        <v/>
      </c>
      <c r="G305" s="408" t="str">
        <f t="shared" si="28"/>
        <v/>
      </c>
    </row>
    <row r="306" spans="2:7" ht="13">
      <c r="B306" s="406" t="str">
        <f t="shared" si="25"/>
        <v/>
      </c>
      <c r="C306" s="407" t="str">
        <f t="shared" si="29"/>
        <v/>
      </c>
      <c r="D306" s="407" t="str">
        <f t="shared" si="26"/>
        <v/>
      </c>
      <c r="E306" s="407" t="str">
        <f t="shared" si="30"/>
        <v/>
      </c>
      <c r="F306" s="407" t="str">
        <f t="shared" si="27"/>
        <v/>
      </c>
      <c r="G306" s="408" t="str">
        <f t="shared" si="28"/>
        <v/>
      </c>
    </row>
    <row r="307" spans="2:7" ht="13">
      <c r="B307" s="406" t="str">
        <f t="shared" si="25"/>
        <v/>
      </c>
      <c r="C307" s="407" t="str">
        <f t="shared" si="29"/>
        <v/>
      </c>
      <c r="D307" s="407" t="str">
        <f t="shared" si="26"/>
        <v/>
      </c>
      <c r="E307" s="407" t="str">
        <f t="shared" si="30"/>
        <v/>
      </c>
      <c r="F307" s="407" t="str">
        <f t="shared" si="27"/>
        <v/>
      </c>
      <c r="G307" s="408" t="str">
        <f t="shared" si="28"/>
        <v/>
      </c>
    </row>
    <row r="308" spans="2:7" ht="13">
      <c r="B308" s="406" t="str">
        <f t="shared" si="25"/>
        <v/>
      </c>
      <c r="C308" s="407" t="str">
        <f t="shared" si="29"/>
        <v/>
      </c>
      <c r="D308" s="407" t="str">
        <f t="shared" si="26"/>
        <v/>
      </c>
      <c r="E308" s="407" t="str">
        <f t="shared" si="30"/>
        <v/>
      </c>
      <c r="F308" s="407" t="str">
        <f t="shared" si="27"/>
        <v/>
      </c>
      <c r="G308" s="408" t="str">
        <f t="shared" si="28"/>
        <v/>
      </c>
    </row>
    <row r="309" spans="2:7" ht="13">
      <c r="B309" s="406" t="str">
        <f t="shared" si="25"/>
        <v/>
      </c>
      <c r="C309" s="407" t="str">
        <f t="shared" si="29"/>
        <v/>
      </c>
      <c r="D309" s="407" t="str">
        <f t="shared" si="26"/>
        <v/>
      </c>
      <c r="E309" s="407" t="str">
        <f t="shared" si="30"/>
        <v/>
      </c>
      <c r="F309" s="407" t="str">
        <f t="shared" si="27"/>
        <v/>
      </c>
      <c r="G309" s="408" t="str">
        <f t="shared" si="28"/>
        <v/>
      </c>
    </row>
    <row r="310" spans="2:7" ht="13">
      <c r="B310" s="406" t="str">
        <f t="shared" si="25"/>
        <v/>
      </c>
      <c r="C310" s="407" t="str">
        <f t="shared" si="29"/>
        <v/>
      </c>
      <c r="D310" s="407" t="str">
        <f t="shared" si="26"/>
        <v/>
      </c>
      <c r="E310" s="407" t="str">
        <f t="shared" si="30"/>
        <v/>
      </c>
      <c r="F310" s="407" t="str">
        <f t="shared" si="27"/>
        <v/>
      </c>
      <c r="G310" s="408" t="str">
        <f t="shared" si="28"/>
        <v/>
      </c>
    </row>
    <row r="311" spans="2:7" ht="13">
      <c r="B311" s="406" t="str">
        <f t="shared" si="25"/>
        <v/>
      </c>
      <c r="C311" s="407" t="str">
        <f t="shared" si="29"/>
        <v/>
      </c>
      <c r="D311" s="407" t="str">
        <f t="shared" si="26"/>
        <v/>
      </c>
      <c r="E311" s="407" t="str">
        <f t="shared" si="30"/>
        <v/>
      </c>
      <c r="F311" s="407" t="str">
        <f t="shared" si="27"/>
        <v/>
      </c>
      <c r="G311" s="408" t="str">
        <f t="shared" si="28"/>
        <v/>
      </c>
    </row>
    <row r="312" spans="2:7" ht="13">
      <c r="B312" s="406" t="str">
        <f t="shared" si="25"/>
        <v/>
      </c>
      <c r="C312" s="407" t="str">
        <f t="shared" si="29"/>
        <v/>
      </c>
      <c r="D312" s="407" t="str">
        <f t="shared" si="26"/>
        <v/>
      </c>
      <c r="E312" s="407" t="str">
        <f t="shared" si="30"/>
        <v/>
      </c>
      <c r="F312" s="407" t="str">
        <f t="shared" si="27"/>
        <v/>
      </c>
      <c r="G312" s="408" t="str">
        <f t="shared" si="28"/>
        <v/>
      </c>
    </row>
    <row r="313" spans="2:7" ht="13">
      <c r="B313" s="406" t="str">
        <f t="shared" si="25"/>
        <v/>
      </c>
      <c r="C313" s="407" t="str">
        <f t="shared" si="29"/>
        <v/>
      </c>
      <c r="D313" s="407" t="str">
        <f t="shared" si="26"/>
        <v/>
      </c>
      <c r="E313" s="407" t="str">
        <f t="shared" si="30"/>
        <v/>
      </c>
      <c r="F313" s="407" t="str">
        <f t="shared" si="27"/>
        <v/>
      </c>
      <c r="G313" s="408" t="str">
        <f t="shared" si="28"/>
        <v/>
      </c>
    </row>
    <row r="314" spans="2:7" ht="13">
      <c r="B314" s="406" t="str">
        <f t="shared" si="25"/>
        <v/>
      </c>
      <c r="C314" s="407" t="str">
        <f t="shared" si="29"/>
        <v/>
      </c>
      <c r="D314" s="407" t="str">
        <f t="shared" si="26"/>
        <v/>
      </c>
      <c r="E314" s="407" t="str">
        <f t="shared" si="30"/>
        <v/>
      </c>
      <c r="F314" s="407" t="str">
        <f t="shared" si="27"/>
        <v/>
      </c>
      <c r="G314" s="408" t="str">
        <f t="shared" si="28"/>
        <v/>
      </c>
    </row>
    <row r="315" spans="2:7" ht="13">
      <c r="B315" s="406" t="str">
        <f t="shared" si="25"/>
        <v/>
      </c>
      <c r="C315" s="407" t="str">
        <f t="shared" si="29"/>
        <v/>
      </c>
      <c r="D315" s="407" t="str">
        <f t="shared" si="26"/>
        <v/>
      </c>
      <c r="E315" s="407" t="str">
        <f t="shared" si="30"/>
        <v/>
      </c>
      <c r="F315" s="407" t="str">
        <f t="shared" si="27"/>
        <v/>
      </c>
      <c r="G315" s="408" t="str">
        <f t="shared" si="28"/>
        <v/>
      </c>
    </row>
    <row r="316" spans="2:7" ht="13">
      <c r="B316" s="406" t="str">
        <f t="shared" si="25"/>
        <v/>
      </c>
      <c r="C316" s="407" t="str">
        <f t="shared" si="29"/>
        <v/>
      </c>
      <c r="D316" s="407" t="str">
        <f t="shared" si="26"/>
        <v/>
      </c>
      <c r="E316" s="407" t="str">
        <f t="shared" si="30"/>
        <v/>
      </c>
      <c r="F316" s="407" t="str">
        <f t="shared" si="27"/>
        <v/>
      </c>
      <c r="G316" s="408" t="str">
        <f t="shared" si="28"/>
        <v/>
      </c>
    </row>
    <row r="317" spans="2:7" ht="13">
      <c r="B317" s="406" t="str">
        <f t="shared" si="25"/>
        <v/>
      </c>
      <c r="C317" s="407" t="str">
        <f t="shared" si="29"/>
        <v/>
      </c>
      <c r="D317" s="407" t="str">
        <f t="shared" si="26"/>
        <v/>
      </c>
      <c r="E317" s="407" t="str">
        <f t="shared" si="30"/>
        <v/>
      </c>
      <c r="F317" s="407" t="str">
        <f t="shared" si="27"/>
        <v/>
      </c>
      <c r="G317" s="408" t="str">
        <f t="shared" si="28"/>
        <v/>
      </c>
    </row>
    <row r="318" spans="2:7" ht="13">
      <c r="B318" s="406" t="str">
        <f t="shared" si="25"/>
        <v/>
      </c>
      <c r="C318" s="407" t="str">
        <f t="shared" si="29"/>
        <v/>
      </c>
      <c r="D318" s="407" t="str">
        <f t="shared" si="26"/>
        <v/>
      </c>
      <c r="E318" s="407" t="str">
        <f t="shared" si="30"/>
        <v/>
      </c>
      <c r="F318" s="407" t="str">
        <f t="shared" si="27"/>
        <v/>
      </c>
      <c r="G318" s="408" t="str">
        <f t="shared" si="28"/>
        <v/>
      </c>
    </row>
    <row r="319" spans="2:7" ht="13">
      <c r="B319" s="406" t="str">
        <f t="shared" si="25"/>
        <v/>
      </c>
      <c r="C319" s="407" t="str">
        <f t="shared" si="29"/>
        <v/>
      </c>
      <c r="D319" s="407" t="str">
        <f t="shared" si="26"/>
        <v/>
      </c>
      <c r="E319" s="407" t="str">
        <f t="shared" si="30"/>
        <v/>
      </c>
      <c r="F319" s="407" t="str">
        <f t="shared" si="27"/>
        <v/>
      </c>
      <c r="G319" s="408" t="str">
        <f t="shared" si="28"/>
        <v/>
      </c>
    </row>
    <row r="320" spans="2:7" ht="13">
      <c r="B320" s="406" t="str">
        <f t="shared" si="25"/>
        <v/>
      </c>
      <c r="C320" s="407" t="str">
        <f t="shared" si="29"/>
        <v/>
      </c>
      <c r="D320" s="407" t="str">
        <f t="shared" si="26"/>
        <v/>
      </c>
      <c r="E320" s="407" t="str">
        <f t="shared" si="30"/>
        <v/>
      </c>
      <c r="F320" s="407" t="str">
        <f t="shared" si="27"/>
        <v/>
      </c>
      <c r="G320" s="408" t="str">
        <f t="shared" si="28"/>
        <v/>
      </c>
    </row>
    <row r="321" spans="2:7" ht="13">
      <c r="B321" s="406" t="str">
        <f t="shared" si="25"/>
        <v/>
      </c>
      <c r="C321" s="407" t="str">
        <f t="shared" si="29"/>
        <v/>
      </c>
      <c r="D321" s="407" t="str">
        <f t="shared" si="26"/>
        <v/>
      </c>
      <c r="E321" s="407" t="str">
        <f t="shared" si="30"/>
        <v/>
      </c>
      <c r="F321" s="407" t="str">
        <f t="shared" si="27"/>
        <v/>
      </c>
      <c r="G321" s="408" t="str">
        <f t="shared" si="28"/>
        <v/>
      </c>
    </row>
    <row r="322" spans="2:7" ht="13">
      <c r="B322" s="406" t="str">
        <f t="shared" si="25"/>
        <v/>
      </c>
      <c r="C322" s="407" t="str">
        <f t="shared" si="29"/>
        <v/>
      </c>
      <c r="D322" s="407" t="str">
        <f t="shared" si="26"/>
        <v/>
      </c>
      <c r="E322" s="407" t="str">
        <f t="shared" si="30"/>
        <v/>
      </c>
      <c r="F322" s="407" t="str">
        <f t="shared" si="27"/>
        <v/>
      </c>
      <c r="G322" s="408" t="str">
        <f t="shared" si="28"/>
        <v/>
      </c>
    </row>
    <row r="323" spans="2:7" ht="13">
      <c r="B323" s="406" t="str">
        <f t="shared" si="25"/>
        <v/>
      </c>
      <c r="C323" s="407" t="str">
        <f t="shared" si="29"/>
        <v/>
      </c>
      <c r="D323" s="407" t="str">
        <f t="shared" si="26"/>
        <v/>
      </c>
      <c r="E323" s="407" t="str">
        <f t="shared" si="30"/>
        <v/>
      </c>
      <c r="F323" s="407" t="str">
        <f t="shared" si="27"/>
        <v/>
      </c>
      <c r="G323" s="408" t="str">
        <f t="shared" si="28"/>
        <v/>
      </c>
    </row>
    <row r="324" spans="2:7" ht="13">
      <c r="B324" s="409" t="str">
        <f t="shared" si="25"/>
        <v/>
      </c>
      <c r="C324" s="410" t="str">
        <f t="shared" si="29"/>
        <v/>
      </c>
      <c r="D324" s="410" t="str">
        <f t="shared" si="26"/>
        <v/>
      </c>
      <c r="E324" s="410" t="str">
        <f t="shared" si="30"/>
        <v/>
      </c>
      <c r="F324" s="410" t="str">
        <f t="shared" si="27"/>
        <v/>
      </c>
      <c r="G324" s="411" t="str">
        <f t="shared" si="28"/>
        <v/>
      </c>
    </row>
    <row r="325" spans="2:7" ht="13">
      <c r="B325" s="409" t="str">
        <f t="shared" si="25"/>
        <v/>
      </c>
      <c r="C325" s="410" t="str">
        <f t="shared" si="29"/>
        <v/>
      </c>
      <c r="D325" s="410" t="str">
        <f t="shared" si="26"/>
        <v/>
      </c>
      <c r="E325" s="410" t="str">
        <f t="shared" si="30"/>
        <v/>
      </c>
      <c r="F325" s="410" t="str">
        <f t="shared" si="27"/>
        <v/>
      </c>
      <c r="G325" s="411" t="str">
        <f t="shared" si="28"/>
        <v/>
      </c>
    </row>
    <row r="326" spans="2:7" ht="13">
      <c r="B326" s="409" t="str">
        <f t="shared" si="25"/>
        <v/>
      </c>
      <c r="C326" s="410" t="str">
        <f t="shared" si="29"/>
        <v/>
      </c>
      <c r="D326" s="410" t="str">
        <f t="shared" si="26"/>
        <v/>
      </c>
      <c r="E326" s="410" t="str">
        <f t="shared" si="30"/>
        <v/>
      </c>
      <c r="F326" s="410" t="str">
        <f t="shared" si="27"/>
        <v/>
      </c>
      <c r="G326" s="411" t="str">
        <f t="shared" si="28"/>
        <v/>
      </c>
    </row>
    <row r="327" spans="2:7" ht="13">
      <c r="B327" s="409" t="str">
        <f t="shared" si="25"/>
        <v/>
      </c>
      <c r="C327" s="410" t="str">
        <f t="shared" si="29"/>
        <v/>
      </c>
      <c r="D327" s="410" t="str">
        <f t="shared" si="26"/>
        <v/>
      </c>
      <c r="E327" s="410" t="str">
        <f t="shared" si="30"/>
        <v/>
      </c>
      <c r="F327" s="410" t="str">
        <f t="shared" si="27"/>
        <v/>
      </c>
      <c r="G327" s="411" t="str">
        <f t="shared" si="28"/>
        <v/>
      </c>
    </row>
    <row r="328" spans="2:7" ht="13">
      <c r="B328" s="409" t="str">
        <f t="shared" si="25"/>
        <v/>
      </c>
      <c r="C328" s="410" t="str">
        <f t="shared" si="29"/>
        <v/>
      </c>
      <c r="D328" s="410" t="str">
        <f t="shared" si="26"/>
        <v/>
      </c>
      <c r="E328" s="410" t="str">
        <f t="shared" si="30"/>
        <v/>
      </c>
      <c r="F328" s="410" t="str">
        <f t="shared" si="27"/>
        <v/>
      </c>
      <c r="G328" s="411" t="str">
        <f t="shared" si="28"/>
        <v/>
      </c>
    </row>
    <row r="329" spans="2:7" ht="13">
      <c r="B329" s="409" t="str">
        <f t="shared" si="25"/>
        <v/>
      </c>
      <c r="C329" s="410" t="str">
        <f t="shared" si="29"/>
        <v/>
      </c>
      <c r="D329" s="410" t="str">
        <f t="shared" si="26"/>
        <v/>
      </c>
      <c r="E329" s="410" t="str">
        <f t="shared" si="30"/>
        <v/>
      </c>
      <c r="F329" s="410" t="str">
        <f t="shared" si="27"/>
        <v/>
      </c>
      <c r="G329" s="411" t="str">
        <f t="shared" si="28"/>
        <v/>
      </c>
    </row>
    <row r="330" spans="2:7" ht="13">
      <c r="B330" s="409" t="str">
        <f t="shared" si="25"/>
        <v/>
      </c>
      <c r="C330" s="410" t="str">
        <f t="shared" si="29"/>
        <v/>
      </c>
      <c r="D330" s="410" t="str">
        <f t="shared" si="26"/>
        <v/>
      </c>
      <c r="E330" s="410" t="str">
        <f t="shared" si="30"/>
        <v/>
      </c>
      <c r="F330" s="410" t="str">
        <f t="shared" si="27"/>
        <v/>
      </c>
      <c r="G330" s="411" t="str">
        <f t="shared" si="28"/>
        <v/>
      </c>
    </row>
    <row r="331" spans="2:7" ht="13">
      <c r="B331" s="409" t="str">
        <f t="shared" si="25"/>
        <v/>
      </c>
      <c r="C331" s="410" t="str">
        <f t="shared" si="29"/>
        <v/>
      </c>
      <c r="D331" s="410" t="str">
        <f t="shared" si="26"/>
        <v/>
      </c>
      <c r="E331" s="410" t="str">
        <f t="shared" si="30"/>
        <v/>
      </c>
      <c r="F331" s="410" t="str">
        <f t="shared" si="27"/>
        <v/>
      </c>
      <c r="G331" s="411" t="str">
        <f t="shared" si="28"/>
        <v/>
      </c>
    </row>
    <row r="332" spans="2:7" ht="13">
      <c r="B332" s="409" t="str">
        <f t="shared" si="25"/>
        <v/>
      </c>
      <c r="C332" s="410" t="str">
        <f t="shared" si="29"/>
        <v/>
      </c>
      <c r="D332" s="410" t="str">
        <f t="shared" si="26"/>
        <v/>
      </c>
      <c r="E332" s="410" t="str">
        <f t="shared" si="30"/>
        <v/>
      </c>
      <c r="F332" s="410" t="str">
        <f t="shared" si="27"/>
        <v/>
      </c>
      <c r="G332" s="411" t="str">
        <f t="shared" si="28"/>
        <v/>
      </c>
    </row>
    <row r="333" spans="2:7" ht="13">
      <c r="B333" s="409" t="str">
        <f t="shared" si="25"/>
        <v/>
      </c>
      <c r="C333" s="410" t="str">
        <f t="shared" si="29"/>
        <v/>
      </c>
      <c r="D333" s="410" t="str">
        <f t="shared" si="26"/>
        <v/>
      </c>
      <c r="E333" s="410" t="str">
        <f t="shared" si="30"/>
        <v/>
      </c>
      <c r="F333" s="410" t="str">
        <f t="shared" si="27"/>
        <v/>
      </c>
      <c r="G333" s="411" t="str">
        <f t="shared" si="28"/>
        <v/>
      </c>
    </row>
    <row r="334" spans="2:7" ht="13">
      <c r="B334" s="409" t="str">
        <f t="shared" si="25"/>
        <v/>
      </c>
      <c r="C334" s="410" t="str">
        <f t="shared" si="29"/>
        <v/>
      </c>
      <c r="D334" s="410" t="str">
        <f t="shared" si="26"/>
        <v/>
      </c>
      <c r="E334" s="410" t="str">
        <f t="shared" si="30"/>
        <v/>
      </c>
      <c r="F334" s="410" t="str">
        <f t="shared" si="27"/>
        <v/>
      </c>
      <c r="G334" s="411" t="str">
        <f t="shared" si="28"/>
        <v/>
      </c>
    </row>
    <row r="335" spans="2:7" ht="13">
      <c r="B335" s="409" t="str">
        <f t="shared" si="25"/>
        <v/>
      </c>
      <c r="C335" s="410" t="str">
        <f t="shared" si="29"/>
        <v/>
      </c>
      <c r="D335" s="410" t="str">
        <f t="shared" si="26"/>
        <v/>
      </c>
      <c r="E335" s="410" t="str">
        <f t="shared" si="30"/>
        <v/>
      </c>
      <c r="F335" s="410" t="str">
        <f t="shared" si="27"/>
        <v/>
      </c>
      <c r="G335" s="411" t="str">
        <f t="shared" si="28"/>
        <v/>
      </c>
    </row>
    <row r="336" spans="2:7" ht="13">
      <c r="B336" s="409" t="str">
        <f t="shared" ref="B336:B375" si="31">IF(((ROW()-nSkip)&lt;=$G$9),(ROW()-nSkip), "")</f>
        <v/>
      </c>
      <c r="C336" s="410" t="str">
        <f t="shared" si="29"/>
        <v/>
      </c>
      <c r="D336" s="410" t="str">
        <f t="shared" si="26"/>
        <v/>
      </c>
      <c r="E336" s="410" t="str">
        <f t="shared" si="30"/>
        <v/>
      </c>
      <c r="F336" s="410" t="str">
        <f t="shared" si="27"/>
        <v/>
      </c>
      <c r="G336" s="411" t="str">
        <f t="shared" si="28"/>
        <v/>
      </c>
    </row>
    <row r="337" spans="2:7" ht="13">
      <c r="B337" s="409" t="str">
        <f t="shared" si="31"/>
        <v/>
      </c>
      <c r="C337" s="410" t="str">
        <f t="shared" si="29"/>
        <v/>
      </c>
      <c r="D337" s="410" t="str">
        <f t="shared" ref="D337:D375" si="32">IF(((ROW()-nSkip)&lt;=$G$9),-PPMT(($G$5/$G$8),B337,$G$9,$G$4),"")</f>
        <v/>
      </c>
      <c r="E337" s="410" t="str">
        <f t="shared" si="30"/>
        <v/>
      </c>
      <c r="F337" s="410" t="str">
        <f t="shared" ref="F337:F375" si="33">IF(((ROW()-nSkip)&lt;=$G$9),(E337+F336),"")</f>
        <v/>
      </c>
      <c r="G337" s="411" t="str">
        <f t="shared" ref="G337:G375" si="34">IF(((ROW()-nSkip)&lt;=$G$9),(G336-D337),"")</f>
        <v/>
      </c>
    </row>
    <row r="338" spans="2:7" ht="13">
      <c r="B338" s="409" t="str">
        <f t="shared" si="31"/>
        <v/>
      </c>
      <c r="C338" s="410" t="str">
        <f t="shared" ref="C338:C375" si="35">IF((B338&lt;=$G$9),-PMT(($G$5/$G$8),$G$9,$G$4),"")</f>
        <v/>
      </c>
      <c r="D338" s="410" t="str">
        <f t="shared" si="32"/>
        <v/>
      </c>
      <c r="E338" s="410" t="str">
        <f t="shared" ref="E338:E375" si="36">IF(((ROW()-nSkip)&lt;=$G$9),-IPMT(($G$5/$G$8),B338,$G$9,$G$4),"")</f>
        <v/>
      </c>
      <c r="F338" s="410" t="str">
        <f t="shared" si="33"/>
        <v/>
      </c>
      <c r="G338" s="411" t="str">
        <f t="shared" si="34"/>
        <v/>
      </c>
    </row>
    <row r="339" spans="2:7" ht="13">
      <c r="B339" s="409" t="str">
        <f t="shared" si="31"/>
        <v/>
      </c>
      <c r="C339" s="410" t="str">
        <f t="shared" si="35"/>
        <v/>
      </c>
      <c r="D339" s="410" t="str">
        <f t="shared" si="32"/>
        <v/>
      </c>
      <c r="E339" s="410" t="str">
        <f t="shared" si="36"/>
        <v/>
      </c>
      <c r="F339" s="410" t="str">
        <f t="shared" si="33"/>
        <v/>
      </c>
      <c r="G339" s="411" t="str">
        <f t="shared" si="34"/>
        <v/>
      </c>
    </row>
    <row r="340" spans="2:7" ht="13">
      <c r="B340" s="409" t="str">
        <f t="shared" si="31"/>
        <v/>
      </c>
      <c r="C340" s="410" t="str">
        <f t="shared" si="35"/>
        <v/>
      </c>
      <c r="D340" s="410" t="str">
        <f t="shared" si="32"/>
        <v/>
      </c>
      <c r="E340" s="410" t="str">
        <f t="shared" si="36"/>
        <v/>
      </c>
      <c r="F340" s="410" t="str">
        <f t="shared" si="33"/>
        <v/>
      </c>
      <c r="G340" s="411" t="str">
        <f t="shared" si="34"/>
        <v/>
      </c>
    </row>
    <row r="341" spans="2:7" ht="13">
      <c r="B341" s="409" t="str">
        <f t="shared" si="31"/>
        <v/>
      </c>
      <c r="C341" s="410" t="str">
        <f t="shared" si="35"/>
        <v/>
      </c>
      <c r="D341" s="410" t="str">
        <f t="shared" si="32"/>
        <v/>
      </c>
      <c r="E341" s="410" t="str">
        <f t="shared" si="36"/>
        <v/>
      </c>
      <c r="F341" s="410" t="str">
        <f t="shared" si="33"/>
        <v/>
      </c>
      <c r="G341" s="411" t="str">
        <f t="shared" si="34"/>
        <v/>
      </c>
    </row>
    <row r="342" spans="2:7" ht="13">
      <c r="B342" s="409" t="str">
        <f t="shared" si="31"/>
        <v/>
      </c>
      <c r="C342" s="410" t="str">
        <f t="shared" si="35"/>
        <v/>
      </c>
      <c r="D342" s="410" t="str">
        <f t="shared" si="32"/>
        <v/>
      </c>
      <c r="E342" s="410" t="str">
        <f t="shared" si="36"/>
        <v/>
      </c>
      <c r="F342" s="410" t="str">
        <f t="shared" si="33"/>
        <v/>
      </c>
      <c r="G342" s="411" t="str">
        <f t="shared" si="34"/>
        <v/>
      </c>
    </row>
    <row r="343" spans="2:7" ht="13">
      <c r="B343" s="409" t="str">
        <f t="shared" si="31"/>
        <v/>
      </c>
      <c r="C343" s="410" t="str">
        <f t="shared" si="35"/>
        <v/>
      </c>
      <c r="D343" s="410" t="str">
        <f t="shared" si="32"/>
        <v/>
      </c>
      <c r="E343" s="410" t="str">
        <f t="shared" si="36"/>
        <v/>
      </c>
      <c r="F343" s="410" t="str">
        <f t="shared" si="33"/>
        <v/>
      </c>
      <c r="G343" s="411" t="str">
        <f t="shared" si="34"/>
        <v/>
      </c>
    </row>
    <row r="344" spans="2:7" ht="13">
      <c r="B344" s="409" t="str">
        <f t="shared" si="31"/>
        <v/>
      </c>
      <c r="C344" s="410" t="str">
        <f t="shared" si="35"/>
        <v/>
      </c>
      <c r="D344" s="410" t="str">
        <f t="shared" si="32"/>
        <v/>
      </c>
      <c r="E344" s="410" t="str">
        <f t="shared" si="36"/>
        <v/>
      </c>
      <c r="F344" s="410" t="str">
        <f t="shared" si="33"/>
        <v/>
      </c>
      <c r="G344" s="411" t="str">
        <f t="shared" si="34"/>
        <v/>
      </c>
    </row>
    <row r="345" spans="2:7" ht="13">
      <c r="B345" s="409" t="str">
        <f t="shared" si="31"/>
        <v/>
      </c>
      <c r="C345" s="410" t="str">
        <f t="shared" si="35"/>
        <v/>
      </c>
      <c r="D345" s="410" t="str">
        <f t="shared" si="32"/>
        <v/>
      </c>
      <c r="E345" s="410" t="str">
        <f t="shared" si="36"/>
        <v/>
      </c>
      <c r="F345" s="410" t="str">
        <f t="shared" si="33"/>
        <v/>
      </c>
      <c r="G345" s="411" t="str">
        <f t="shared" si="34"/>
        <v/>
      </c>
    </row>
    <row r="346" spans="2:7" ht="13">
      <c r="B346" s="409" t="str">
        <f t="shared" si="31"/>
        <v/>
      </c>
      <c r="C346" s="410" t="str">
        <f t="shared" si="35"/>
        <v/>
      </c>
      <c r="D346" s="410" t="str">
        <f t="shared" si="32"/>
        <v/>
      </c>
      <c r="E346" s="410" t="str">
        <f t="shared" si="36"/>
        <v/>
      </c>
      <c r="F346" s="410" t="str">
        <f t="shared" si="33"/>
        <v/>
      </c>
      <c r="G346" s="411" t="str">
        <f t="shared" si="34"/>
        <v/>
      </c>
    </row>
    <row r="347" spans="2:7" ht="13">
      <c r="B347" s="409" t="str">
        <f t="shared" si="31"/>
        <v/>
      </c>
      <c r="C347" s="410" t="str">
        <f t="shared" si="35"/>
        <v/>
      </c>
      <c r="D347" s="410" t="str">
        <f t="shared" si="32"/>
        <v/>
      </c>
      <c r="E347" s="410" t="str">
        <f t="shared" si="36"/>
        <v/>
      </c>
      <c r="F347" s="410" t="str">
        <f t="shared" si="33"/>
        <v/>
      </c>
      <c r="G347" s="411" t="str">
        <f t="shared" si="34"/>
        <v/>
      </c>
    </row>
    <row r="348" spans="2:7" ht="13">
      <c r="B348" s="409" t="str">
        <f t="shared" si="31"/>
        <v/>
      </c>
      <c r="C348" s="410" t="str">
        <f t="shared" si="35"/>
        <v/>
      </c>
      <c r="D348" s="410" t="str">
        <f t="shared" si="32"/>
        <v/>
      </c>
      <c r="E348" s="410" t="str">
        <f t="shared" si="36"/>
        <v/>
      </c>
      <c r="F348" s="410" t="str">
        <f t="shared" si="33"/>
        <v/>
      </c>
      <c r="G348" s="411" t="str">
        <f t="shared" si="34"/>
        <v/>
      </c>
    </row>
    <row r="349" spans="2:7" ht="13">
      <c r="B349" s="409" t="str">
        <f t="shared" si="31"/>
        <v/>
      </c>
      <c r="C349" s="410" t="str">
        <f t="shared" si="35"/>
        <v/>
      </c>
      <c r="D349" s="410" t="str">
        <f t="shared" si="32"/>
        <v/>
      </c>
      <c r="E349" s="410" t="str">
        <f t="shared" si="36"/>
        <v/>
      </c>
      <c r="F349" s="410" t="str">
        <f t="shared" si="33"/>
        <v/>
      </c>
      <c r="G349" s="411" t="str">
        <f t="shared" si="34"/>
        <v/>
      </c>
    </row>
    <row r="350" spans="2:7" ht="13">
      <c r="B350" s="409" t="str">
        <f t="shared" si="31"/>
        <v/>
      </c>
      <c r="C350" s="410" t="str">
        <f t="shared" si="35"/>
        <v/>
      </c>
      <c r="D350" s="410" t="str">
        <f t="shared" si="32"/>
        <v/>
      </c>
      <c r="E350" s="410" t="str">
        <f t="shared" si="36"/>
        <v/>
      </c>
      <c r="F350" s="410" t="str">
        <f t="shared" si="33"/>
        <v/>
      </c>
      <c r="G350" s="411" t="str">
        <f t="shared" si="34"/>
        <v/>
      </c>
    </row>
    <row r="351" spans="2:7" ht="13">
      <c r="B351" s="409" t="str">
        <f t="shared" si="31"/>
        <v/>
      </c>
      <c r="C351" s="410" t="str">
        <f t="shared" si="35"/>
        <v/>
      </c>
      <c r="D351" s="410" t="str">
        <f t="shared" si="32"/>
        <v/>
      </c>
      <c r="E351" s="410" t="str">
        <f t="shared" si="36"/>
        <v/>
      </c>
      <c r="F351" s="410" t="str">
        <f t="shared" si="33"/>
        <v/>
      </c>
      <c r="G351" s="411" t="str">
        <f t="shared" si="34"/>
        <v/>
      </c>
    </row>
    <row r="352" spans="2:7" ht="13">
      <c r="B352" s="409" t="str">
        <f t="shared" si="31"/>
        <v/>
      </c>
      <c r="C352" s="410" t="str">
        <f t="shared" si="35"/>
        <v/>
      </c>
      <c r="D352" s="410" t="str">
        <f t="shared" si="32"/>
        <v/>
      </c>
      <c r="E352" s="410" t="str">
        <f t="shared" si="36"/>
        <v/>
      </c>
      <c r="F352" s="410" t="str">
        <f t="shared" si="33"/>
        <v/>
      </c>
      <c r="G352" s="411" t="str">
        <f t="shared" si="34"/>
        <v/>
      </c>
    </row>
    <row r="353" spans="2:7" ht="13">
      <c r="B353" s="409" t="str">
        <f t="shared" si="31"/>
        <v/>
      </c>
      <c r="C353" s="410" t="str">
        <f t="shared" si="35"/>
        <v/>
      </c>
      <c r="D353" s="410" t="str">
        <f t="shared" si="32"/>
        <v/>
      </c>
      <c r="E353" s="410" t="str">
        <f t="shared" si="36"/>
        <v/>
      </c>
      <c r="F353" s="410" t="str">
        <f t="shared" si="33"/>
        <v/>
      </c>
      <c r="G353" s="411" t="str">
        <f t="shared" si="34"/>
        <v/>
      </c>
    </row>
    <row r="354" spans="2:7" ht="13">
      <c r="B354" s="409" t="str">
        <f t="shared" si="31"/>
        <v/>
      </c>
      <c r="C354" s="410" t="str">
        <f t="shared" si="35"/>
        <v/>
      </c>
      <c r="D354" s="410" t="str">
        <f t="shared" si="32"/>
        <v/>
      </c>
      <c r="E354" s="410" t="str">
        <f t="shared" si="36"/>
        <v/>
      </c>
      <c r="F354" s="410" t="str">
        <f t="shared" si="33"/>
        <v/>
      </c>
      <c r="G354" s="411" t="str">
        <f t="shared" si="34"/>
        <v/>
      </c>
    </row>
    <row r="355" spans="2:7" ht="13">
      <c r="B355" s="409" t="str">
        <f t="shared" si="31"/>
        <v/>
      </c>
      <c r="C355" s="410" t="str">
        <f t="shared" si="35"/>
        <v/>
      </c>
      <c r="D355" s="410" t="str">
        <f t="shared" si="32"/>
        <v/>
      </c>
      <c r="E355" s="410" t="str">
        <f t="shared" si="36"/>
        <v/>
      </c>
      <c r="F355" s="410" t="str">
        <f t="shared" si="33"/>
        <v/>
      </c>
      <c r="G355" s="411" t="str">
        <f t="shared" si="34"/>
        <v/>
      </c>
    </row>
    <row r="356" spans="2:7" ht="13">
      <c r="B356" s="409" t="str">
        <f t="shared" si="31"/>
        <v/>
      </c>
      <c r="C356" s="410" t="str">
        <f t="shared" si="35"/>
        <v/>
      </c>
      <c r="D356" s="410" t="str">
        <f t="shared" si="32"/>
        <v/>
      </c>
      <c r="E356" s="410" t="str">
        <f t="shared" si="36"/>
        <v/>
      </c>
      <c r="F356" s="410" t="str">
        <f t="shared" si="33"/>
        <v/>
      </c>
      <c r="G356" s="411" t="str">
        <f t="shared" si="34"/>
        <v/>
      </c>
    </row>
    <row r="357" spans="2:7" ht="13">
      <c r="B357" s="409" t="str">
        <f t="shared" si="31"/>
        <v/>
      </c>
      <c r="C357" s="410" t="str">
        <f t="shared" si="35"/>
        <v/>
      </c>
      <c r="D357" s="410" t="str">
        <f t="shared" si="32"/>
        <v/>
      </c>
      <c r="E357" s="410" t="str">
        <f t="shared" si="36"/>
        <v/>
      </c>
      <c r="F357" s="410" t="str">
        <f t="shared" si="33"/>
        <v/>
      </c>
      <c r="G357" s="411" t="str">
        <f t="shared" si="34"/>
        <v/>
      </c>
    </row>
    <row r="358" spans="2:7" ht="13">
      <c r="B358" s="409" t="str">
        <f t="shared" si="31"/>
        <v/>
      </c>
      <c r="C358" s="410" t="str">
        <f t="shared" si="35"/>
        <v/>
      </c>
      <c r="D358" s="410" t="str">
        <f t="shared" si="32"/>
        <v/>
      </c>
      <c r="E358" s="410" t="str">
        <f t="shared" si="36"/>
        <v/>
      </c>
      <c r="F358" s="410" t="str">
        <f t="shared" si="33"/>
        <v/>
      </c>
      <c r="G358" s="411" t="str">
        <f t="shared" si="34"/>
        <v/>
      </c>
    </row>
    <row r="359" spans="2:7" ht="13">
      <c r="B359" s="409" t="str">
        <f t="shared" si="31"/>
        <v/>
      </c>
      <c r="C359" s="410" t="str">
        <f t="shared" si="35"/>
        <v/>
      </c>
      <c r="D359" s="410" t="str">
        <f t="shared" si="32"/>
        <v/>
      </c>
      <c r="E359" s="410" t="str">
        <f t="shared" si="36"/>
        <v/>
      </c>
      <c r="F359" s="410" t="str">
        <f t="shared" si="33"/>
        <v/>
      </c>
      <c r="G359" s="411" t="str">
        <f t="shared" si="34"/>
        <v/>
      </c>
    </row>
    <row r="360" spans="2:7" ht="13">
      <c r="B360" s="409" t="str">
        <f t="shared" si="31"/>
        <v/>
      </c>
      <c r="C360" s="410" t="str">
        <f t="shared" si="35"/>
        <v/>
      </c>
      <c r="D360" s="410" t="str">
        <f t="shared" si="32"/>
        <v/>
      </c>
      <c r="E360" s="410" t="str">
        <f t="shared" si="36"/>
        <v/>
      </c>
      <c r="F360" s="410" t="str">
        <f t="shared" si="33"/>
        <v/>
      </c>
      <c r="G360" s="411" t="str">
        <f t="shared" si="34"/>
        <v/>
      </c>
    </row>
    <row r="361" spans="2:7" ht="13">
      <c r="B361" s="409" t="str">
        <f t="shared" si="31"/>
        <v/>
      </c>
      <c r="C361" s="410" t="str">
        <f t="shared" si="35"/>
        <v/>
      </c>
      <c r="D361" s="410" t="str">
        <f t="shared" si="32"/>
        <v/>
      </c>
      <c r="E361" s="410" t="str">
        <f t="shared" si="36"/>
        <v/>
      </c>
      <c r="F361" s="410" t="str">
        <f t="shared" si="33"/>
        <v/>
      </c>
      <c r="G361" s="411" t="str">
        <f t="shared" si="34"/>
        <v/>
      </c>
    </row>
    <row r="362" spans="2:7" ht="13">
      <c r="B362" s="409" t="str">
        <f t="shared" si="31"/>
        <v/>
      </c>
      <c r="C362" s="410" t="str">
        <f t="shared" si="35"/>
        <v/>
      </c>
      <c r="D362" s="410" t="str">
        <f t="shared" si="32"/>
        <v/>
      </c>
      <c r="E362" s="410" t="str">
        <f t="shared" si="36"/>
        <v/>
      </c>
      <c r="F362" s="410" t="str">
        <f t="shared" si="33"/>
        <v/>
      </c>
      <c r="G362" s="411" t="str">
        <f t="shared" si="34"/>
        <v/>
      </c>
    </row>
    <row r="363" spans="2:7" ht="13">
      <c r="B363" s="409" t="str">
        <f t="shared" si="31"/>
        <v/>
      </c>
      <c r="C363" s="410" t="str">
        <f t="shared" si="35"/>
        <v/>
      </c>
      <c r="D363" s="410" t="str">
        <f t="shared" si="32"/>
        <v/>
      </c>
      <c r="E363" s="410" t="str">
        <f t="shared" si="36"/>
        <v/>
      </c>
      <c r="F363" s="410" t="str">
        <f t="shared" si="33"/>
        <v/>
      </c>
      <c r="G363" s="411" t="str">
        <f t="shared" si="34"/>
        <v/>
      </c>
    </row>
    <row r="364" spans="2:7" ht="13">
      <c r="B364" s="409" t="str">
        <f t="shared" si="31"/>
        <v/>
      </c>
      <c r="C364" s="410" t="str">
        <f t="shared" si="35"/>
        <v/>
      </c>
      <c r="D364" s="410" t="str">
        <f t="shared" si="32"/>
        <v/>
      </c>
      <c r="E364" s="410" t="str">
        <f t="shared" si="36"/>
        <v/>
      </c>
      <c r="F364" s="410" t="str">
        <f t="shared" si="33"/>
        <v/>
      </c>
      <c r="G364" s="411" t="str">
        <f t="shared" si="34"/>
        <v/>
      </c>
    </row>
    <row r="365" spans="2:7" ht="13">
      <c r="B365" s="409" t="str">
        <f t="shared" si="31"/>
        <v/>
      </c>
      <c r="C365" s="410" t="str">
        <f t="shared" si="35"/>
        <v/>
      </c>
      <c r="D365" s="410" t="str">
        <f t="shared" si="32"/>
        <v/>
      </c>
      <c r="E365" s="410" t="str">
        <f t="shared" si="36"/>
        <v/>
      </c>
      <c r="F365" s="410" t="str">
        <f t="shared" si="33"/>
        <v/>
      </c>
      <c r="G365" s="411" t="str">
        <f t="shared" si="34"/>
        <v/>
      </c>
    </row>
    <row r="366" spans="2:7" ht="13">
      <c r="B366" s="409" t="str">
        <f t="shared" si="31"/>
        <v/>
      </c>
      <c r="C366" s="410" t="str">
        <f t="shared" si="35"/>
        <v/>
      </c>
      <c r="D366" s="410" t="str">
        <f t="shared" si="32"/>
        <v/>
      </c>
      <c r="E366" s="410" t="str">
        <f t="shared" si="36"/>
        <v/>
      </c>
      <c r="F366" s="410" t="str">
        <f t="shared" si="33"/>
        <v/>
      </c>
      <c r="G366" s="411" t="str">
        <f t="shared" si="34"/>
        <v/>
      </c>
    </row>
    <row r="367" spans="2:7" ht="13">
      <c r="B367" s="409" t="str">
        <f t="shared" si="31"/>
        <v/>
      </c>
      <c r="C367" s="410" t="str">
        <f t="shared" si="35"/>
        <v/>
      </c>
      <c r="D367" s="410" t="str">
        <f t="shared" si="32"/>
        <v/>
      </c>
      <c r="E367" s="410" t="str">
        <f t="shared" si="36"/>
        <v/>
      </c>
      <c r="F367" s="410" t="str">
        <f t="shared" si="33"/>
        <v/>
      </c>
      <c r="G367" s="411" t="str">
        <f t="shared" si="34"/>
        <v/>
      </c>
    </row>
    <row r="368" spans="2:7" ht="13">
      <c r="B368" s="409" t="str">
        <f t="shared" si="31"/>
        <v/>
      </c>
      <c r="C368" s="410" t="str">
        <f t="shared" si="35"/>
        <v/>
      </c>
      <c r="D368" s="410" t="str">
        <f t="shared" si="32"/>
        <v/>
      </c>
      <c r="E368" s="410" t="str">
        <f t="shared" si="36"/>
        <v/>
      </c>
      <c r="F368" s="410" t="str">
        <f t="shared" si="33"/>
        <v/>
      </c>
      <c r="G368" s="411" t="str">
        <f t="shared" si="34"/>
        <v/>
      </c>
    </row>
    <row r="369" spans="2:7" ht="13">
      <c r="B369" s="409" t="str">
        <f t="shared" si="31"/>
        <v/>
      </c>
      <c r="C369" s="410" t="str">
        <f t="shared" si="35"/>
        <v/>
      </c>
      <c r="D369" s="410" t="str">
        <f t="shared" si="32"/>
        <v/>
      </c>
      <c r="E369" s="410" t="str">
        <f t="shared" si="36"/>
        <v/>
      </c>
      <c r="F369" s="410" t="str">
        <f t="shared" si="33"/>
        <v/>
      </c>
      <c r="G369" s="411" t="str">
        <f t="shared" si="34"/>
        <v/>
      </c>
    </row>
    <row r="370" spans="2:7" ht="13">
      <c r="B370" s="409" t="str">
        <f t="shared" si="31"/>
        <v/>
      </c>
      <c r="C370" s="410" t="str">
        <f t="shared" si="35"/>
        <v/>
      </c>
      <c r="D370" s="410" t="str">
        <f t="shared" si="32"/>
        <v/>
      </c>
      <c r="E370" s="410" t="str">
        <f t="shared" si="36"/>
        <v/>
      </c>
      <c r="F370" s="410" t="str">
        <f t="shared" si="33"/>
        <v/>
      </c>
      <c r="G370" s="411" t="str">
        <f t="shared" si="34"/>
        <v/>
      </c>
    </row>
    <row r="371" spans="2:7" ht="13">
      <c r="B371" s="409" t="str">
        <f t="shared" si="31"/>
        <v/>
      </c>
      <c r="C371" s="410" t="str">
        <f t="shared" si="35"/>
        <v/>
      </c>
      <c r="D371" s="410" t="str">
        <f t="shared" si="32"/>
        <v/>
      </c>
      <c r="E371" s="410" t="str">
        <f t="shared" si="36"/>
        <v/>
      </c>
      <c r="F371" s="410" t="str">
        <f t="shared" si="33"/>
        <v/>
      </c>
      <c r="G371" s="411" t="str">
        <f t="shared" si="34"/>
        <v/>
      </c>
    </row>
    <row r="372" spans="2:7" ht="13">
      <c r="B372" s="409" t="str">
        <f t="shared" si="31"/>
        <v/>
      </c>
      <c r="C372" s="410" t="str">
        <f t="shared" si="35"/>
        <v/>
      </c>
      <c r="D372" s="410" t="str">
        <f t="shared" si="32"/>
        <v/>
      </c>
      <c r="E372" s="410" t="str">
        <f t="shared" si="36"/>
        <v/>
      </c>
      <c r="F372" s="410" t="str">
        <f t="shared" si="33"/>
        <v/>
      </c>
      <c r="G372" s="411" t="str">
        <f t="shared" si="34"/>
        <v/>
      </c>
    </row>
    <row r="373" spans="2:7" ht="13">
      <c r="B373" s="409" t="str">
        <f t="shared" si="31"/>
        <v/>
      </c>
      <c r="C373" s="410" t="str">
        <f t="shared" si="35"/>
        <v/>
      </c>
      <c r="D373" s="410" t="str">
        <f t="shared" si="32"/>
        <v/>
      </c>
      <c r="E373" s="410" t="str">
        <f t="shared" si="36"/>
        <v/>
      </c>
      <c r="F373" s="410" t="str">
        <f t="shared" si="33"/>
        <v/>
      </c>
      <c r="G373" s="411" t="str">
        <f t="shared" si="34"/>
        <v/>
      </c>
    </row>
    <row r="374" spans="2:7" ht="13">
      <c r="B374" s="409" t="str">
        <f t="shared" si="31"/>
        <v/>
      </c>
      <c r="C374" s="410" t="str">
        <f t="shared" si="35"/>
        <v/>
      </c>
      <c r="D374" s="410" t="str">
        <f t="shared" si="32"/>
        <v/>
      </c>
      <c r="E374" s="410" t="str">
        <f t="shared" si="36"/>
        <v/>
      </c>
      <c r="F374" s="410" t="str">
        <f t="shared" si="33"/>
        <v/>
      </c>
      <c r="G374" s="411" t="str">
        <f t="shared" si="34"/>
        <v/>
      </c>
    </row>
    <row r="375" spans="2:7" ht="14" thickBot="1">
      <c r="B375" s="412" t="str">
        <f t="shared" si="31"/>
        <v/>
      </c>
      <c r="C375" s="413" t="str">
        <f t="shared" si="35"/>
        <v/>
      </c>
      <c r="D375" s="413" t="str">
        <f t="shared" si="32"/>
        <v/>
      </c>
      <c r="E375" s="413" t="str">
        <f t="shared" si="36"/>
        <v/>
      </c>
      <c r="F375" s="413" t="str">
        <f t="shared" si="33"/>
        <v/>
      </c>
      <c r="G375" s="414" t="str">
        <f t="shared" si="34"/>
        <v/>
      </c>
    </row>
    <row r="376" spans="2:7" ht="13"/>
  </sheetData>
  <mergeCells count="12">
    <mergeCell ref="E12:F12"/>
    <mergeCell ref="E13:F13"/>
    <mergeCell ref="A2:H2"/>
    <mergeCell ref="B4:D13"/>
    <mergeCell ref="E4:F4"/>
    <mergeCell ref="E5:F5"/>
    <mergeCell ref="E6:F6"/>
    <mergeCell ref="E7:F7"/>
    <mergeCell ref="E8:F8"/>
    <mergeCell ref="E9:F9"/>
    <mergeCell ref="E10:F10"/>
    <mergeCell ref="E11:F11"/>
  </mergeCells>
  <printOptions horizontalCentered="1"/>
  <pageMargins left="0.78740157480314965" right="0.78740157480314965" top="0.98425196850393704" bottom="0.98425196850393704" header="0.51181102362204722" footer="0.51181102362204722"/>
  <pageSetup paperSize="9" scale="87" orientation="landscape"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ACQUISITION FINANCEMENT</vt:lpstr>
      <vt:lpstr>LOCATION</vt:lpstr>
      <vt:lpstr>ETAT SURFACE - EVALUATION TRVX</vt:lpstr>
      <vt:lpstr>TRI </vt:lpstr>
      <vt:lpstr>TAM Refi </vt:lpstr>
      <vt:lpstr>'TAM Refi '!Zone_d_impression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Aniri Maguru</dc:creator>
  <cp:lastModifiedBy>Microsoft Office User</cp:lastModifiedBy>
  <cp:lastPrinted>2018-06-11T10:08:48Z</cp:lastPrinted>
  <dcterms:created xsi:type="dcterms:W3CDTF">2018-05-29T09:51:49Z</dcterms:created>
  <dcterms:modified xsi:type="dcterms:W3CDTF">2019-06-17T12:39:21Z</dcterms:modified>
</cp:coreProperties>
</file>