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715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anilmaguru/Downloads/"/>
    </mc:Choice>
  </mc:AlternateContent>
  <xr:revisionPtr revIDLastSave="0" documentId="13_ncr:1_{431F6C44-D84E-7A43-98E1-916DAEE40806}" xr6:coauthVersionLast="43" xr6:coauthVersionMax="43" xr10:uidLastSave="{00000000-0000-0000-0000-000000000000}"/>
  <bookViews>
    <workbookView xWindow="31340" yWindow="620" windowWidth="31860" windowHeight="19340" xr2:uid="{00000000-000D-0000-FFFF-FFFF00000000}"/>
  </bookViews>
  <sheets>
    <sheet name="4th semestriel hurdle  (2)" sheetId="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L17" i="2" l="1"/>
  <c r="I18" i="2"/>
  <c r="J18" i="2" s="1"/>
  <c r="L18" i="2" l="1"/>
  <c r="K18" i="2"/>
  <c r="I17" i="2"/>
  <c r="F42" i="2"/>
  <c r="G42" i="2"/>
  <c r="F43" i="2"/>
  <c r="G43" i="2"/>
  <c r="F44" i="2"/>
  <c r="G44" i="2"/>
  <c r="F45" i="2"/>
  <c r="G45" i="2"/>
  <c r="I16" i="2"/>
  <c r="J16" i="2" s="1"/>
  <c r="I15" i="2"/>
  <c r="L15" i="2" s="1"/>
  <c r="L16" i="2" l="1"/>
  <c r="J17" i="2"/>
  <c r="J15" i="2"/>
  <c r="I7" i="2" l="1"/>
  <c r="L7" i="2" s="1"/>
  <c r="I8" i="2"/>
  <c r="L8" i="2" s="1"/>
  <c r="I9" i="2"/>
  <c r="L9" i="2" s="1"/>
  <c r="I10" i="2"/>
  <c r="L10" i="2" s="1"/>
  <c r="I11" i="2"/>
  <c r="L11" i="2" s="1"/>
  <c r="I12" i="2"/>
  <c r="L12" i="2" s="1"/>
  <c r="I13" i="2"/>
  <c r="L13" i="2" s="1"/>
  <c r="I14" i="2"/>
  <c r="L14" i="2" s="1"/>
  <c r="I6" i="2"/>
  <c r="L6" i="2" s="1"/>
  <c r="F38" i="2"/>
  <c r="F37" i="2"/>
  <c r="K17" i="2" s="1"/>
  <c r="F36" i="2"/>
  <c r="F35" i="2"/>
  <c r="H14" i="2"/>
  <c r="H13" i="2"/>
  <c r="H12" i="2"/>
  <c r="H11" i="2"/>
  <c r="H10" i="2"/>
  <c r="H9" i="2"/>
  <c r="H8" i="2"/>
  <c r="H7" i="2"/>
  <c r="H6" i="2"/>
  <c r="J35" i="2"/>
  <c r="L37" i="2"/>
  <c r="I34" i="2"/>
  <c r="K36" i="2"/>
  <c r="K9" i="2" l="1"/>
  <c r="K15" i="2"/>
  <c r="K16" i="2"/>
  <c r="K8" i="2"/>
  <c r="K14" i="2"/>
  <c r="K10" i="2"/>
  <c r="J12" i="2"/>
  <c r="J13" i="2"/>
  <c r="J9" i="2"/>
  <c r="J8" i="2"/>
  <c r="K13" i="2"/>
  <c r="K12" i="2"/>
  <c r="J6" i="2"/>
  <c r="J14" i="2"/>
  <c r="J10" i="2"/>
  <c r="K6" i="2"/>
  <c r="K11" i="2"/>
  <c r="K7" i="2"/>
  <c r="J11" i="2"/>
  <c r="J7" i="2"/>
</calcChain>
</file>

<file path=xl/sharedStrings.xml><?xml version="1.0" encoding="utf-8"?>
<sst xmlns="http://schemas.openxmlformats.org/spreadsheetml/2006/main" count="23" uniqueCount="16">
  <si>
    <t>Date d'achat</t>
  </si>
  <si>
    <t>Date de vente</t>
  </si>
  <si>
    <t>Hurdle</t>
  </si>
  <si>
    <t>Group</t>
  </si>
  <si>
    <t>Partner</t>
  </si>
  <si>
    <t>Si 3 mois</t>
  </si>
  <si>
    <t>Si 3 mois - 6 mois</t>
  </si>
  <si>
    <t>si 6 mois - 9 mois</t>
  </si>
  <si>
    <t>Si + 12 mois</t>
  </si>
  <si>
    <t>Montant</t>
  </si>
  <si>
    <t xml:space="preserve">Prix de vente </t>
  </si>
  <si>
    <t>nb mois</t>
  </si>
  <si>
    <t>Tranches</t>
  </si>
  <si>
    <t>N° prêt</t>
  </si>
  <si>
    <t>1ère utilisation</t>
  </si>
  <si>
    <t>A partir de la 2ème utilisation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</si>
</sst>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\ &quot;€&quot;"/>
  </numFmts>
  <fonts count="5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1">
    <xf numFmtId="0" fontId="0" fillId="0" borderId="0" xfId="0"/>
    <xf numFmtId="0" fontId="0" fillId="2" borderId="0" xfId="0" applyFill="1"/>
    <xf numFmtId="9" fontId="0" fillId="2" borderId="0" xfId="0" applyNumberFormat="1" applyFill="1"/>
    <xf numFmtId="0" fontId="0" fillId="2" borderId="5" xfId="0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14" fontId="0" fillId="2" borderId="2" xfId="0" applyNumberFormat="1" applyFill="1" applyBorder="1" applyAlignment="1">
      <alignment horizontal="center"/>
    </xf>
    <xf numFmtId="14" fontId="0" fillId="2" borderId="1" xfId="0" applyNumberFormat="1" applyFill="1" applyBorder="1" applyAlignment="1">
      <alignment horizontal="center"/>
    </xf>
    <xf numFmtId="164" fontId="0" fillId="2" borderId="1" xfId="0" applyNumberFormat="1" applyFill="1" applyBorder="1" applyAlignment="1">
      <alignment horizontal="right"/>
    </xf>
    <xf numFmtId="164" fontId="0" fillId="2" borderId="1" xfId="0" applyNumberFormat="1" applyFill="1" applyBorder="1"/>
    <xf numFmtId="0" fontId="0" fillId="2" borderId="0" xfId="0" applyFill="1" applyBorder="1" applyAlignment="1">
      <alignment horizontal="center"/>
    </xf>
    <xf numFmtId="0" fontId="3" fillId="2" borderId="0" xfId="0" applyFont="1" applyFill="1"/>
    <xf numFmtId="0" fontId="0" fillId="2" borderId="0" xfId="0" applyFill="1" applyAlignment="1">
      <alignment horizontal="center"/>
    </xf>
    <xf numFmtId="0" fontId="2" fillId="2" borderId="0" xfId="0" applyFont="1" applyFill="1" applyAlignment="1">
      <alignment horizontal="center"/>
    </xf>
    <xf numFmtId="9" fontId="0" fillId="2" borderId="0" xfId="0" applyNumberFormat="1" applyFill="1" applyAlignment="1">
      <alignment horizontal="center"/>
    </xf>
    <xf numFmtId="164" fontId="0" fillId="2" borderId="0" xfId="0" applyNumberFormat="1" applyFill="1" applyBorder="1"/>
    <xf numFmtId="9" fontId="0" fillId="2" borderId="0" xfId="1" applyFont="1" applyFill="1" applyBorder="1"/>
    <xf numFmtId="9" fontId="0" fillId="2" borderId="1" xfId="1" applyFont="1" applyFill="1" applyBorder="1" applyAlignment="1">
      <alignment horizontal="center"/>
    </xf>
    <xf numFmtId="0" fontId="0" fillId="2" borderId="0" xfId="0" applyFill="1" applyBorder="1" applyAlignment="1">
      <alignment horizontal="left"/>
    </xf>
    <xf numFmtId="0" fontId="3" fillId="2" borderId="6" xfId="0" applyFont="1" applyFill="1" applyBorder="1" applyAlignment="1">
      <alignment horizontal="center"/>
    </xf>
    <xf numFmtId="0" fontId="3" fillId="2" borderId="2" xfId="0" applyFont="1" applyFill="1" applyBorder="1" applyAlignment="1">
      <alignment horizontal="center"/>
    </xf>
    <xf numFmtId="0" fontId="3" fillId="2" borderId="8" xfId="0" applyFont="1" applyFill="1" applyBorder="1" applyAlignment="1">
      <alignment horizontal="center"/>
    </xf>
    <xf numFmtId="9" fontId="0" fillId="2" borderId="1" xfId="0" applyNumberFormat="1" applyFill="1" applyBorder="1" applyAlignment="1">
      <alignment horizontal="center"/>
    </xf>
    <xf numFmtId="9" fontId="0" fillId="2" borderId="3" xfId="0" applyNumberFormat="1" applyFill="1" applyBorder="1" applyAlignment="1">
      <alignment horizontal="center"/>
    </xf>
    <xf numFmtId="9" fontId="0" fillId="2" borderId="3" xfId="1" applyFont="1" applyFill="1" applyBorder="1" applyAlignment="1">
      <alignment horizontal="center"/>
    </xf>
    <xf numFmtId="9" fontId="0" fillId="2" borderId="7" xfId="0" applyNumberFormat="1" applyFill="1" applyBorder="1" applyAlignment="1">
      <alignment horizontal="center"/>
    </xf>
    <xf numFmtId="9" fontId="0" fillId="2" borderId="9" xfId="0" applyNumberFormat="1" applyFill="1" applyBorder="1" applyAlignment="1">
      <alignment horizontal="center"/>
    </xf>
    <xf numFmtId="0" fontId="0" fillId="3" borderId="0" xfId="0" applyFill="1"/>
    <xf numFmtId="0" fontId="4" fillId="3" borderId="0" xfId="0" applyFont="1" applyFill="1"/>
    <xf numFmtId="0" fontId="3" fillId="3" borderId="0" xfId="0" applyFont="1" applyFill="1"/>
    <xf numFmtId="0" fontId="0" fillId="3" borderId="0" xfId="0" applyFill="1" applyAlignment="1">
      <alignment horizontal="center"/>
    </xf>
    <xf numFmtId="0" fontId="2" fillId="2" borderId="10" xfId="0" applyFont="1" applyFill="1" applyBorder="1" applyAlignment="1">
      <alignment horizontal="center"/>
    </xf>
    <xf numFmtId="164" fontId="0" fillId="2" borderId="7" xfId="0" applyNumberFormat="1" applyFill="1" applyBorder="1" applyAlignment="1">
      <alignment horizontal="right"/>
    </xf>
    <xf numFmtId="14" fontId="0" fillId="2" borderId="7" xfId="0" applyNumberFormat="1" applyFill="1" applyBorder="1" applyAlignment="1">
      <alignment horizontal="center"/>
    </xf>
    <xf numFmtId="164" fontId="0" fillId="2" borderId="7" xfId="0" applyNumberFormat="1" applyFill="1" applyBorder="1"/>
    <xf numFmtId="0" fontId="0" fillId="2" borderId="7" xfId="0" applyFill="1" applyBorder="1" applyAlignment="1">
      <alignment horizontal="center"/>
    </xf>
    <xf numFmtId="9" fontId="0" fillId="2" borderId="7" xfId="1" applyFont="1" applyFill="1" applyBorder="1" applyAlignment="1">
      <alignment horizontal="center"/>
    </xf>
    <xf numFmtId="0" fontId="2" fillId="2" borderId="10" xfId="0" applyFont="1" applyFill="1" applyBorder="1" applyAlignment="1"/>
    <xf numFmtId="0" fontId="0" fillId="2" borderId="10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0" fontId="2" fillId="2" borderId="12" xfId="0" applyFont="1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2" fillId="2" borderId="0" xfId="0" applyFont="1" applyFill="1" applyBorder="1" applyAlignment="1">
      <alignment horizontal="center"/>
    </xf>
    <xf numFmtId="164" fontId="0" fillId="4" borderId="7" xfId="0" applyNumberFormat="1" applyFill="1" applyBorder="1" applyAlignment="1">
      <alignment horizontal="right"/>
    </xf>
    <xf numFmtId="14" fontId="0" fillId="4" borderId="7" xfId="0" applyNumberFormat="1" applyFill="1" applyBorder="1" applyAlignment="1">
      <alignment horizontal="center"/>
    </xf>
    <xf numFmtId="164" fontId="0" fillId="4" borderId="7" xfId="0" applyNumberFormat="1" applyFill="1" applyBorder="1"/>
    <xf numFmtId="0" fontId="0" fillId="4" borderId="7" xfId="0" applyFill="1" applyBorder="1" applyAlignment="1">
      <alignment horizontal="center"/>
    </xf>
    <xf numFmtId="9" fontId="0" fillId="4" borderId="7" xfId="1" applyFont="1" applyFill="1" applyBorder="1" applyAlignment="1">
      <alignment horizontal="center"/>
    </xf>
    <xf numFmtId="9" fontId="0" fillId="4" borderId="9" xfId="1" applyFont="1" applyFill="1" applyBorder="1" applyAlignment="1">
      <alignment horizontal="center"/>
    </xf>
  </cellXfs>
  <cellStyles count="2">
    <cellStyle name="Normal" xfId="0" builtinId="0"/>
    <cellStyle name="Pourcentage" xfId="1" builtinId="5"/>
  </cellStyles>
  <dxfs count="2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#,##0\ &quot;€&quot;"/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#,##0\ &quot;€&quot;"/>
      <fill>
        <patternFill patternType="solid">
          <fgColor indexed="64"/>
          <bgColor theme="0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3" formatCode="0%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3" formatCode="0%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3" formatCode="0%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numFmt numFmtId="13" formatCode="0%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3" formatCode="0%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3" formatCode="0%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0C6AAE1-6A65-44EB-AC15-021B4F7008DD}" name="Tableau2" displayName="Tableau2" ref="D34:G38" totalsRowShown="0" headerRowDxfId="26" headerRowBorderDxfId="25" tableBorderDxfId="24" totalsRowBorderDxfId="23">
  <autoFilter ref="D34:G38" xr:uid="{7D1628CE-4A74-4036-B080-4F203916C766}">
    <filterColumn colId="0" hiddenButton="1"/>
    <filterColumn colId="1" hiddenButton="1"/>
    <filterColumn colId="2" hiddenButton="1"/>
    <filterColumn colId="3" hiddenButton="1"/>
  </autoFilter>
  <tableColumns count="4">
    <tableColumn id="1" xr3:uid="{BF6922F1-2457-4A71-9ADB-722865B1DBA7}" name="Tranches" dataDxfId="22"/>
    <tableColumn id="2" xr3:uid="{837257AF-9FA9-448E-AF25-9B9EA83E1079}" name="Group" dataDxfId="21"/>
    <tableColumn id="3" xr3:uid="{343E300D-FCE0-4B4C-A1BE-BF3EA9FACA52}" name="Partner" dataDxfId="20">
      <calculatedColumnFormula>100%-E35</calculatedColumnFormula>
    </tableColumn>
    <tableColumn id="4" xr3:uid="{0FF86AF3-AA53-453B-AF08-6F7C44C3EC33}" name="Hurdle" dataDxfId="19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BDB56C22-39B2-4A2D-B4F7-519DE37EC2B4}" name="Tableau5" displayName="Tableau5" ref="D5:L18" totalsRowShown="0" headerRowDxfId="10" tableBorderDxfId="9">
  <autoFilter ref="D5:L18" xr:uid="{F9DA467A-05EF-4A84-B897-439FAB542BCF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</autoFilter>
  <tableColumns count="9">
    <tableColumn id="1" xr3:uid="{61207E19-0C1B-485F-AF7D-7CC1DBE8C26C}" name="N° prêt" dataDxfId="8"/>
    <tableColumn id="2" xr3:uid="{E1BEE16B-5BC8-47D6-94DA-26076228C492}" name="Montant" dataDxfId="7"/>
    <tableColumn id="3" xr3:uid="{4FDDE02A-622E-4424-BFF3-802A7068118A}" name="Date d'achat" dataDxfId="6"/>
    <tableColumn id="4" xr3:uid="{131195CC-E939-4A61-8DA7-C549F2C7C1AD}" name="Date de vente" dataDxfId="5"/>
    <tableColumn id="5" xr3:uid="{2D7AC04B-C91A-4452-A848-DF4D11CF1B14}" name="Prix de vente " dataDxfId="4"/>
    <tableColumn id="6" xr3:uid="{48D74CB6-F7D3-4A4B-80F9-1CB456A65665}" name="nb mois" dataDxfId="3">
      <calculatedColumnFormula>DATEDIF(F6,G6,"m")</calculatedColumnFormula>
    </tableColumn>
    <tableColumn id="7" xr3:uid="{2882850C-665E-45C8-B2F3-256948D95837}" name="Group" dataDxfId="2" dataCellStyle="Pourcentage">
      <calculatedColumnFormula>VLOOKUP(I6,Tableau2[],2,1)</calculatedColumnFormula>
    </tableColumn>
    <tableColumn id="8" xr3:uid="{9BF06DEB-8790-4EA9-B63E-253B7D6C47D6}" name="Partner" dataDxfId="1" dataCellStyle="Pourcentage">
      <calculatedColumnFormula>VLOOKUP(I6,Tableau2[],3,1)</calculatedColumnFormula>
    </tableColumn>
    <tableColumn id="9" xr3:uid="{1DDC01C8-E8C7-47B5-B70F-8F5ADDF49502}" name="Hurdle" dataDxfId="0" dataCellStyle="Pourcentage">
      <calculatedColumnFormula>IF(COUNTIF($D$6:D6,D6)&gt;1,VLOOKUP(I6,#REF!,4,1),VLOOKUP(I6,Tableau2[],4,1))</calculatedColumnFormula>
    </tableColumn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BB929DA-19E2-4C93-9C5F-6ECFB2BB7622}" name="Tableau22" displayName="Tableau22" ref="D41:G45" totalsRowShown="0" headerRowDxfId="18" headerRowBorderDxfId="17" tableBorderDxfId="16" totalsRowBorderDxfId="15">
  <autoFilter ref="D41:G45" xr:uid="{47C417D4-F918-4162-8184-EC6AFF9D831F}">
    <filterColumn colId="0" hiddenButton="1"/>
    <filterColumn colId="1" hiddenButton="1"/>
    <filterColumn colId="2" hiddenButton="1"/>
    <filterColumn colId="3" hiddenButton="1"/>
  </autoFilter>
  <tableColumns count="4">
    <tableColumn id="1" xr3:uid="{F22FCA4C-99D5-48BD-BB16-A63511004144}" name="Tranches" dataDxfId="14"/>
    <tableColumn id="2" xr3:uid="{E96B5768-8B92-4619-B5C3-A0E378CAE14F}" name="Group" dataDxfId="13"/>
    <tableColumn id="3" xr3:uid="{D6BA0957-1ED6-4E1A-8C93-811FF8E764C9}" name="Partner" dataDxfId="12">
      <calculatedColumnFormula>100%-E42</calculatedColumnFormula>
    </tableColumn>
    <tableColumn id="4" xr3:uid="{EDD0BCED-22E5-4FFF-8014-CE65BD83B800}" name="Hurdle" dataDxfId="11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CF7EC8-439B-4877-A495-36B1E82D1D2C}">
  <dimension ref="B3:L45"/>
  <sheetViews>
    <sheetView tabSelected="1" topLeftCell="C1" workbookViewId="0">
      <selection activeCell="G25" sqref="G25"/>
    </sheetView>
  </sheetViews>
  <sheetFormatPr baseColWidth="10" defaultColWidth="10.83203125" defaultRowHeight="16" x14ac:dyDescent="0.2"/>
  <cols>
    <col min="1" max="1" width="2.6640625" style="1" customWidth="1"/>
    <col min="2" max="2" width="15.1640625" style="1" bestFit="1" customWidth="1"/>
    <col min="3" max="3" width="2.6640625" style="1" customWidth="1"/>
    <col min="4" max="4" width="8.83203125" style="12" customWidth="1"/>
    <col min="5" max="5" width="20.1640625" style="1" bestFit="1" customWidth="1"/>
    <col min="6" max="6" width="13.6640625" style="1" customWidth="1"/>
    <col min="7" max="7" width="14.6640625" style="1" customWidth="1"/>
    <col min="8" max="8" width="14.5" style="1" customWidth="1"/>
    <col min="9" max="9" width="18.33203125" style="12" bestFit="1" customWidth="1"/>
    <col min="10" max="10" width="30.33203125" style="1" bestFit="1" customWidth="1"/>
    <col min="11" max="11" width="30.6640625" style="1" bestFit="1" customWidth="1"/>
    <col min="12" max="12" width="75" style="1" bestFit="1" customWidth="1"/>
    <col min="13" max="16384" width="10.83203125" style="1"/>
  </cols>
  <sheetData>
    <row r="3" spans="4:12" x14ac:dyDescent="0.2">
      <c r="I3" s="14"/>
      <c r="J3" s="2"/>
      <c r="K3" s="2"/>
    </row>
    <row r="4" spans="4:12" x14ac:dyDescent="0.2">
      <c r="D4" s="37"/>
      <c r="E4" s="37"/>
      <c r="F4" s="37"/>
      <c r="G4" s="37"/>
      <c r="H4" s="37"/>
      <c r="I4" s="37"/>
      <c r="J4" s="37"/>
      <c r="K4" s="37"/>
      <c r="L4" s="37"/>
    </row>
    <row r="5" spans="4:12" s="13" customFormat="1" x14ac:dyDescent="0.2">
      <c r="D5" s="31" t="s">
        <v>13</v>
      </c>
      <c r="E5" s="40" t="s">
        <v>9</v>
      </c>
      <c r="F5" s="40" t="s">
        <v>0</v>
      </c>
      <c r="G5" s="41" t="s">
        <v>1</v>
      </c>
      <c r="H5" s="40" t="s">
        <v>10</v>
      </c>
      <c r="I5" s="40" t="s">
        <v>11</v>
      </c>
      <c r="J5" s="40" t="s">
        <v>3</v>
      </c>
      <c r="K5" s="40" t="s">
        <v>4</v>
      </c>
      <c r="L5" s="42" t="s">
        <v>2</v>
      </c>
    </row>
    <row r="6" spans="4:12" x14ac:dyDescent="0.2">
      <c r="D6" s="38">
        <v>1</v>
      </c>
      <c r="E6" s="8">
        <v>100000</v>
      </c>
      <c r="F6" s="6">
        <v>43683</v>
      </c>
      <c r="G6" s="6">
        <v>43745</v>
      </c>
      <c r="H6" s="9">
        <f>E6*(1+20%)</f>
        <v>120000</v>
      </c>
      <c r="I6" s="4">
        <f>DATEDIF(F6,G6,"m")</f>
        <v>2</v>
      </c>
      <c r="J6" s="17">
        <f>VLOOKUP(I6,Tableau2[],2,1)</f>
        <v>0.45</v>
      </c>
      <c r="K6" s="17">
        <f>VLOOKUP(I6,Tableau2[],3,1)</f>
        <v>0.55000000000000004</v>
      </c>
      <c r="L6" s="24">
        <f>IF(COUNTIF($D$6:D6,D6)&gt;1,VLOOKUP(I6,Tableau22[],4,1),VLOOKUP(I6,Tableau2[],4,1))</f>
        <v>0.03</v>
      </c>
    </row>
    <row r="7" spans="4:12" x14ac:dyDescent="0.2">
      <c r="D7" s="39">
        <v>2</v>
      </c>
      <c r="E7" s="8">
        <v>20000</v>
      </c>
      <c r="F7" s="7">
        <v>43684</v>
      </c>
      <c r="G7" s="7">
        <v>43807</v>
      </c>
      <c r="H7" s="9">
        <f>E7*(1+15%)</f>
        <v>23000</v>
      </c>
      <c r="I7" s="4">
        <f t="shared" ref="I7:I14" si="0">DATEDIF(F7,G7,"m")</f>
        <v>4</v>
      </c>
      <c r="J7" s="17">
        <f>VLOOKUP(I7,Tableau2[],2,1)</f>
        <v>0.5</v>
      </c>
      <c r="K7" s="17">
        <f>VLOOKUP(I7,Tableau2[],3,1)</f>
        <v>0.5</v>
      </c>
      <c r="L7" s="24">
        <f>IF(COUNTIF($D$6:D7,D7)&gt;1,VLOOKUP(I7,Tableau22[],4,1),VLOOKUP(I7,Tableau2[],4,1))</f>
        <v>0.05</v>
      </c>
    </row>
    <row r="8" spans="4:12" x14ac:dyDescent="0.2">
      <c r="D8" s="39">
        <v>3</v>
      </c>
      <c r="E8" s="8">
        <v>30000</v>
      </c>
      <c r="F8" s="7">
        <v>43685</v>
      </c>
      <c r="G8" s="7">
        <v>43778</v>
      </c>
      <c r="H8" s="9">
        <f>E8*(1+30%)</f>
        <v>39000</v>
      </c>
      <c r="I8" s="4">
        <f t="shared" si="0"/>
        <v>3</v>
      </c>
      <c r="J8" s="17">
        <f>VLOOKUP(I8,Tableau2[],2,1)</f>
        <v>0.5</v>
      </c>
      <c r="K8" s="17">
        <f>VLOOKUP(I8,Tableau2[],3,1)</f>
        <v>0.5</v>
      </c>
      <c r="L8" s="24">
        <f>IF(COUNTIF($D$6:D8,D8)&gt;1,VLOOKUP(I8,Tableau22[],4,1),VLOOKUP(I8,Tableau2[],4,1))</f>
        <v>0.05</v>
      </c>
    </row>
    <row r="9" spans="4:12" x14ac:dyDescent="0.2">
      <c r="D9" s="39">
        <v>4</v>
      </c>
      <c r="E9" s="8">
        <v>150000</v>
      </c>
      <c r="F9" s="7">
        <v>43686</v>
      </c>
      <c r="G9" s="7">
        <v>43840</v>
      </c>
      <c r="H9" s="9">
        <f>E9*(1+40%)</f>
        <v>210000</v>
      </c>
      <c r="I9" s="4">
        <f t="shared" si="0"/>
        <v>5</v>
      </c>
      <c r="J9" s="17">
        <f>VLOOKUP(I9,Tableau2[],2,1)</f>
        <v>0.5</v>
      </c>
      <c r="K9" s="17">
        <f>VLOOKUP(I9,Tableau2[],3,1)</f>
        <v>0.5</v>
      </c>
      <c r="L9" s="24">
        <f>IF(COUNTIF($D$6:D9,D9)&gt;1,VLOOKUP(I9,Tableau22[],4,1),VLOOKUP(I9,Tableau2[],4,1))</f>
        <v>0.05</v>
      </c>
    </row>
    <row r="10" spans="4:12" x14ac:dyDescent="0.2">
      <c r="D10" s="39">
        <v>5</v>
      </c>
      <c r="E10" s="8">
        <v>1000000</v>
      </c>
      <c r="F10" s="7">
        <v>43687</v>
      </c>
      <c r="G10" s="7">
        <v>44115</v>
      </c>
      <c r="H10" s="9">
        <f>E10*(1+50%)</f>
        <v>1500000</v>
      </c>
      <c r="I10" s="4">
        <f t="shared" si="0"/>
        <v>14</v>
      </c>
      <c r="J10" s="17">
        <f>VLOOKUP(I10,Tableau2[],2,1)</f>
        <v>0.6</v>
      </c>
      <c r="K10" s="17">
        <f>VLOOKUP(I10,Tableau2[],3,1)</f>
        <v>0.4</v>
      </c>
      <c r="L10" s="24">
        <f>IF(COUNTIF($D$6:D10,D10)&gt;1,VLOOKUP(I10,Tableau22[],4,1),VLOOKUP(I10,Tableau2[],4,1))</f>
        <v>0.1</v>
      </c>
    </row>
    <row r="11" spans="4:12" x14ac:dyDescent="0.2">
      <c r="D11" s="39">
        <v>6</v>
      </c>
      <c r="E11" s="8">
        <v>2000000</v>
      </c>
      <c r="F11" s="7">
        <v>43688</v>
      </c>
      <c r="G11" s="7">
        <v>43811</v>
      </c>
      <c r="H11" s="9">
        <f t="shared" ref="H11" si="1">E11*(1+20%)</f>
        <v>2400000</v>
      </c>
      <c r="I11" s="4">
        <f t="shared" si="0"/>
        <v>4</v>
      </c>
      <c r="J11" s="17">
        <f>VLOOKUP(I11,Tableau2[],2,1)</f>
        <v>0.5</v>
      </c>
      <c r="K11" s="17">
        <f>VLOOKUP(I11,Tableau2[],3,1)</f>
        <v>0.5</v>
      </c>
      <c r="L11" s="24">
        <f>IF(COUNTIF($D$6:D11,D11)&gt;1,VLOOKUP(I11,Tableau22[],4,1),VLOOKUP(I11,Tableau2[],4,1))</f>
        <v>0.05</v>
      </c>
    </row>
    <row r="12" spans="4:12" x14ac:dyDescent="0.2">
      <c r="D12" s="39">
        <v>7</v>
      </c>
      <c r="E12" s="8">
        <v>500000</v>
      </c>
      <c r="F12" s="7">
        <v>43689</v>
      </c>
      <c r="G12" s="7">
        <v>44482</v>
      </c>
      <c r="H12" s="9">
        <f>E12*(1+10%)</f>
        <v>550000</v>
      </c>
      <c r="I12" s="4">
        <f t="shared" si="0"/>
        <v>26</v>
      </c>
      <c r="J12" s="17">
        <f>VLOOKUP(I12,Tableau2[],2,1)</f>
        <v>0.6</v>
      </c>
      <c r="K12" s="17">
        <f>VLOOKUP(I12,Tableau2[],3,1)</f>
        <v>0.4</v>
      </c>
      <c r="L12" s="24">
        <f>IF(COUNTIF($D$6:D12,D12)&gt;1,VLOOKUP(I12,Tableau22[],4,1),VLOOKUP(I12,Tableau2[],4,1))</f>
        <v>0.1</v>
      </c>
    </row>
    <row r="13" spans="4:12" x14ac:dyDescent="0.2">
      <c r="D13" s="39">
        <v>8</v>
      </c>
      <c r="E13" s="8">
        <v>100000</v>
      </c>
      <c r="F13" s="7">
        <v>43690</v>
      </c>
      <c r="G13" s="7">
        <v>43875</v>
      </c>
      <c r="H13" s="9">
        <f>E13*(1+5%)</f>
        <v>105000</v>
      </c>
      <c r="I13" s="4">
        <f t="shared" si="0"/>
        <v>6</v>
      </c>
      <c r="J13" s="17">
        <f>VLOOKUP(I13,Tableau2[],2,1)</f>
        <v>0.55000000000000004</v>
      </c>
      <c r="K13" s="17">
        <f>VLOOKUP(I13,Tableau2[],3,1)</f>
        <v>0.44999999999999996</v>
      </c>
      <c r="L13" s="24">
        <f>IF(COUNTIF($D$6:D13,D13)&gt;1,VLOOKUP(I13,Tableau22[],4,1),VLOOKUP(I13,Tableau2[],4,1))</f>
        <v>7.0000000000000007E-2</v>
      </c>
    </row>
    <row r="14" spans="4:12" x14ac:dyDescent="0.2">
      <c r="D14" s="43">
        <v>9</v>
      </c>
      <c r="E14" s="32">
        <v>280000</v>
      </c>
      <c r="F14" s="33">
        <v>43691</v>
      </c>
      <c r="G14" s="33">
        <v>43753</v>
      </c>
      <c r="H14" s="34">
        <f>E14*(1+30%)</f>
        <v>364000</v>
      </c>
      <c r="I14" s="35">
        <f t="shared" si="0"/>
        <v>2</v>
      </c>
      <c r="J14" s="36">
        <f>VLOOKUP(I14,Tableau2[],2,1)</f>
        <v>0.45</v>
      </c>
      <c r="K14" s="36">
        <f>VLOOKUP(I14,Tableau2[],3,1)</f>
        <v>0.55000000000000004</v>
      </c>
      <c r="L14" s="24">
        <f>IF(COUNTIF($D$6:D14,D14)&gt;1,VLOOKUP(I14,Tableau22[],4,1),VLOOKUP(I14,Tableau2[],4,1))</f>
        <v>0.03</v>
      </c>
    </row>
    <row r="15" spans="4:12" x14ac:dyDescent="0.2">
      <c r="D15" s="39">
        <v>1</v>
      </c>
      <c r="E15" s="8">
        <v>100000</v>
      </c>
      <c r="F15" s="7">
        <v>43746</v>
      </c>
      <c r="G15" s="7">
        <v>43768</v>
      </c>
      <c r="H15" s="9">
        <v>105000</v>
      </c>
      <c r="I15" s="4">
        <f>DATEDIF(F15,G15,"m")</f>
        <v>0</v>
      </c>
      <c r="J15" s="17">
        <f>VLOOKUP(I15,Tableau2[],2,1)</f>
        <v>0.45</v>
      </c>
      <c r="K15" s="17">
        <f>VLOOKUP(I15,Tableau2[],3,1)</f>
        <v>0.55000000000000004</v>
      </c>
      <c r="L15" s="24">
        <f>IF(COUNTIF($D$6:D15,D15)&gt;1,VLOOKUP(I15,Tableau22[],4,1),VLOOKUP(I15,Tableau2[],4,1))</f>
        <v>1.9999999999999997E-2</v>
      </c>
    </row>
    <row r="16" spans="4:12" x14ac:dyDescent="0.2">
      <c r="D16" s="39">
        <v>5</v>
      </c>
      <c r="E16" s="8">
        <v>1000000</v>
      </c>
      <c r="F16" s="7">
        <v>44119</v>
      </c>
      <c r="G16" s="7">
        <v>44484</v>
      </c>
      <c r="H16" s="9">
        <v>1100000</v>
      </c>
      <c r="I16" s="4">
        <f>DATEDIF(F16,G16,"m")</f>
        <v>12</v>
      </c>
      <c r="J16" s="17">
        <f>VLOOKUP(I16,Tableau2[],2,1)</f>
        <v>0.6</v>
      </c>
      <c r="K16" s="17">
        <f>VLOOKUP(I16,Tableau2[],3,1)</f>
        <v>0.4</v>
      </c>
      <c r="L16" s="24">
        <f>IF(COUNTIF($D$6:D16,D16)&gt;1,VLOOKUP(I16,Tableau22[],4,1),VLOOKUP(I16,Tableau2[],4,1))</f>
        <v>8.2500000000000004E-2</v>
      </c>
    </row>
    <row r="17" spans="2:12" x14ac:dyDescent="0.2">
      <c r="D17" s="43">
        <v>7</v>
      </c>
      <c r="E17" s="32">
        <v>500000</v>
      </c>
      <c r="F17" s="33">
        <v>44489</v>
      </c>
      <c r="G17" s="33">
        <v>44742</v>
      </c>
      <c r="H17" s="34">
        <v>525000</v>
      </c>
      <c r="I17" s="35">
        <f>DATEDIF(F17,G17,"m")</f>
        <v>8</v>
      </c>
      <c r="J17" s="36">
        <f>VLOOKUP(I17,Tableau2[],2,1)</f>
        <v>0.55000000000000004</v>
      </c>
      <c r="K17" s="36">
        <f>VLOOKUP(I17,Tableau2[],3,1)</f>
        <v>0.44999999999999996</v>
      </c>
      <c r="L17" s="24">
        <f>IF(COUNTIF($D$6:D18,D17)&gt;1,VLOOKUP(I17,Tableau22[],4,1),VLOOKUP(I17,Tableau2[],4,1))</f>
        <v>5.5000000000000007E-2</v>
      </c>
    </row>
    <row r="18" spans="2:12" s="11" customFormat="1" x14ac:dyDescent="0.2">
      <c r="B18" s="1"/>
      <c r="D18" s="43">
        <v>2</v>
      </c>
      <c r="E18" s="45">
        <v>20000</v>
      </c>
      <c r="F18" s="46">
        <v>43808</v>
      </c>
      <c r="G18" s="46">
        <v>43567</v>
      </c>
      <c r="H18" s="47">
        <v>30000</v>
      </c>
      <c r="I18" s="48" t="e">
        <f>DATEDIF(F18,G18,"m")</f>
        <v>#NUM!</v>
      </c>
      <c r="J18" s="49" t="e">
        <f>VLOOKUP(I18,Tableau2[],2,1)</f>
        <v>#NUM!</v>
      </c>
      <c r="K18" s="49" t="e">
        <f>VLOOKUP(I18,Tableau2[],3,1)</f>
        <v>#NUM!</v>
      </c>
      <c r="L18" s="50" t="e">
        <f>IF(COUNTIF($D$6:D18,D18)&gt;1,VLOOKUP(I18,#REF!,4,1),VLOOKUP(I18,Tableau2[],4,1))</f>
        <v>#NUM!</v>
      </c>
    </row>
    <row r="19" spans="2:12" x14ac:dyDescent="0.2">
      <c r="B19" s="27" t="s">
        <v>5</v>
      </c>
      <c r="C19" s="18"/>
    </row>
    <row r="20" spans="2:12" x14ac:dyDescent="0.2">
      <c r="B20" s="27" t="s">
        <v>6</v>
      </c>
      <c r="C20" s="18"/>
    </row>
    <row r="21" spans="2:12" x14ac:dyDescent="0.2">
      <c r="B21" s="27" t="s">
        <v>7</v>
      </c>
      <c r="C21" s="18"/>
    </row>
    <row r="22" spans="2:12" x14ac:dyDescent="0.2">
      <c r="B22" s="27" t="s">
        <v>8</v>
      </c>
      <c r="C22" s="18"/>
    </row>
    <row r="33" spans="4:12" x14ac:dyDescent="0.2">
      <c r="D33" s="44" t="s">
        <v>14</v>
      </c>
      <c r="E33" s="44"/>
      <c r="F33" s="44"/>
      <c r="G33" s="44"/>
      <c r="H33" s="15"/>
      <c r="I33" s="10"/>
      <c r="J33" s="16"/>
      <c r="K33" s="16"/>
      <c r="L33" s="16"/>
    </row>
    <row r="34" spans="4:12" x14ac:dyDescent="0.2">
      <c r="D34" s="19" t="s">
        <v>12</v>
      </c>
      <c r="E34" s="20" t="s">
        <v>3</v>
      </c>
      <c r="F34" s="20" t="s">
        <v>4</v>
      </c>
      <c r="G34" s="21" t="s">
        <v>2</v>
      </c>
      <c r="H34" s="11"/>
      <c r="I34" s="28" t="str">
        <f ca="1">_xlfn.FORMULATEXT(I6)</f>
        <v>=DATEDIF(F6;G6;"m")</v>
      </c>
      <c r="J34" s="27"/>
      <c r="K34" s="27"/>
      <c r="L34" s="27"/>
    </row>
    <row r="35" spans="4:12" x14ac:dyDescent="0.2">
      <c r="D35" s="5">
        <v>0</v>
      </c>
      <c r="E35" s="22">
        <v>0.45</v>
      </c>
      <c r="F35" s="22">
        <f>100%-E35</f>
        <v>0.55000000000000004</v>
      </c>
      <c r="G35" s="23">
        <v>0.03</v>
      </c>
      <c r="I35" s="29"/>
      <c r="J35" s="28" t="str">
        <f ca="1">_xlfn.FORMULATEXT(J6)</f>
        <v>=RECHERCHEV(I6;Tableau2;2;1)</v>
      </c>
      <c r="K35" s="29"/>
      <c r="L35" s="29"/>
    </row>
    <row r="36" spans="4:12" x14ac:dyDescent="0.2">
      <c r="D36" s="5">
        <v>3</v>
      </c>
      <c r="E36" s="22">
        <v>0.5</v>
      </c>
      <c r="F36" s="22">
        <f>100%-E36</f>
        <v>0.5</v>
      </c>
      <c r="G36" s="23">
        <v>0.05</v>
      </c>
      <c r="I36" s="30"/>
      <c r="J36" s="27"/>
      <c r="K36" s="28" t="str">
        <f ca="1">_xlfn.FORMULATEXT(K6)</f>
        <v>=RECHERCHEV(I6;Tableau2;3;1)</v>
      </c>
      <c r="L36" s="27"/>
    </row>
    <row r="37" spans="4:12" x14ac:dyDescent="0.2">
      <c r="D37" s="5">
        <v>6</v>
      </c>
      <c r="E37" s="22">
        <v>0.55000000000000004</v>
      </c>
      <c r="F37" s="22">
        <f>100%-E37</f>
        <v>0.44999999999999996</v>
      </c>
      <c r="G37" s="24">
        <v>7.0000000000000007E-2</v>
      </c>
      <c r="I37" s="30"/>
      <c r="J37" s="27"/>
      <c r="K37" s="27"/>
      <c r="L37" s="28" t="str">
        <f ca="1">_xlfn.FORMULATEXT(L6)</f>
        <v>=SI(NB.SI($D$6:D6;D6)&gt;1;RECHERCHEV(I6;Tableau22;4;1);RECHERCHEV(I6;Tableau2;4;1))</v>
      </c>
    </row>
    <row r="38" spans="4:12" x14ac:dyDescent="0.2">
      <c r="D38" s="3">
        <v>9</v>
      </c>
      <c r="E38" s="25">
        <v>0.6</v>
      </c>
      <c r="F38" s="25">
        <f>100%-E38</f>
        <v>0.4</v>
      </c>
      <c r="G38" s="26">
        <v>0.1</v>
      </c>
      <c r="I38" s="30"/>
      <c r="J38" s="27"/>
      <c r="K38" s="27"/>
      <c r="L38" s="27"/>
    </row>
    <row r="40" spans="4:12" x14ac:dyDescent="0.2">
      <c r="D40" s="44" t="s">
        <v>15</v>
      </c>
      <c r="E40" s="44"/>
      <c r="F40" s="44"/>
      <c r="G40" s="44"/>
    </row>
    <row r="41" spans="4:12" x14ac:dyDescent="0.2">
      <c r="D41" s="19" t="s">
        <v>12</v>
      </c>
      <c r="E41" s="20" t="s">
        <v>3</v>
      </c>
      <c r="F41" s="20" t="s">
        <v>4</v>
      </c>
      <c r="G41" s="21" t="s">
        <v>2</v>
      </c>
    </row>
    <row r="42" spans="4:12" x14ac:dyDescent="0.2">
      <c r="D42" s="5">
        <v>0</v>
      </c>
      <c r="E42" s="22">
        <v>0.45</v>
      </c>
      <c r="F42" s="22">
        <f>100%-E42</f>
        <v>0.55000000000000004</v>
      </c>
      <c r="G42" s="23">
        <f>3%-1%</f>
        <v>1.9999999999999997E-2</v>
      </c>
    </row>
    <row r="43" spans="4:12" x14ac:dyDescent="0.2">
      <c r="D43" s="5">
        <v>3</v>
      </c>
      <c r="E43" s="22">
        <v>0.5</v>
      </c>
      <c r="F43" s="22">
        <f>100%-E43</f>
        <v>0.5</v>
      </c>
      <c r="G43" s="23">
        <f>5%-2.25%</f>
        <v>2.7500000000000004E-2</v>
      </c>
    </row>
    <row r="44" spans="4:12" x14ac:dyDescent="0.2">
      <c r="D44" s="5">
        <v>6</v>
      </c>
      <c r="E44" s="22">
        <v>0.55000000000000004</v>
      </c>
      <c r="F44" s="22">
        <f>100%-E44</f>
        <v>0.44999999999999996</v>
      </c>
      <c r="G44" s="24">
        <f>7%-1.5%</f>
        <v>5.5000000000000007E-2</v>
      </c>
    </row>
    <row r="45" spans="4:12" x14ac:dyDescent="0.2">
      <c r="D45" s="3">
        <v>9</v>
      </c>
      <c r="E45" s="25">
        <v>0.6</v>
      </c>
      <c r="F45" s="25">
        <f>100%-E45</f>
        <v>0.4</v>
      </c>
      <c r="G45" s="26">
        <f>10%-1.75%</f>
        <v>8.2500000000000004E-2</v>
      </c>
    </row>
  </sheetData>
  <mergeCells count="2">
    <mergeCell ref="D33:G33"/>
    <mergeCell ref="D40:G40"/>
  </mergeCells>
  <pageMargins left="0.7" right="0.7" top="0.75" bottom="0.75" header="0.3" footer="0.3"/>
  <pageSetup paperSize="9" orientation="portrait" horizontalDpi="4294967293" verticalDpi="0" r:id="rId1"/>
  <tableParts count="3"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4th semestriel hurdle  (2)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Microsoft Office User</cp:lastModifiedBy>
  <dcterms:created xsi:type="dcterms:W3CDTF">2019-08-06T08:13:20Z</dcterms:created>
  <dcterms:modified xsi:type="dcterms:W3CDTF">2019-08-06T14:32:40Z</dcterms:modified>
</cp:coreProperties>
</file>