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mc:AlternateContent xmlns:mc="http://schemas.openxmlformats.org/markup-compatibility/2006">
    <mc:Choice Requires="x15">
      <x15ac:absPath xmlns:x15ac="http://schemas.microsoft.com/office/spreadsheetml/2010/11/ac" url="C:\Users\Aniri Maguru\Desktop\"/>
    </mc:Choice>
  </mc:AlternateContent>
  <xr:revisionPtr revIDLastSave="0" documentId="13_ncr:1_{F37DF79E-273D-4161-88FE-DF94BABA3092}" xr6:coauthVersionLast="43" xr6:coauthVersionMax="43" xr10:uidLastSave="{00000000-0000-0000-0000-000000000000}"/>
  <bookViews>
    <workbookView xWindow="1995" yWindow="180" windowWidth="26805" windowHeight="15420" activeTab="6" xr2:uid="{00000000-000D-0000-FFFF-FFFF00000000}"/>
  </bookViews>
  <sheets>
    <sheet name="Cover" sheetId="46" r:id="rId1"/>
    <sheet name="Hotel" sheetId="41" r:id="rId2"/>
    <sheet name="Hotel Operating Revenue" sheetId="21" r:id="rId3"/>
    <sheet name="Acquisition" sheetId="45" r:id="rId4"/>
    <sheet name="Assumptions" sheetId="47" r:id="rId5"/>
    <sheet name="CF 15y" sheetId="48" r:id="rId6"/>
    <sheet name="IRR 15y" sheetId="49" r:id="rId7"/>
    <sheet name="Amortization Table 15y" sheetId="51" r:id="rId8"/>
    <sheet name="Sensivity " sheetId="56" r:id="rId9"/>
  </sheets>
  <externalReferences>
    <externalReference r:id="rId10"/>
    <externalReference r:id="rId11"/>
    <externalReference r:id="rId12"/>
    <externalReference r:id="rId13"/>
    <externalReference r:id="rId14"/>
  </externalReferences>
  <definedNames>
    <definedName name="__FDS_HYPERLINK_TOGGLE_STATE__" hidden="1">"ON"</definedName>
    <definedName name="__PRN2" localSheetId="7" hidden="1">{"adj95mult",#N/A,FALSE,"COMPCO";"adj95est",#N/A,FALSE,"COMPCO"}</definedName>
    <definedName name="__PRN2" localSheetId="4" hidden="1">{"adj95mult",#N/A,FALSE,"COMPCO";"adj95est",#N/A,FALSE,"COMPCO"}</definedName>
    <definedName name="__PRN2" localSheetId="5" hidden="1">{"adj95mult",#N/A,FALSE,"COMPCO";"adj95est",#N/A,FALSE,"COMPCO"}</definedName>
    <definedName name="__PRN2" localSheetId="1" hidden="1">{"adj95mult",#N/A,FALSE,"COMPCO";"adj95est",#N/A,FALSE,"COMPCO"}</definedName>
    <definedName name="__PRN2" localSheetId="6" hidden="1">{"adj95mult",#N/A,FALSE,"COMPCO";"adj95est",#N/A,FALSE,"COMPCO"}</definedName>
    <definedName name="__PRN2" hidden="1">{"adj95mult",#N/A,FALSE,"COMPCO";"adj95est",#N/A,FALSE,"COMPCO"}</definedName>
    <definedName name="_1__FDSAUDITLINK__" localSheetId="7" hidden="1">{"fdsup://directions/FAT Viewer?action=UPDATE&amp;creator=factset&amp;DYN_ARGS=TRUE&amp;DOC_NAME=FAT:FQL_AUDITING_CLIENT_TEMPLATE.FAT&amp;display_string=Audit&amp;VAR:KEY=QDWBINOJIH&amp;VAR:QUERY=UkdGX1BCS19UQU5HKFFUUiwwLCwsLCwsTk9BVURJVCk=&amp;WINDOW=FIRST_POPUP&amp;HEIGHT=450&amp;WIDTH=450&amp;","START_MAXIMIZED=FALSE&amp;VAR:CALENDAR=US&amp;VAR:SYMBOL=PACW&amp;VAR:INDEX=0"}</definedName>
    <definedName name="_1__FDSAUDITLINK__" localSheetId="4" hidden="1">{"fdsup://directions/FAT Viewer?action=UPDATE&amp;creator=factset&amp;DYN_ARGS=TRUE&amp;DOC_NAME=FAT:FQL_AUDITING_CLIENT_TEMPLATE.FAT&amp;display_string=Audit&amp;VAR:KEY=QDWBINOJIH&amp;VAR:QUERY=UkdGX1BCS19UQU5HKFFUUiwwLCwsLCwsTk9BVURJVCk=&amp;WINDOW=FIRST_POPUP&amp;HEIGHT=450&amp;WIDTH=450&amp;","START_MAXIMIZED=FALSE&amp;VAR:CALENDAR=US&amp;VAR:SYMBOL=PACW&amp;VAR:INDEX=0"}</definedName>
    <definedName name="_1__FDSAUDITLINK__" localSheetId="5" hidden="1">{"fdsup://directions/FAT Viewer?action=UPDATE&amp;creator=factset&amp;DYN_ARGS=TRUE&amp;DOC_NAME=FAT:FQL_AUDITING_CLIENT_TEMPLATE.FAT&amp;display_string=Audit&amp;VAR:KEY=QDWBINOJIH&amp;VAR:QUERY=UkdGX1BCS19UQU5HKFFUUiwwLCwsLCwsTk9BVURJVCk=&amp;WINDOW=FIRST_POPUP&amp;HEIGHT=450&amp;WIDTH=450&amp;","START_MAXIMIZED=FALSE&amp;VAR:CALENDAR=US&amp;VAR:SYMBOL=PACW&amp;VAR:INDEX=0"}</definedName>
    <definedName name="_1__FDSAUDITLINK__" localSheetId="1" hidden="1">{"fdsup://directions/FAT Viewer?action=UPDATE&amp;creator=factset&amp;DYN_ARGS=TRUE&amp;DOC_NAME=FAT:FQL_AUDITING_CLIENT_TEMPLATE.FAT&amp;display_string=Audit&amp;VAR:KEY=QDWBINOJIH&amp;VAR:QUERY=UkdGX1BCS19UQU5HKFFUUiwwLCwsLCwsTk9BVURJVCk=&amp;WINDOW=FIRST_POPUP&amp;HEIGHT=450&amp;WIDTH=450&amp;","START_MAXIMIZED=FALSE&amp;VAR:CALENDAR=US&amp;VAR:SYMBOL=PACW&amp;VAR:INDEX=0"}</definedName>
    <definedName name="_1__FDSAUDITLINK__" localSheetId="6" hidden="1">{"fdsup://directions/FAT Viewer?action=UPDATE&amp;creator=factset&amp;DYN_ARGS=TRUE&amp;DOC_NAME=FAT:FQL_AUDITING_CLIENT_TEMPLATE.FAT&amp;display_string=Audit&amp;VAR:KEY=QDWBINOJIH&amp;VAR:QUERY=UkdGX1BCS19UQU5HKFFUUiwwLCwsLCwsTk9BVURJVCk=&amp;WINDOW=FIRST_POPUP&amp;HEIGHT=450&amp;WIDTH=450&amp;","START_MAXIMIZED=FALSE&amp;VAR:CALENDAR=US&amp;VAR:SYMBOL=PACW&amp;VAR:INDEX=0"}</definedName>
    <definedName name="_1__FDSAUDITLINK__" hidden="1">{"fdsup://directions/FAT Viewer?action=UPDATE&amp;creator=factset&amp;DYN_ARGS=TRUE&amp;DOC_NAME=FAT:FQL_AUDITING_CLIENT_TEMPLATE.FAT&amp;display_string=Audit&amp;VAR:KEY=QDWBINOJIH&amp;VAR:QUERY=UkdGX1BCS19UQU5HKFFUUiwwLCwsLCwsTk9BVURJVCk=&amp;WINDOW=FIRST_POPUP&amp;HEIGHT=450&amp;WIDTH=450&amp;","START_MAXIMIZED=FALSE&amp;VAR:CALENDAR=US&amp;VAR:SYMBOL=PACW&amp;VAR:INDEX=0"}</definedName>
    <definedName name="_2__FDSAUDITLINK__" localSheetId="7"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2__FDSAUDITLINK__" localSheetId="4"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2__FDSAUDITLINK__" localSheetId="5"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2__FDSAUDITLINK__" localSheetId="1"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2__FDSAUDITLINK__" localSheetId="6"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2__FDSAUDITLINK__"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3__FDSAUDITLINK__" localSheetId="7"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3__FDSAUDITLINK__" localSheetId="4"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3__FDSAUDITLINK__" localSheetId="5"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3__FDSAUDITLINK__" localSheetId="1"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3__FDSAUDITLINK__" localSheetId="6"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3__FDSAUDITLINK__"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4__FDSAUDITLINK__" localSheetId="7"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4__FDSAUDITLINK__" localSheetId="4"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4__FDSAUDITLINK__" localSheetId="5"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4__FDSAUDITLINK__" localSheetId="1"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4__FDSAUDITLINK__" localSheetId="6"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4__FDSAUDITLINK__" hidden="1">{"fdsup://directions/FAT Viewer?action=UPDATE&amp;creator=factset&amp;DYN_ARGS=TRUE&amp;DOC_NAME=FAT:FQL_AUDITING_CLIENT_TEMPLATE.FAT&amp;display_string=Audit&amp;VAR:KEY=OJEJONYJWR&amp;VAR:QUERY=SlVMSUFOKElDX0VTVElNQVRFKEVQUygpLE1FRCxBTk4sMjAxMSwwLDApLmRhdGVzKQ==&amp;WINDOW=FIRST_POP","UP&amp;HEIGHT=450&amp;WIDTH=450&amp;START_MAXIMIZED=FALSE&amp;VAR:CALENDAR=US&amp;VAR:SYMBOL=CYN&amp;VAR:INDEX=0"}</definedName>
    <definedName name="_5__FDSAUDITLINK__" localSheetId="7"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5__FDSAUDITLINK__" localSheetId="4"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5__FDSAUDITLINK__" localSheetId="5"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5__FDSAUDITLINK__" localSheetId="1"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5__FDSAUDITLINK__" localSheetId="6"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5__FDSAUDITLINK__" hidden="1">{"fdsup://directions/FAT Viewer?action=UPDATE&amp;creator=factset&amp;DYN_ARGS=TRUE&amp;DOC_NAME=FAT:FQL_AUDITING_CLIENT_TEMPLATE.FAT&amp;display_string=Audit&amp;VAR:KEY=UJYLERKLUR&amp;VAR:QUERY=SlVMSUFOKElDX0VTVElNQVRFKEVQUygpLE1FRCxBTk4sMjAxMSw0MDgxNCwwKS5kYXRlcyk=&amp;WINDOW=FIRST","_POPUP&amp;HEIGHT=450&amp;WIDTH=450&amp;START_MAXIMIZED=FALSE&amp;VAR:CALENDAR=US&amp;VAR:SYMBOL=CYN&amp;VAR:INDEX=0"}</definedName>
    <definedName name="_end1" localSheetId="7">#REF!</definedName>
    <definedName name="_end1">#REF!</definedName>
    <definedName name="_Fill" localSheetId="7" hidden="1">'[1]Dual A'!#REF!</definedName>
    <definedName name="_Fill" hidden="1">'[1]Dual A'!#REF!</definedName>
    <definedName name="_Key1" localSheetId="7" hidden="1">#REF!</definedName>
    <definedName name="_Key1" hidden="1">#REF!</definedName>
    <definedName name="_Order1" hidden="1">255</definedName>
    <definedName name="_Order2" hidden="1">255</definedName>
    <definedName name="_Parse_Out" localSheetId="7" hidden="1">#REF!</definedName>
    <definedName name="_Parse_Out" hidden="1">#REF!</definedName>
    <definedName name="_PRN2" localSheetId="7" hidden="1">{"adj95mult",#N/A,FALSE,"COMPCO";"adj95est",#N/A,FALSE,"COMPCO"}</definedName>
    <definedName name="_PRN2" localSheetId="4" hidden="1">{"adj95mult",#N/A,FALSE,"COMPCO";"adj95est",#N/A,FALSE,"COMPCO"}</definedName>
    <definedName name="_PRN2" localSheetId="5" hidden="1">{"adj95mult",#N/A,FALSE,"COMPCO";"adj95est",#N/A,FALSE,"COMPCO"}</definedName>
    <definedName name="_PRN2" localSheetId="1" hidden="1">{"adj95mult",#N/A,FALSE,"COMPCO";"adj95est",#N/A,FALSE,"COMPCO"}</definedName>
    <definedName name="_PRN2" localSheetId="6" hidden="1">{"adj95mult",#N/A,FALSE,"COMPCO";"adj95est",#N/A,FALSE,"COMPCO"}</definedName>
    <definedName name="_PRN2" hidden="1">{"adj95mult",#N/A,FALSE,"COMPCO";"adj95est",#N/A,FALSE,"COMPCO"}</definedName>
    <definedName name="aa" localSheetId="7" hidden="1">{"DCF1",#N/A,FALSE,"SIERRA DCF";"MATRIX1",#N/A,FALSE,"SIERRA DCF"}</definedName>
    <definedName name="aa" localSheetId="4" hidden="1">{"DCF1",#N/A,FALSE,"SIERRA DCF";"MATRIX1",#N/A,FALSE,"SIERRA DCF"}</definedName>
    <definedName name="aa" localSheetId="5" hidden="1">{"DCF1",#N/A,FALSE,"SIERRA DCF";"MATRIX1",#N/A,FALSE,"SIERRA DCF"}</definedName>
    <definedName name="aa" localSheetId="1" hidden="1">{"DCF1",#N/A,FALSE,"SIERRA DCF";"MATRIX1",#N/A,FALSE,"SIERRA DCF"}</definedName>
    <definedName name="aa" localSheetId="6" hidden="1">{"DCF1",#N/A,FALSE,"SIERRA DCF";"MATRIX1",#N/A,FALSE,"SIERRA DCF"}</definedName>
    <definedName name="aa" hidden="1">{"DCF1",#N/A,FALSE,"SIERRA DCF";"MATRIX1",#N/A,FALSE,"SIERRA DCF"}</definedName>
    <definedName name="aaa" localSheetId="7" hidden="1">{"adj95mult",#N/A,FALSE,"COMPCO";"adj95est",#N/A,FALSE,"COMPCO"}</definedName>
    <definedName name="aaa" localSheetId="4" hidden="1">{"adj95mult",#N/A,FALSE,"COMPCO";"adj95est",#N/A,FALSE,"COMPCO"}</definedName>
    <definedName name="aaa" localSheetId="5" hidden="1">{"adj95mult",#N/A,FALSE,"COMPCO";"adj95est",#N/A,FALSE,"COMPCO"}</definedName>
    <definedName name="aaa" localSheetId="1" hidden="1">{"adj95mult",#N/A,FALSE,"COMPCO";"adj95est",#N/A,FALSE,"COMPCO"}</definedName>
    <definedName name="aaa" localSheetId="6" hidden="1">{"adj95mult",#N/A,FALSE,"COMPCO";"adj95est",#N/A,FALSE,"COMPCO"}</definedName>
    <definedName name="aaa" hidden="1">{"adj95mult",#N/A,FALSE,"COMPCO";"adj95est",#N/A,FALSE,"COMPCO"}</definedName>
    <definedName name="abcd" localSheetId="7" hidden="1">{#N/A,#N/A,FALSE,"Cashflow Analysis";#N/A,#N/A,FALSE,"Sensitivity Analysis";#N/A,#N/A,FALSE,"PV";#N/A,#N/A,FALSE,"Pro Forma"}</definedName>
    <definedName name="abcd" localSheetId="4" hidden="1">{#N/A,#N/A,FALSE,"Cashflow Analysis";#N/A,#N/A,FALSE,"Sensitivity Analysis";#N/A,#N/A,FALSE,"PV";#N/A,#N/A,FALSE,"Pro Forma"}</definedName>
    <definedName name="abcd" localSheetId="5" hidden="1">{#N/A,#N/A,FALSE,"Cashflow Analysis";#N/A,#N/A,FALSE,"Sensitivity Analysis";#N/A,#N/A,FALSE,"PV";#N/A,#N/A,FALSE,"Pro Forma"}</definedName>
    <definedName name="abcd" localSheetId="1" hidden="1">{#N/A,#N/A,FALSE,"Cashflow Analysis";#N/A,#N/A,FALSE,"Sensitivity Analysis";#N/A,#N/A,FALSE,"PV";#N/A,#N/A,FALSE,"Pro Forma"}</definedName>
    <definedName name="abcd" localSheetId="6" hidden="1">{#N/A,#N/A,FALSE,"Cashflow Analysis";#N/A,#N/A,FALSE,"Sensitivity Analysis";#N/A,#N/A,FALSE,"PV";#N/A,#N/A,FALSE,"Pro Forma"}</definedName>
    <definedName name="abcd" hidden="1">{#N/A,#N/A,FALSE,"Cashflow Analysis";#N/A,#N/A,FALSE,"Sensitivity Analysis";#N/A,#N/A,FALSE,"PV";#N/A,#N/A,FALSE,"Pro Forma"}</definedName>
    <definedName name="abeille" localSheetId="7">#REF!</definedName>
    <definedName name="abeille">#REF!</definedName>
    <definedName name="amort" localSheetId="7">#REF!</definedName>
    <definedName name="amort">#REF!</definedName>
    <definedName name="annee" localSheetId="7">#REF!</definedName>
    <definedName name="annee">#REF!</definedName>
    <definedName name="Anniversaire" localSheetId="7">#REF!,#REF!,#REF!,#REF!</definedName>
    <definedName name="Anniversaire" localSheetId="4">#REF!,#REF!,#REF!,#REF!</definedName>
    <definedName name="Anniversaire" localSheetId="2">#REF!,#REF!,#REF!,#REF!</definedName>
    <definedName name="Anniversaire" localSheetId="6">#REF!,#REF!,#REF!,#REF!</definedName>
    <definedName name="Anniversaire">#REF!,#REF!,#REF!,#REF!</definedName>
    <definedName name="base" localSheetId="7">#REF!</definedName>
    <definedName name="base">#REF!</definedName>
    <definedName name="BASE2" localSheetId="7">#REF!</definedName>
    <definedName name="BASE2">#REF!</definedName>
    <definedName name="bop" localSheetId="7">#REF!</definedName>
    <definedName name="bop">#REF!</definedName>
    <definedName name="CAP1E" localSheetId="7">#REF!</definedName>
    <definedName name="CAP1E" localSheetId="4">#REF!</definedName>
    <definedName name="CAP1E" localSheetId="2">#REF!</definedName>
    <definedName name="CAP1E" localSheetId="6">#REF!</definedName>
    <definedName name="CAP1E">#REF!</definedName>
    <definedName name="CapitFIXE" localSheetId="7">#REF!</definedName>
    <definedName name="CapitFIXE" localSheetId="4">#REF!</definedName>
    <definedName name="CapitFIXE" localSheetId="2">#REF!</definedName>
    <definedName name="CapitFIXE" localSheetId="6">#REF!</definedName>
    <definedName name="CapitFIXE">#REF!</definedName>
    <definedName name="casds" localSheetId="7" hidden="1">{"DCF1",#N/A,FALSE,"SIERRA DCF";"MATRIX1",#N/A,FALSE,"SIERRA DCF"}</definedName>
    <definedName name="casds" localSheetId="4" hidden="1">{"DCF1",#N/A,FALSE,"SIERRA DCF";"MATRIX1",#N/A,FALSE,"SIERRA DCF"}</definedName>
    <definedName name="casds" localSheetId="5" hidden="1">{"DCF1",#N/A,FALSE,"SIERRA DCF";"MATRIX1",#N/A,FALSE,"SIERRA DCF"}</definedName>
    <definedName name="casds" localSheetId="1" hidden="1">{"DCF1",#N/A,FALSE,"SIERRA DCF";"MATRIX1",#N/A,FALSE,"SIERRA DCF"}</definedName>
    <definedName name="casds" localSheetId="6" hidden="1">{"DCF1",#N/A,FALSE,"SIERRA DCF";"MATRIX1",#N/A,FALSE,"SIERRA DCF"}</definedName>
    <definedName name="casds" hidden="1">{"DCF1",#N/A,FALSE,"SIERRA DCF";"MATRIX1",#N/A,FALSE,"SIERRA DCF"}</definedName>
    <definedName name="cb_sChart10D6460A_opts" hidden="1">"1, 1, 1, False, 2, True, False, , 0, False, False, 1, 1"</definedName>
    <definedName name="cb_sChart10D65256_opts" hidden="1">"1, 1, 1, False, 2, True, False, , 0, False, False, 1, 1"</definedName>
    <definedName name="cb_sChart10D653EB_opts" hidden="1">"1, 1, 1, False, 2, True, False, , 0, False, False, 1, 1"</definedName>
    <definedName name="cb_sChart10D65893_opts" hidden="1">"1, 1, 1, False, 2, True, False, , 0, False, False, 1, 1"</definedName>
    <definedName name="cb_sChartEE4CE1B_opts" hidden="1">"1, 4, 1, False, 2, False, False, , 0, False, False, 1, 1"</definedName>
    <definedName name="cb_sChartEE4CF99_opts" hidden="1">"1, 1, 1, False, 2, False, False, , 0, False, False, 1, 1"</definedName>
    <definedName name="cb_sChartEE4DD06_opts" hidden="1">"1, 1, 1, False, 2, False, False, , 0, False, False, 1, 2"</definedName>
    <definedName name="cb_sChartEE4E93B_opts" hidden="1">"1, 1, 1, False, 2, False, False, , 0, False, False, 1, 1"</definedName>
    <definedName name="cb_sChartEE51E95_opts" hidden="1">"1, 1, 1, False, 2, False, False, , 0, False, False, 1, 1"</definedName>
    <definedName name="cb_sChartEED7645_opts" hidden="1">"1, 1, 1, False, 2, False, False, , 0, False, False, 1, 1"</definedName>
    <definedName name="cb_sChartEEDA195_opts" hidden="1">"1, 1, 1, False, 2, False, False, , 0, False, False, 1, 1"</definedName>
    <definedName name="cb_sChartEEDC338_opts" hidden="1">"1, 1, 1, False, 2, False, False, , 0, False, False, 1, 1"</definedName>
    <definedName name="cb_sChartEEDEDB8_opts" hidden="1">"1, 1, 1, False, 2, False, False, , 0, False, True, 1, 1"</definedName>
    <definedName name="cb_sChartEEDEE5A_opts" hidden="1">"1, 3, 1, False, 2, True, False, , 0, False, True, 1, 1"</definedName>
    <definedName name="cb_sChartEEDF178_opts" hidden="1">"1, 3, 1, False, 2, False, False, , 0, False, True, 1, 1"</definedName>
    <definedName name="cb_sChartF6A6B11_opts" hidden="1">"1, 1, 1, False, 2, True, False, , 0, False, False, 1, 1"</definedName>
    <definedName name="cb_sChartFD191DC_opts" hidden="1">"1, 3, 1, False, 2, True, False, , 0, False, True, 1, 1"</definedName>
    <definedName name="cb_sChartFD1A245_opts" hidden="1">"1, 3, 1, False, 2, True, False, , 0, False, True, 1, 1"</definedName>
    <definedName name="cb_sChartFD3F0E9_opts" hidden="1">"1, 3, 1, False, 2, True, False, , 0, False, False, 1, 1"</definedName>
    <definedName name="cb_sChartFD3F27E_opts" hidden="1">"1, 3, 1, False, 2, True, False, , 0, False, True, 1, 1"</definedName>
    <definedName name="cb_sChartFD58483_opts" hidden="1">"1, 1, 1, False, 2, True, False, , 0, False, False, 1, 1"</definedName>
    <definedName name="cb_sChartFD5C4CD_opts" hidden="1">"1, 1, 1, False, 2, True, False, , 0, False, False, 1, 1"</definedName>
    <definedName name="cb_sChartFD5D4CE_opts" hidden="1">"1, 1, 1, False, 2, True, False, , 0, False, False, 1, 1"</definedName>
    <definedName name="cb_sChartFD5DF34_opts" hidden="1">"1, 1, 1, False, 2, True, False, , 0, False, False, 1, 1"</definedName>
    <definedName name="cb_sChartFD5EFC0_opts" hidden="1">"1, 1, 1, False, 2, True, False, , 0, False, False, 1, 1"</definedName>
    <definedName name="cb_sChartFD5FDB9_opts" hidden="1">"1, 1, 1, False, 2, True, False, , 0, False, False, 1, 1"</definedName>
    <definedName name="cb_sChartFE54712_opts" hidden="1">"1, 3, 1, False, 2, True, False, , 0, False, True, 1, 1"</definedName>
    <definedName name="Changement_de_taux" localSheetId="7">#REF!</definedName>
    <definedName name="Changement_de_taux" localSheetId="4">#REF!</definedName>
    <definedName name="Changement_de_taux" localSheetId="2">#REF!</definedName>
    <definedName name="Changement_de_taux" localSheetId="6">#REF!</definedName>
    <definedName name="Changement_de_taux">#REF!</definedName>
    <definedName name="CIQWBGuid" hidden="1">"2013 Operating Budget - 12-5-2012v10.xlsx"</definedName>
    <definedName name="cost" localSheetId="7">#REF!</definedName>
    <definedName name="cost">#REF!</definedName>
    <definedName name="Cout_Total" localSheetId="7">#REF!</definedName>
    <definedName name="Cout_Total" localSheetId="4">#REF!</definedName>
    <definedName name="Cout_Total" localSheetId="2">#REF!</definedName>
    <definedName name="Cout_Total" localSheetId="6">#REF!</definedName>
    <definedName name="Cout_Total">#REF!</definedName>
    <definedName name="dafdsf" localSheetId="7" hidden="1">{"qchm_dcf",#N/A,FALSE,"QCHMDCF2";"qchm_terminal",#N/A,FALSE,"QCHMDCF2"}</definedName>
    <definedName name="dafdsf" localSheetId="4" hidden="1">{"qchm_dcf",#N/A,FALSE,"QCHMDCF2";"qchm_terminal",#N/A,FALSE,"QCHMDCF2"}</definedName>
    <definedName name="dafdsf" localSheetId="5" hidden="1">{"qchm_dcf",#N/A,FALSE,"QCHMDCF2";"qchm_terminal",#N/A,FALSE,"QCHMDCF2"}</definedName>
    <definedName name="dafdsf" localSheetId="1" hidden="1">{"qchm_dcf",#N/A,FALSE,"QCHMDCF2";"qchm_terminal",#N/A,FALSE,"QCHMDCF2"}</definedName>
    <definedName name="dafdsf" localSheetId="6" hidden="1">{"qchm_dcf",#N/A,FALSE,"QCHMDCF2";"qchm_terminal",#N/A,FALSE,"QCHMDCF2"}</definedName>
    <definedName name="dafdsf" hidden="1">{"qchm_dcf",#N/A,FALSE,"QCHMDCF2";"qchm_terminal",#N/A,FALSE,"QCHMDCF2"}</definedName>
    <definedName name="DATDB" localSheetId="7">#REF!</definedName>
    <definedName name="DATDB" localSheetId="4">#REF!</definedName>
    <definedName name="DATDB" localSheetId="2">#REF!</definedName>
    <definedName name="DATDB" localSheetId="6">#REF!</definedName>
    <definedName name="DATDB">#REF!</definedName>
    <definedName name="date_vte" localSheetId="7">#REF!</definedName>
    <definedName name="date_vte">#REF!</definedName>
    <definedName name="deb" localSheetId="7">#REF!</definedName>
    <definedName name="deb">#REF!</definedName>
    <definedName name="DebAmort" localSheetId="7">#REF!</definedName>
    <definedName name="DebAmort" localSheetId="4">#REF!</definedName>
    <definedName name="DebAmort" localSheetId="2">#REF!</definedName>
    <definedName name="DebAmort" localSheetId="6">#REF!</definedName>
    <definedName name="DebAmort">#REF!</definedName>
    <definedName name="debut" localSheetId="7">#REF!</definedName>
    <definedName name="debut">#REF!</definedName>
    <definedName name="debut2" localSheetId="7">#REF!</definedName>
    <definedName name="debut2">#REF!</definedName>
    <definedName name="dfa" localSheetId="7" hidden="1">{"Acq_matrix",#N/A,FALSE,"Acquisition Matrix"}</definedName>
    <definedName name="dfa" localSheetId="4" hidden="1">{"Acq_matrix",#N/A,FALSE,"Acquisition Matrix"}</definedName>
    <definedName name="dfa" localSheetId="5" hidden="1">{"Acq_matrix",#N/A,FALSE,"Acquisition Matrix"}</definedName>
    <definedName name="dfa" localSheetId="1" hidden="1">{"Acq_matrix",#N/A,FALSE,"Acquisition Matrix"}</definedName>
    <definedName name="dfa" localSheetId="6" hidden="1">{"Acq_matrix",#N/A,FALSE,"Acquisition Matrix"}</definedName>
    <definedName name="dfa" hidden="1">{"Acq_matrix",#N/A,FALSE,"Acquisition Matrix"}</definedName>
    <definedName name="dfhgfgdjgd" localSheetId="7" hidden="1">{"Matrix",#N/A,FALSE,"ACQMTRX";"Fees",#N/A,FALSE,"ACQMTRX"}</definedName>
    <definedName name="dfhgfgdjgd" localSheetId="4" hidden="1">{"Matrix",#N/A,FALSE,"ACQMTRX";"Fees",#N/A,FALSE,"ACQMTRX"}</definedName>
    <definedName name="dfhgfgdjgd" localSheetId="5" hidden="1">{"Matrix",#N/A,FALSE,"ACQMTRX";"Fees",#N/A,FALSE,"ACQMTRX"}</definedName>
    <definedName name="dfhgfgdjgd" localSheetId="1" hidden="1">{"Matrix",#N/A,FALSE,"ACQMTRX";"Fees",#N/A,FALSE,"ACQMTRX"}</definedName>
    <definedName name="dfhgfgdjgd" localSheetId="6" hidden="1">{"Matrix",#N/A,FALSE,"ACQMTRX";"Fees",#N/A,FALSE,"ACQMTRX"}</definedName>
    <definedName name="dfhgfgdjgd" hidden="1">{"Matrix",#N/A,FALSE,"ACQMTRX";"Fees",#N/A,FALSE,"ACQMTRX"}</definedName>
    <definedName name="Diff" localSheetId="7">#REF!</definedName>
    <definedName name="Diff">#REF!</definedName>
    <definedName name="Différé" localSheetId="7">#REF!</definedName>
    <definedName name="Différé" localSheetId="4">[2]TAM!$I$13</definedName>
    <definedName name="Différé" localSheetId="2">#REF!</definedName>
    <definedName name="Différé" localSheetId="6">[2]TAM!$I$13</definedName>
    <definedName name="Différé">#REF!</definedName>
    <definedName name="DiffSimple" localSheetId="7">#REF!</definedName>
    <definedName name="DiffSimple" localSheetId="4">#REF!</definedName>
    <definedName name="DiffSimple" localSheetId="2">#REF!</definedName>
    <definedName name="DiffSimple" localSheetId="6">#REF!</definedName>
    <definedName name="DiffSimple">#REF!</definedName>
    <definedName name="DiffTotal" localSheetId="7">#REF!</definedName>
    <definedName name="DiffTotal" localSheetId="4">#REF!</definedName>
    <definedName name="DiffTotal" localSheetId="2">#REF!</definedName>
    <definedName name="DiffTotal" localSheetId="6">#REF!</definedName>
    <definedName name="DiffTotal">#REF!</definedName>
    <definedName name="Div_Industrial" localSheetId="7" hidden="1">{"adj95mult",#N/A,FALSE,"COMPCO";"adj95est",#N/A,FALSE,"COMPCO"}</definedName>
    <definedName name="Div_Industrial" localSheetId="4" hidden="1">{"adj95mult",#N/A,FALSE,"COMPCO";"adj95est",#N/A,FALSE,"COMPCO"}</definedName>
    <definedName name="Div_Industrial" localSheetId="5" hidden="1">{"adj95mult",#N/A,FALSE,"COMPCO";"adj95est",#N/A,FALSE,"COMPCO"}</definedName>
    <definedName name="Div_Industrial" localSheetId="1" hidden="1">{"adj95mult",#N/A,FALSE,"COMPCO";"adj95est",#N/A,FALSE,"COMPCO"}</definedName>
    <definedName name="Div_Industrial" localSheetId="6" hidden="1">{"adj95mult",#N/A,FALSE,"COMPCO";"adj95est",#N/A,FALSE,"COMPCO"}</definedName>
    <definedName name="Div_Industrial" hidden="1">{"adj95mult",#N/A,FALSE,"COMPCO";"adj95est",#N/A,FALSE,"COMPCO"}</definedName>
    <definedName name="EchFIXE" localSheetId="7">#REF!</definedName>
    <definedName name="EchFIXE" localSheetId="4">#REF!</definedName>
    <definedName name="EchFIXE" localSheetId="2">#REF!</definedName>
    <definedName name="EchFIXE" localSheetId="6">#REF!</definedName>
    <definedName name="EchFIXE">#REF!</definedName>
    <definedName name="end" localSheetId="7">#REF!</definedName>
    <definedName name="end">#REF!</definedName>
    <definedName name="eop" localSheetId="7">#REF!</definedName>
    <definedName name="eop">#REF!</definedName>
    <definedName name="EV__LASTREFTIME__" hidden="1">39902.6937962963</definedName>
    <definedName name="exit" localSheetId="7">#REF!</definedName>
    <definedName name="exit">#REF!</definedName>
    <definedName name="_xlnm.Extract" localSheetId="7">'[3]GORALSKA HOTEL'!#REF!</definedName>
    <definedName name="_xlnm.Extract" localSheetId="4">'[3]GORALSKA HOTEL'!#REF!</definedName>
    <definedName name="_xlnm.Extract">'[4]GORALSKA HOTEL'!#REF!</definedName>
    <definedName name="fgefgef" localSheetId="7" hidden="1">{"qchm_dcf",#N/A,FALSE,"QCHMDCF2";"qchm_terminal",#N/A,FALSE,"QCHMDCF2"}</definedName>
    <definedName name="fgefgef" localSheetId="4" hidden="1">{"qchm_dcf",#N/A,FALSE,"QCHMDCF2";"qchm_terminal",#N/A,FALSE,"QCHMDCF2"}</definedName>
    <definedName name="fgefgef" localSheetId="5" hidden="1">{"qchm_dcf",#N/A,FALSE,"QCHMDCF2";"qchm_terminal",#N/A,FALSE,"QCHMDCF2"}</definedName>
    <definedName name="fgefgef" localSheetId="1" hidden="1">{"qchm_dcf",#N/A,FALSE,"QCHMDCF2";"qchm_terminal",#N/A,FALSE,"QCHMDCF2"}</definedName>
    <definedName name="fgefgef" localSheetId="6" hidden="1">{"qchm_dcf",#N/A,FALSE,"QCHMDCF2";"qchm_terminal",#N/A,FALSE,"QCHMDCF2"}</definedName>
    <definedName name="fgefgef" hidden="1">{"qchm_dcf",#N/A,FALSE,"QCHMDCF2";"qchm_terminal",#N/A,FALSE,"QCHMDCF2"}</definedName>
    <definedName name="fhrghgrd" localSheetId="7" hidden="1">{"DCF1",#N/A,FALSE,"SIERRA DCF";"MATRIX1",#N/A,FALSE,"SIERRA DCF"}</definedName>
    <definedName name="fhrghgrd" localSheetId="4" hidden="1">{"DCF1",#N/A,FALSE,"SIERRA DCF";"MATRIX1",#N/A,FALSE,"SIERRA DCF"}</definedName>
    <definedName name="fhrghgrd" localSheetId="5" hidden="1">{"DCF1",#N/A,FALSE,"SIERRA DCF";"MATRIX1",#N/A,FALSE,"SIERRA DCF"}</definedName>
    <definedName name="fhrghgrd" localSheetId="1" hidden="1">{"DCF1",#N/A,FALSE,"SIERRA DCF";"MATRIX1",#N/A,FALSE,"SIERRA DCF"}</definedName>
    <definedName name="fhrghgrd" localSheetId="6" hidden="1">{"DCF1",#N/A,FALSE,"SIERRA DCF";"MATRIX1",#N/A,FALSE,"SIERRA DCF"}</definedName>
    <definedName name="fhrghgrd" hidden="1">{"DCF1",#N/A,FALSE,"SIERRA DCF";"MATRIX1",#N/A,FALSE,"SIERRA DCF"}</definedName>
    <definedName name="fin" localSheetId="7">#REF!</definedName>
    <definedName name="fin">#REF!</definedName>
    <definedName name="fin_2" localSheetId="7">#REF!</definedName>
    <definedName name="fin_2">#REF!</definedName>
    <definedName name="fleur" localSheetId="7">#REF!</definedName>
    <definedName name="fleur">#REF!</definedName>
    <definedName name="flux" localSheetId="7">#REF!</definedName>
    <definedName name="flux">#REF!</definedName>
    <definedName name="flux2" localSheetId="7">#REF!</definedName>
    <definedName name="flux2">#REF!</definedName>
    <definedName name="FraisF" localSheetId="7">#REF!</definedName>
    <definedName name="FraisF" localSheetId="4">[2]TAM!$D$12</definedName>
    <definedName name="FraisF" localSheetId="2">#REF!</definedName>
    <definedName name="FraisF" localSheetId="6">[2]TAM!$D$12</definedName>
    <definedName name="FraisF">#REF!</definedName>
    <definedName name="FraisV" localSheetId="7">#REF!</definedName>
    <definedName name="FraisV" localSheetId="4">[2]TAM!$D$13</definedName>
    <definedName name="FraisV" localSheetId="2">#REF!</definedName>
    <definedName name="FraisV" localSheetId="6">[2]TAM!$D$13</definedName>
    <definedName name="FraisV">#REF!</definedName>
    <definedName name="fsdfdfa" localSheetId="7" hidden="1">{"page1",#N/A,FALSE,"BHCOMPC5";"page2",#N/A,FALSE,"BHCOMPC5";"page3",#N/A,FALSE,"BHCOMPC5";"page4",#N/A,FALSE,"BHCOMPC5"}</definedName>
    <definedName name="fsdfdfa" localSheetId="4" hidden="1">{"page1",#N/A,FALSE,"BHCOMPC5";"page2",#N/A,FALSE,"BHCOMPC5";"page3",#N/A,FALSE,"BHCOMPC5";"page4",#N/A,FALSE,"BHCOMPC5"}</definedName>
    <definedName name="fsdfdfa" localSheetId="5" hidden="1">{"page1",#N/A,FALSE,"BHCOMPC5";"page2",#N/A,FALSE,"BHCOMPC5";"page3",#N/A,FALSE,"BHCOMPC5";"page4",#N/A,FALSE,"BHCOMPC5"}</definedName>
    <definedName name="fsdfdfa" localSheetId="1" hidden="1">{"page1",#N/A,FALSE,"BHCOMPC5";"page2",#N/A,FALSE,"BHCOMPC5";"page3",#N/A,FALSE,"BHCOMPC5";"page4",#N/A,FALSE,"BHCOMPC5"}</definedName>
    <definedName name="fsdfdfa" localSheetId="6" hidden="1">{"page1",#N/A,FALSE,"BHCOMPC5";"page2",#N/A,FALSE,"BHCOMPC5";"page3",#N/A,FALSE,"BHCOMPC5";"page4",#N/A,FALSE,"BHCOMPC5"}</definedName>
    <definedName name="fsdfdfa" hidden="1">{"page1",#N/A,FALSE,"BHCOMPC5";"page2",#N/A,FALSE,"BHCOMPC5";"page3",#N/A,FALSE,"BHCOMPC5";"page4",#N/A,FALSE,"BHCOMPC5"}</definedName>
    <definedName name="g" localSheetId="7" hidden="1">{"page1",#N/A,FALSE,"BHCOMPC5";"page2",#N/A,FALSE,"BHCOMPC5";"page3",#N/A,FALSE,"BHCOMPC5";"page4",#N/A,FALSE,"BHCOMPC5"}</definedName>
    <definedName name="g" localSheetId="4" hidden="1">{"page1",#N/A,FALSE,"BHCOMPC5";"page2",#N/A,FALSE,"BHCOMPC5";"page3",#N/A,FALSE,"BHCOMPC5";"page4",#N/A,FALSE,"BHCOMPC5"}</definedName>
    <definedName name="g" localSheetId="5" hidden="1">{"page1",#N/A,FALSE,"BHCOMPC5";"page2",#N/A,FALSE,"BHCOMPC5";"page3",#N/A,FALSE,"BHCOMPC5";"page4",#N/A,FALSE,"BHCOMPC5"}</definedName>
    <definedName name="g" localSheetId="1" hidden="1">{"page1",#N/A,FALSE,"BHCOMPC5";"page2",#N/A,FALSE,"BHCOMPC5";"page3",#N/A,FALSE,"BHCOMPC5";"page4",#N/A,FALSE,"BHCOMPC5"}</definedName>
    <definedName name="g" localSheetId="6" hidden="1">{"page1",#N/A,FALSE,"BHCOMPC5";"page2",#N/A,FALSE,"BHCOMPC5";"page3",#N/A,FALSE,"BHCOMPC5";"page4",#N/A,FALSE,"BHCOMPC5"}</definedName>
    <definedName name="g" hidden="1">{"page1",#N/A,FALSE,"BHCOMPC5";"page2",#N/A,FALSE,"BHCOMPC5";"page3",#N/A,FALSE,"BHCOMPC5";"page4",#N/A,FALSE,"BHCOMPC5"}</definedName>
    <definedName name="gfd" localSheetId="7" hidden="1">{#N/A,#N/A,FALSE,"Cashflow Analysis";#N/A,#N/A,FALSE,"Sensitivity Analysis";#N/A,#N/A,FALSE,"PV";#N/A,#N/A,FALSE,"Pro Forma"}</definedName>
    <definedName name="gfd" localSheetId="4" hidden="1">{#N/A,#N/A,FALSE,"Cashflow Analysis";#N/A,#N/A,FALSE,"Sensitivity Analysis";#N/A,#N/A,FALSE,"PV";#N/A,#N/A,FALSE,"Pro Forma"}</definedName>
    <definedName name="gfd" localSheetId="5" hidden="1">{#N/A,#N/A,FALSE,"Cashflow Analysis";#N/A,#N/A,FALSE,"Sensitivity Analysis";#N/A,#N/A,FALSE,"PV";#N/A,#N/A,FALSE,"Pro Forma"}</definedName>
    <definedName name="gfd" localSheetId="1" hidden="1">{#N/A,#N/A,FALSE,"Cashflow Analysis";#N/A,#N/A,FALSE,"Sensitivity Analysis";#N/A,#N/A,FALSE,"PV";#N/A,#N/A,FALSE,"Pro Forma"}</definedName>
    <definedName name="gfd" localSheetId="6" hidden="1">{#N/A,#N/A,FALSE,"Cashflow Analysis";#N/A,#N/A,FALSE,"Sensitivity Analysis";#N/A,#N/A,FALSE,"PV";#N/A,#N/A,FALSE,"Pro Forma"}</definedName>
    <definedName name="gfd" hidden="1">{#N/A,#N/A,FALSE,"Cashflow Analysis";#N/A,#N/A,FALSE,"Sensitivity Analysis";#N/A,#N/A,FALSE,"PV";#N/A,#N/A,FALSE,"Pro Forma"}</definedName>
    <definedName name="GRI" localSheetId="7">#REF!</definedName>
    <definedName name="GRI">#REF!</definedName>
    <definedName name="hhgjghj" localSheetId="7" hidden="1">{"DCF1",#N/A,FALSE,"SIERRA DCF";"MATRIX1",#N/A,FALSE,"SIERRA DCF"}</definedName>
    <definedName name="hhgjghj" localSheetId="4" hidden="1">{"DCF1",#N/A,FALSE,"SIERRA DCF";"MATRIX1",#N/A,FALSE,"SIERRA DCF"}</definedName>
    <definedName name="hhgjghj" localSheetId="5" hidden="1">{"DCF1",#N/A,FALSE,"SIERRA DCF";"MATRIX1",#N/A,FALSE,"SIERRA DCF"}</definedName>
    <definedName name="hhgjghj" localSheetId="1" hidden="1">{"DCF1",#N/A,FALSE,"SIERRA DCF";"MATRIX1",#N/A,FALSE,"SIERRA DCF"}</definedName>
    <definedName name="hhgjghj" localSheetId="6" hidden="1">{"DCF1",#N/A,FALSE,"SIERRA DCF";"MATRIX1",#N/A,FALSE,"SIERRA DCF"}</definedName>
    <definedName name="hhgjghj" hidden="1">{"DCF1",#N/A,FALSE,"SIERRA DCF";"MATRIX1",#N/A,FALSE,"SIERRA DCF"}</definedName>
    <definedName name="htgrer" localSheetId="7" hidden="1">{"page1",#N/A,FALSE,"BHCOMPC5";"page2",#N/A,FALSE,"BHCOMPC5";"page3",#N/A,FALSE,"BHCOMPC5";"page4",#N/A,FALSE,"BHCOMPC5"}</definedName>
    <definedName name="htgrer" localSheetId="4" hidden="1">{"page1",#N/A,FALSE,"BHCOMPC5";"page2",#N/A,FALSE,"BHCOMPC5";"page3",#N/A,FALSE,"BHCOMPC5";"page4",#N/A,FALSE,"BHCOMPC5"}</definedName>
    <definedName name="htgrer" localSheetId="5" hidden="1">{"page1",#N/A,FALSE,"BHCOMPC5";"page2",#N/A,FALSE,"BHCOMPC5";"page3",#N/A,FALSE,"BHCOMPC5";"page4",#N/A,FALSE,"BHCOMPC5"}</definedName>
    <definedName name="htgrer" localSheetId="1" hidden="1">{"page1",#N/A,FALSE,"BHCOMPC5";"page2",#N/A,FALSE,"BHCOMPC5";"page3",#N/A,FALSE,"BHCOMPC5";"page4",#N/A,FALSE,"BHCOMPC5"}</definedName>
    <definedName name="htgrer" localSheetId="6" hidden="1">{"page1",#N/A,FALSE,"BHCOMPC5";"page2",#N/A,FALSE,"BHCOMPC5";"page3",#N/A,FALSE,"BHCOMPC5";"page4",#N/A,FALSE,"BHCOMPC5"}</definedName>
    <definedName name="htgrer" hidden="1">{"page1",#N/A,FALSE,"BHCOMPC5";"page2",#N/A,FALSE,"BHCOMPC5";"page3",#N/A,FALSE,"BHCOMPC5";"page4",#N/A,FALSE,"BHCOMPC5"}</definedName>
    <definedName name="i" localSheetId="7">#REF!</definedName>
    <definedName name="i" localSheetId="4" hidden="1">{"DCF1",#N/A,FALSE,"SIERRA DCF";"MATRIX1",#N/A,FALSE,"SIERRA DCF"}</definedName>
    <definedName name="i" localSheetId="6" hidden="1">{"DCF1",#N/A,FALSE,"SIERRA DCF";"MATRIX1",#N/A,FALSE,"SIERRA DCF"}</definedName>
    <definedName name="i">#REF!</definedName>
    <definedName name="Ijour" localSheetId="7">#REF!</definedName>
    <definedName name="Ijour" localSheetId="4">#REF!</definedName>
    <definedName name="Ijour" localSheetId="2">#REF!</definedName>
    <definedName name="Ijour" localSheetId="6">#REF!</definedName>
    <definedName name="Ijour">#REF!</definedName>
    <definedName name="Imois" localSheetId="7">#REF!</definedName>
    <definedName name="Imois" localSheetId="4">#REF!</definedName>
    <definedName name="Imois" localSheetId="2">#REF!</definedName>
    <definedName name="Imois" localSheetId="6">#REF!</definedName>
    <definedName name="Imois">#REF!</definedName>
    <definedName name="in_fine" localSheetId="7">#REF!</definedName>
    <definedName name="in_fine">#REF!</definedName>
    <definedName name="index" localSheetId="7">#REF!</definedName>
    <definedName name="index">#REF!</definedName>
    <definedName name="Input_FX" localSheetId="7">#REF!</definedName>
    <definedName name="Input_FX">#REF!</definedName>
    <definedName name="int" localSheetId="7">#REF!</definedName>
    <definedName name="int">#REF!</definedName>
    <definedName name="INT1E" localSheetId="7">#REF!</definedName>
    <definedName name="INT1E" localSheetId="4">#REF!</definedName>
    <definedName name="INT1E" localSheetId="2">#REF!</definedName>
    <definedName name="INT1E" localSheetId="6">#REF!</definedName>
    <definedName name="INT1E">#REF!</definedName>
    <definedName name="interet" localSheetId="7">#REF!</definedName>
    <definedName name="interet">#REF!</definedName>
    <definedName name="IntroPrintArea" localSheetId="7" hidden="1">#REF!</definedName>
    <definedName name="IntroPrintArea" hidden="1">#REF!</definedName>
    <definedName name="IQ_1_4_FAMILY_JUNIOR_LIENS_CHARGE_OFFS_FDIC" hidden="1">"c6605"</definedName>
    <definedName name="IQ_1_4_FAMILY_JUNIOR_LIENS_NET_CHARGE_OFFS_FDIC" hidden="1">"c6643"</definedName>
    <definedName name="IQ_1_4_FAMILY_JUNIOR_LIENS_RECOVERIES_FDIC" hidden="1">"c6624"</definedName>
    <definedName name="IQ_1_4_FAMILY_SENIOR_LIENS_CHARGE_OFFS_FDIC" hidden="1">"c6604"</definedName>
    <definedName name="IQ_1_4_FAMILY_SENIOR_LIENS_NET_CHARGE_OFFS_FDIC" hidden="1">"c6642"</definedName>
    <definedName name="IQ_1_4_FAMILY_SENIOR_LIENS_RECOVERIES_FDIC" hidden="1">"c6623"</definedName>
    <definedName name="IQ_1_4_HOME_EQUITY_NET_LOANS_FDIC" hidden="1">"c6441"</definedName>
    <definedName name="IQ_1_4_RESIDENTIAL_FIRST_LIENS_NET_LOANS_FDIC" hidden="1">"c6439"</definedName>
    <definedName name="IQ_1_4_RESIDENTIAL_JUNIOR_LIENS_NET_LOANS_FDIC" hidden="1">"c6440"</definedName>
    <definedName name="IQ_1_4_RESIDENTIAL_LOANS_FDIC" hidden="1">"c6310"</definedName>
    <definedName name="IQ_ACCOUNT_CHANGE" hidden="1">"c413"</definedName>
    <definedName name="IQ_ACCOUNTS_PAY" hidden="1">"c32"</definedName>
    <definedName name="IQ_ACCR_INT_PAY" hidden="1">"c1"</definedName>
    <definedName name="IQ_ACCR_INT_PAY_CF" hidden="1">"c2"</definedName>
    <definedName name="IQ_ACCR_INT_RECEIV" hidden="1">"c3"</definedName>
    <definedName name="IQ_ACCR_INT_RECEIV_CF" hidden="1">"c4"</definedName>
    <definedName name="IQ_ACCRUED_EXP" hidden="1">"c8"</definedName>
    <definedName name="IQ_ACCUM_DEP" hidden="1">"c7"</definedName>
    <definedName name="IQ_ACQ_COSTS_CAPITALIZED" hidden="1">"c5"</definedName>
    <definedName name="IQ_ACQUIRE_REAL_ESTATE_CF" hidden="1">"c6"</definedName>
    <definedName name="IQ_ACQUIRED_BY_REPORTING_BANK_FDIC" hidden="1">"c6535"</definedName>
    <definedName name="IQ_ACQUISITION_RE_ASSETS" hidden="1">"c1628"</definedName>
    <definedName name="IQ_AD" hidden="1">"c7"</definedName>
    <definedName name="IQ_ADD_PAID_IN" hidden="1">"c39"</definedName>
    <definedName name="IQ_ADDIN" hidden="1">"AUTO"</definedName>
    <definedName name="IQ_ADDITIONAL_NON_INT_INC_FDIC" hidden="1">"c6574"</definedName>
    <definedName name="IQ_ADJUSTABLE_RATE_LOANS_FDIC" hidden="1">"c6375"</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FTER_TAX_INCOME_FDIC" hidden="1">"c6583"</definedName>
    <definedName name="IQ_AGRICULTURAL_PRODUCTION_CHARGE_OFFS_FDIC" hidden="1">"c6597"</definedName>
    <definedName name="IQ_AGRICULTURAL_PRODUCTION_CHARGE_OFFS_LESS_THAN_300M_FDIC" hidden="1">"c6655"</definedName>
    <definedName name="IQ_AGRICULTURAL_PRODUCTION_NET_CHARGE_OFFS_FDIC" hidden="1">"c6635"</definedName>
    <definedName name="IQ_AGRICULTURAL_PRODUCTION_NET_CHARGE_OFFS_LESS_THAN_300M_FDIC" hidden="1">"c6657"</definedName>
    <definedName name="IQ_AGRICULTURAL_PRODUCTION_RECOVERIES_FDIC" hidden="1">"c6616"</definedName>
    <definedName name="IQ_AGRICULTURAL_PRODUCTION_RECOVERIES_LESS_THAN_300M_FDIC" hidden="1">"c6656"</definedName>
    <definedName name="IQ_ALLOW_BORROW_CONST" hidden="1">"c15"</definedName>
    <definedName name="IQ_ALLOW_CONST" hidden="1">"c16"</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ENDED_BALANCE_PREVIOUS_YR_FDIC" hidden="1">"c6499"</definedName>
    <definedName name="IQ_AMORT_EXPENSE_FDIC" hidden="1">"c6677"</definedName>
    <definedName name="IQ_AMORTIZATION" hidden="1">"c1471"</definedName>
    <definedName name="IQ_AMORTIZED_COST_FDIC" hidden="1">"c6426"</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SSET_BACKED_FDIC" hidden="1">"c6301"</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HELD_FDIC" hidden="1">"c6305"</definedName>
    <definedName name="IQ_ASSETS_PER_EMPLOYEE_FDIC" hidden="1">"c6737"</definedName>
    <definedName name="IQ_ASSETS_SOLD_1_4_FAMILY_LOANS_FDIC" hidden="1">"c6686"</definedName>
    <definedName name="IQ_ASSETS_SOLD_AUTO_LOANS_FDIC" hidden="1">"c6680"</definedName>
    <definedName name="IQ_ASSETS_SOLD_CL_LOANS_FDIC" hidden="1">"c6681"</definedName>
    <definedName name="IQ_ASSETS_SOLD_CREDIT_CARDS_RECEIVABLES_FDIC" hidden="1">"c6683"</definedName>
    <definedName name="IQ_ASSETS_SOLD_HOME_EQUITY_LINES_FDIC" hidden="1">"c6684"</definedName>
    <definedName name="IQ_ASSETS_SOLD_OTHER_CONSUMER_LOANS_FDIC" hidden="1">"c6682"</definedName>
    <definedName name="IQ_ASSETS_SOLD_OTHER_LOANS_FDIC" hidden="1">"c6685"</definedName>
    <definedName name="IQ_AUDITOR_NAME" hidden="1">"c1539"</definedName>
    <definedName name="IQ_AUDITOR_OPINION" hidden="1">"c1540"</definedName>
    <definedName name="IQ_AUTO_WRITTEN" hidden="1">"c62"</definedName>
    <definedName name="IQ_AVAILABLE_FOR_SALE_FDIC" hidden="1">"c6409"</definedName>
    <definedName name="IQ_AVERAGE_ASSETS_FDIC" hidden="1">"c6362"</definedName>
    <definedName name="IQ_AVERAGE_ASSETS_QUART_FDIC" hidden="1">"c6363"</definedName>
    <definedName name="IQ_AVERAGE_EARNING_ASSETS_FDIC" hidden="1">"c6748"</definedName>
    <definedName name="IQ_AVERAGE_EQUITY_FDIC" hidden="1">"c6749"</definedName>
    <definedName name="IQ_AVERAGE_LOANS_FDIC" hidden="1">"c6750"</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PRICE_TARGET" hidden="1">"c82"</definedName>
    <definedName name="IQ_AVG_SHAREOUTSTANDING" hidden="1">"c83"</definedName>
    <definedName name="IQ_AVG_TEV" hidden="1">"c84"</definedName>
    <definedName name="IQ_AVG_VOLUME" hidden="1">"c65"</definedName>
    <definedName name="IQ_BALANCES_DUE_DEPOSITORY_INSTITUTIONS_FDIC" hidden="1">"c6389"</definedName>
    <definedName name="IQ_BALANCES_DUE_FOREIGN_FDIC" hidden="1">"c6391"</definedName>
    <definedName name="IQ_BALANCES_DUE_FRB_FDIC" hidden="1">"c6393"</definedName>
    <definedName name="IQ_BANK_BENEFICIARY_FDIC" hidden="1">"c6505"</definedName>
    <definedName name="IQ_BANK_GUARANTOR_FDIC" hidden="1">"c6506"</definedName>
    <definedName name="IQ_BANK_PREMISES_FDIC" hidden="1">"c6329"</definedName>
    <definedName name="IQ_BANK_SECURITIZATION_1_4_FAMILY_LOANS_FDIC" hidden="1">"c6721"</definedName>
    <definedName name="IQ_BANK_SECURITIZATION_AUTO_LOANS_FDIC" hidden="1">"c6715"</definedName>
    <definedName name="IQ_BANK_SECURITIZATION_CL_LOANS_FDIC" hidden="1">"c6716"</definedName>
    <definedName name="IQ_BANK_SECURITIZATION_CREDIT_CARDS_RECEIVABLES_FDIC" hidden="1">"c6718"</definedName>
    <definedName name="IQ_BANK_SECURITIZATION_HOME_EQUITY_LINES_FDIC" hidden="1">"c6719"</definedName>
    <definedName name="IQ_BANK_SECURITIZATION_OTHER_CONSUMER_LOANS_FDIC" hidden="1">"c6717"</definedName>
    <definedName name="IQ_BANK_SECURITIZATION_OTHER_LOANS_FDIC" hidden="1">"c6720"</definedName>
    <definedName name="IQ_BANKS_FOREIGN_COUNTRIES_TOTAL_DEPOSITS_FDIC" hidden="1">"c6475"</definedName>
    <definedName name="IQ_BASIC_EPS_EXCL" hidden="1">"c85"</definedName>
    <definedName name="IQ_BASIC_EPS_INCL" hidden="1">"c86"</definedName>
    <definedName name="IQ_BASIC_NORMAL_EPS" hidden="1">"c1592"</definedName>
    <definedName name="IQ_BASIC_WEIGHT" hidden="1">"c87"</definedName>
    <definedName name="IQ_BETA" hidden="1">"c88"</definedName>
    <definedName name="IQ_BIG_INT_BEAR_CD" hidden="1">"c89"</definedName>
    <definedName name="IQ_BOARD_MEMBER" hidden="1">"c96"</definedName>
    <definedName name="IQ_BOARD_MEMBER_TITLE" hidden="1">"c97"</definedName>
    <definedName name="IQ_BONDRATING_FITCH" hidden="1">"IQ_BONDRATING_FITCH"</definedName>
    <definedName name="IQ_BONDRATING_SP" hidden="1">"IQ_BONDRATING_SP"</definedName>
    <definedName name="IQ_BOOK_VALUE" hidden="1">"IQ_BOOK_VALUE"</definedName>
    <definedName name="IQ_BROK_COMISSION" hidden="1">"c98"</definedName>
    <definedName name="IQ_BROKERED_DEPOSITS_FDIC" hidden="1">"c6486"</definedName>
    <definedName name="IQ_BUILDINGS" hidden="1">"c99"</definedName>
    <definedName name="IQ_BUSINESS_DESCRIPTION" hidden="1">"c322"</definedName>
    <definedName name="IQ_BV_OVER_SHARES" hidden="1">"c100"</definedName>
    <definedName name="IQ_BV_SHARE" hidden="1">"c100"</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"c115"</definedName>
    <definedName name="IQ_CAPITAL_LEASES" hidden="1">"c115"</definedName>
    <definedName name="IQ_CASH" hidden="1">"c118"</definedName>
    <definedName name="IQ_CASH_ACQUIRE_CF" hidden="1">"c1630"</definedName>
    <definedName name="IQ_CASH_CONVERSION" hidden="1">"c117"</definedName>
    <definedName name="IQ_CASH_DIVIDENDS_NET_INCOME_FDIC" hidden="1">"c6738"</definedName>
    <definedName name="IQ_CASH_DUE_BANKS" hidden="1">"c118"</definedName>
    <definedName name="IQ_CASH_EQUIV" hidden="1">"c118"</definedName>
    <definedName name="IQ_CASH_FINAN" hidden="1">"c119"</definedName>
    <definedName name="IQ_CASH_IN_PROCESS_FDIC" hidden="1">"c6386"</definedName>
    <definedName name="IQ_CASH_INTEREST" hidden="1">"c120"</definedName>
    <definedName name="IQ_CASH_INVEST" hidden="1">"c121"</definedName>
    <definedName name="IQ_CASH_OPER" hidden="1">"c122"</definedName>
    <definedName name="IQ_CASH_SEGREG" hidden="1">"c123"</definedName>
    <definedName name="IQ_CASH_ST" hidden="1">"c124"</definedName>
    <definedName name="IQ_CASH_ST_INVEST" hidden="1">"c124"</definedName>
    <definedName name="IQ_CASH_TAXES" hidden="1">"c125"</definedName>
    <definedName name="IQ_CCE_FDIC" hidden="1">"c6296"</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OTHER_NET_OPER_ASSETS_BR" hidden="1">"c3595"</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"c161"</definedName>
    <definedName name="IQ_CHARGE_OFFS_1_4_FAMILY_FDIC" hidden="1">"c6756"</definedName>
    <definedName name="IQ_CHARGE_OFFS_1_4_FAMILY_LOANS_FDIC" hidden="1">"c6714"</definedName>
    <definedName name="IQ_CHARGE_OFFS_AUTO_LOANS_FDIC" hidden="1">"c6708"</definedName>
    <definedName name="IQ_CHARGE_OFFS_CL_LOANS_FDIC" hidden="1">"c6709"</definedName>
    <definedName name="IQ_CHARGE_OFFS_COMMERCIAL_INDUSTRIAL_FDIC" hidden="1">"c6759"</definedName>
    <definedName name="IQ_CHARGE_OFFS_COMMERCIAL_RE_FDIC" hidden="1">"c6754"</definedName>
    <definedName name="IQ_CHARGE_OFFS_COMMERCIAL_RE_NOT_SECURED_FDIC" hidden="1">"c6764"</definedName>
    <definedName name="IQ_CHARGE_OFFS_CONSTRUCTION_DEVELOPMENT_FDIC" hidden="1">"c6753"</definedName>
    <definedName name="IQ_CHARGE_OFFS_CREDIT_CARDS_FDIC" hidden="1">"c6761"</definedName>
    <definedName name="IQ_CHARGE_OFFS_CREDIT_CARDS_RECEIVABLES_FDIC" hidden="1">"c6711"</definedName>
    <definedName name="IQ_CHARGE_OFFS_GROSS" hidden="1">"c162"</definedName>
    <definedName name="IQ_CHARGE_OFFS_HOME_EQUITY_FDIC" hidden="1">"c6757"</definedName>
    <definedName name="IQ_CHARGE_OFFS_HOME_EQUITY_LINES_FDIC" hidden="1">"c6712"</definedName>
    <definedName name="IQ_CHARGE_OFFS_INDIVIDUALS_FDIC" hidden="1">"c6760"</definedName>
    <definedName name="IQ_CHARGE_OFFS_MULTI_FAMILY_FDIC" hidden="1">"c6755"</definedName>
    <definedName name="IQ_CHARGE_OFFS_NET" hidden="1">"c163"</definedName>
    <definedName name="IQ_CHARGE_OFFS_OTHER_1_4_FAMILY_FDIC" hidden="1">"c6758"</definedName>
    <definedName name="IQ_CHARGE_OFFS_OTHER_CONSUMER_LOANS_FDIC" hidden="1">"c6710"</definedName>
    <definedName name="IQ_CHARGE_OFFS_OTHER_INDIVIDUAL_FDIC" hidden="1">"c6762"</definedName>
    <definedName name="IQ_CHARGE_OFFS_OTHER_LOANS_FDIC" hidden="1">"c6763"</definedName>
    <definedName name="IQ_CHARGE_OFFS_OTHER_LOANS_OTHER_FDIC" hidden="1">"c6713"</definedName>
    <definedName name="IQ_CHARGE_OFFS_RE_LOANS_FDIC" hidden="1">"c6752"</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OSEPRICE" hidden="1">"c174"</definedName>
    <definedName name="IQ_CMO_FDIC" hidden="1">"c6406"</definedName>
    <definedName name="IQ_COGS" hidden="1">"c175"</definedName>
    <definedName name="IQ_COLLECTION_DOMESTIC_FDIC" hidden="1">"c6387"</definedName>
    <definedName name="IQ_COMBINED_RATIO" hidden="1">"c176"</definedName>
    <definedName name="IQ_COMMERCIAL_BANKS_DEPOSITS_FOREIGN_FDIC" hidden="1">"c6480"</definedName>
    <definedName name="IQ_COMMERCIAL_BANKS_LOANS_FDIC" hidden="1">"c6434"</definedName>
    <definedName name="IQ_COMMERCIAL_BANKS_NONTRANSACTION_ACCOUNTS_FDIC" hidden="1">"c6548"</definedName>
    <definedName name="IQ_COMMERCIAL_BANKS_TOTAL_DEPOSITS_FDIC" hidden="1">"c6474"</definedName>
    <definedName name="IQ_COMMERCIAL_BANKS_TOTAL_LOANS_FOREIGN_FDIC" hidden="1">"c6444"</definedName>
    <definedName name="IQ_COMMERCIAL_BANKS_TRANSACTION_ACCOUNTS_FDIC" hidden="1">"c6540"</definedName>
    <definedName name="IQ_COMMERCIAL_DOM" hidden="1">"c177"</definedName>
    <definedName name="IQ_COMMERCIAL_FIRE_WRITTEN" hidden="1">"c178"</definedName>
    <definedName name="IQ_COMMERCIAL_INDUSTRIAL_CHARGE_OFFS_FDIC" hidden="1">"c6598"</definedName>
    <definedName name="IQ_COMMERCIAL_INDUSTRIAL_LOANS_NET_FDIC" hidden="1">"c6317"</definedName>
    <definedName name="IQ_COMMERCIAL_INDUSTRIAL_NET_CHARGE_OFFS_FDIC" hidden="1">"c6636"</definedName>
    <definedName name="IQ_COMMERCIAL_INDUSTRIAL_RECOVERIES_FDIC" hidden="1">"c6617"</definedName>
    <definedName name="IQ_COMMERCIAL_INDUSTRIAL_TOTAL_LOANS_FOREIGN_FDIC" hidden="1">"c6451"</definedName>
    <definedName name="IQ_COMMERCIAL_MORT" hidden="1">"c179"</definedName>
    <definedName name="IQ_COMMERCIAL_RE_CONSTRUCTION_LAND_DEV_FDIC" hidden="1">"c6526"</definedName>
    <definedName name="IQ_COMMERCIAL_RE_LOANS_FDIC" hidden="1">"c6312"</definedName>
    <definedName name="IQ_COMMISS_FEES" hidden="1">"c180"</definedName>
    <definedName name="IQ_COMMISSION_DEF" hidden="1">"c181"</definedName>
    <definedName name="IQ_COMMITMENTS_MATURITY_EXCEEDING_1YR_FDIC" hidden="1">"c6531"</definedName>
    <definedName name="IQ_COMMITMENTS_NOT_SECURED_RE_FDIC" hidden="1">"c6528"</definedName>
    <definedName name="IQ_COMMITMENTS_SECURED_RE_FDIC" hidden="1">"c6527"</definedName>
    <definedName name="IQ_COMMODITY_EXPOSURES_FDIC" hidden="1">"c6665"</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FDIC" hidden="1">"c6350"</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"c182"</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REET1" hidden="1">"c217"</definedName>
    <definedName name="IQ_COMPANY_STREET2" hidden="1">"c218"</definedName>
    <definedName name="IQ_COMPANY_TICKER" hidden="1">"c219"</definedName>
    <definedName name="IQ_COMPANY_WEBSITE" hidden="1">"c220"</definedName>
    <definedName name="IQ_COMPANY_ZIP" hidden="1">"c221"</definedName>
    <definedName name="IQ_CONSTRUCTION_DEV_LOANS_FDIC" hidden="1">"c6313"</definedName>
    <definedName name="IQ_CONSTRUCTION_LAND_DEVELOPMENT_CHARGE_OFFS_FDIC" hidden="1">"c6594"</definedName>
    <definedName name="IQ_CONSTRUCTION_LAND_DEVELOPMENT_NET_CHARGE_OFFS_FDIC" hidden="1">"c6632"</definedName>
    <definedName name="IQ_CONSTRUCTION_LAND_DEVELOPMENT_RECOVERIES_FDIC" hidden="1">"c6613"</definedName>
    <definedName name="IQ_CONSTRUCTION_LOANS" hidden="1">"c222"</definedName>
    <definedName name="IQ_CONSUMER_LOANS" hidden="1">"c223"</definedName>
    <definedName name="IQ_CONTRACTS_OTHER_COMMODITIES_EQUITIES_FDIC" hidden="1">"c6522"</definedName>
    <definedName name="IQ_CONVEYED_TO_OTHERS_FDIC" hidden="1">"c6534"</definedName>
    <definedName name="IQ_CORE_CAPITAL_RATIO_FDIC" hidden="1">"c6745"</definedName>
    <definedName name="IQ_COST_BORROWINGS" hidden="1">"c225"</definedName>
    <definedName name="IQ_COST_OF_FUNDING_ASSETS_FDIC" hidden="1">"c6725"</definedName>
    <definedName name="IQ_COST_REV" hidden="1">"c226"</definedName>
    <definedName name="IQ_COST_REVENUE" hidden="1">"c226"</definedName>
    <definedName name="IQ_COST_SAVINGS" hidden="1">"c227"</definedName>
    <definedName name="IQ_COST_SERVICE" hidden="1">"c228"</definedName>
    <definedName name="IQ_COST_TOTAL_BORROWINGS" hidden="1">"c229"</definedName>
    <definedName name="IQ_COUNTRY_NAME" hidden="1">"c230"</definedName>
    <definedName name="IQ_CQ" hidden="1">5000</definedName>
    <definedName name="IQ_CREDIT_CARD_CHARGE_OFFS_FDIC" hidden="1">"c6652"</definedName>
    <definedName name="IQ_CREDIT_CARD_FEE_BNK" hidden="1">"c231"</definedName>
    <definedName name="IQ_CREDIT_CARD_FEE_FIN" hidden="1">"c1583"</definedName>
    <definedName name="IQ_CREDIT_CARD_LINES_FDIC" hidden="1">"c6525"</definedName>
    <definedName name="IQ_CREDIT_CARD_LOANS_FDIC" hidden="1">"c6319"</definedName>
    <definedName name="IQ_CREDIT_CARD_NET_CHARGE_OFFS_FDIC" hidden="1">"c6654"</definedName>
    <definedName name="IQ_CREDIT_CARD_RECOVERIES_FDIC" hidden="1">"c6653"</definedName>
    <definedName name="IQ_CREDIT_LOSS_CF" hidden="1">"c232"</definedName>
    <definedName name="IQ_CREDIT_LOSS_PROVISION_NET_CHARGE_OFFS_FDIC" hidden="1">"c6734"</definedName>
    <definedName name="IQ_CURRENCY_COIN_DOMESTIC_FDIC" hidden="1">"c6388"</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ILY" hidden="1">500000</definedName>
    <definedName name="IQ_DAYS_COVER_SHORT" hidden="1">"c1578"</definedName>
    <definedName name="IQ_DAYS_INVENTORY_OUT" hidden="1">"c273"</definedName>
    <definedName name="IQ_DAYS_PAY_OUTST" hidden="1">"c274"</definedName>
    <definedName name="IQ_DAYS_PAYABLE_OUT" hidden="1">"c274"</definedName>
    <definedName name="IQ_DAYS_SALES_OUT" hidden="1">"c275"</definedName>
    <definedName name="IQ_DAYS_SALES_OUTST" hidden="1">"c275"</definedName>
    <definedName name="IQ_DEF_ACQ_CST" hidden="1">"c301"</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"c313"</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INC_TAX" hidden="1">"c315"</definedName>
    <definedName name="IQ_DEFERRED_TAXES" hidden="1">"c147"</definedName>
    <definedName name="IQ_DEMAND_DEP" hidden="1">"c320"</definedName>
    <definedName name="IQ_DEMAND_DEPOSITS_FDIC" hidden="1">"c6489"</definedName>
    <definedName name="IQ_DEPOSIT_ACCOUNTS_LESS_THAN_100K_FDIC" hidden="1">"c6494"</definedName>
    <definedName name="IQ_DEPOSIT_ACCOUNTS_MORE_THAN_100K_FDIC" hidden="1">"c6492"</definedName>
    <definedName name="IQ_DEPOSITORY_INSTITUTIONS_CHARGE_OFFS_FDIC" hidden="1">"c6596"</definedName>
    <definedName name="IQ_DEPOSITORY_INSTITUTIONS_NET_CHARGE_OFFS_FDIC" hidden="1">"c6634"</definedName>
    <definedName name="IQ_DEPOSITORY_INSTITUTIONS_RECOVERIES_FDIC" hidden="1">"c6615"</definedName>
    <definedName name="IQ_DEPOSITS_FIN" hidden="1">"c321"</definedName>
    <definedName name="IQ_DEPOSITS_HELD_DOMESTIC_FDIC" hidden="1">"c6340"</definedName>
    <definedName name="IQ_DEPOSITS_HELD_FOREIGN_FDIC" hidden="1">"c6341"</definedName>
    <definedName name="IQ_DEPOSITS_LESS_THAN_100K_AFTER_THREE_YEARS_FDIC" hidden="1">"c6464"</definedName>
    <definedName name="IQ_DEPOSITS_LESS_THAN_100K_THREE_MONTHS_FDIC" hidden="1">"c6461"</definedName>
    <definedName name="IQ_DEPOSITS_LESS_THAN_100K_THREE_YEARS_FDIC" hidden="1">"c6463"</definedName>
    <definedName name="IQ_DEPOSITS_LESS_THAN_100K_TWELVE_MONTHS_FDIC" hidden="1">"c6462"</definedName>
    <definedName name="IQ_DEPOSITS_MORE_THAN_100K_AFTER_THREE_YEARS_FDIC" hidden="1">"c6469"</definedName>
    <definedName name="IQ_DEPOSITS_MORE_THAN_100K_THREE_MONTHS_FDIC" hidden="1">"c6466"</definedName>
    <definedName name="IQ_DEPOSITS_MORE_THAN_100K_THREE_YEARS_FDIC" hidden="1">"c6468"</definedName>
    <definedName name="IQ_DEPOSITS_MORE_THAN_100K_TWELVE_MONTHS_FDIC" hidden="1">"c6467"</definedName>
    <definedName name="IQ_DEPRE_AMORT" hidden="1">"c247"</definedName>
    <definedName name="IQ_DEPRE_AMORT_SUPPL" hidden="1">"c1593"</definedName>
    <definedName name="IQ_DEPRE_DEPLE" hidden="1">"c261"</definedName>
    <definedName name="IQ_DEPRE_SUPP" hidden="1">"c1443"</definedName>
    <definedName name="IQ_DERIVATIVES_FDIC" hidden="1">"c6523"</definedName>
    <definedName name="IQ_DESCRIPTION_LONG" hidden="1">"c322"</definedName>
    <definedName name="IQ_DEVELOP_LAND" hidden="1">"c323"</definedName>
    <definedName name="IQ_DILUT_ADJUST" hidden="1">"c1621"</definedName>
    <definedName name="IQ_DILUT_EPS_EXCL" hidden="1">"c324"</definedName>
    <definedName name="IQ_DILUT_EPS_INCL" hidden="1">"c325"</definedName>
    <definedName name="IQ_DILUT_NORMAL_EPS" hidden="1">"c1594"</definedName>
    <definedName name="IQ_DILUT_WEIGHT" hidden="1">"c326"</definedName>
    <definedName name="IQ_DISCONT_OPER" hidden="1">"c333"</definedName>
    <definedName name="IQ_DISCOUNT_RATE_PENSION_DOMESTIC" hidden="1">"c327"</definedName>
    <definedName name="IQ_DISCOUNT_RATE_PENSION_FOREIGN" hidden="1">"c328"</definedName>
    <definedName name="IQ_DISTR_EXCESS_EARN" hidden="1">"c329"</definedName>
    <definedName name="IQ_DIV_SHARE" hidden="1">"c330"</definedName>
    <definedName name="IQ_DIVEST_CF" hidden="1">"c331"</definedName>
    <definedName name="IQ_DIVID_SHARE" hidden="1">"c330"</definedName>
    <definedName name="IQ_DIVIDEND_YIELD" hidden="1">"c332"</definedName>
    <definedName name="IQ_DIVIDENDS_DECLARED_COMMON_FDIC" hidden="1">"c6659"</definedName>
    <definedName name="IQ_DIVIDENDS_DECLARED_PREFERRED_FDIC" hidden="1">"c6658"</definedName>
    <definedName name="IQ_DIVIDENDS_FDIC" hidden="1">"c6660"</definedName>
    <definedName name="IQ_DNTM" hidden="1">700000</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EARNING_ASSET_YIELD" hidden="1">"c343"</definedName>
    <definedName name="IQ_EARNING_ASSETS_FDIC" hidden="1">"c6360"</definedName>
    <definedName name="IQ_EARNING_ASSETS_YIELD_FDIC" hidden="1">"c6724"</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COVERAGE_NET_CHARGE_OFFS_FDIC" hidden="1">"c6735"</definedName>
    <definedName name="IQ_EBIT" hidden="1">"c352"</definedName>
    <definedName name="IQ_EBIT_10K" hidden="1">"IQ_EBIT_10K"</definedName>
    <definedName name="IQ_EBIT_10Q" hidden="1">"IQ_EBIT_10Q"</definedName>
    <definedName name="IQ_EBIT_10Q1" hidden="1">"IQ_EBIT_10Q1"</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GROWTH_1" hidden="1">"IQ_EBIT_GROWTH_1"</definedName>
    <definedName name="IQ_EBIT_GROWTH_2" hidden="1">"IQ_EBIT_GROWTH_2"</definedName>
    <definedName name="IQ_EBIT_INT" hidden="1">"c360"</definedName>
    <definedName name="IQ_EBIT_MARGIN" hidden="1">"c359"</definedName>
    <definedName name="IQ_EBIT_OVER_IE" hidden="1">"c360"</definedName>
    <definedName name="IQ_EBITDA" hidden="1">"c361"</definedName>
    <definedName name="IQ_EBITDA_10K" hidden="1">"IQ_EBITDA_10K"</definedName>
    <definedName name="IQ_EBITDA_10Q" hidden="1">"IQ_EBITDA_10Q"</definedName>
    <definedName name="IQ_EBITDA_10Q1" hidden="1">"IQ_EBITDA_10Q1"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"c368"</definedName>
    <definedName name="IQ_EBITDA_EST" hidden="1">"c252"</definedName>
    <definedName name="IQ_EBITDA_GROWTH_1" hidden="1">"IQ_EBITDA_GROWTH_1"</definedName>
    <definedName name="IQ_EBITDA_GROWTH_2" hidden="1">"IQ_EBITDA_GROWTH_2"</definedName>
    <definedName name="IQ_EBITDA_HIGH_EST" hidden="1">"c265"</definedName>
    <definedName name="IQ_EBITDA_INT" hidden="1">"c373"</definedName>
    <definedName name="IQ_EBITDA_LOW_EST" hidden="1">"c266"</definedName>
    <definedName name="IQ_EBITDA_MARGIN" hidden="1">"c372"</definedName>
    <definedName name="IQ_EBITDA_NUM_EST" hidden="1">"c267"</definedName>
    <definedName name="IQ_EBITDA_OVER_TOTAL_IE" hidden="1">"c373"</definedName>
    <definedName name="IQ_EBITDA_STDDEV_EST" hidden="1">"c268"</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S" hidden="1">"c388"</definedName>
    <definedName name="IQ_EBT_REIT" hidden="1">"c389"</definedName>
    <definedName name="IQ_EBT_UTI" hidden="1">"c390"</definedName>
    <definedName name="IQ_EFFECT_SPECIAL_CHARGE" hidden="1">"c1595"</definedName>
    <definedName name="IQ_EFFICIENCY_RATIO" hidden="1">"c391"</definedName>
    <definedName name="IQ_EFFICIENCY_RATIO_FDIC" hidden="1">"c6736"</definedName>
    <definedName name="IQ_EMPLOYEES" hidden="1">"c392"</definedName>
    <definedName name="IQ_ENTERPRISE_VALUE" hidden="1">"c84"</definedName>
    <definedName name="IQ_EPS" hidden="1">"IQ_EPS"</definedName>
    <definedName name="IQ_EPS_10K" hidden="1">"IQ_EPS_10K"</definedName>
    <definedName name="IQ_EPS_10Q" hidden="1">"IQ_EPS_10Q"</definedName>
    <definedName name="IQ_EPS_10Q1" hidden="1">"IQ_EPS_10Q1"</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EST_1" hidden="1">"IQ_EPS_EST_1"</definedName>
    <definedName name="IQ_EPS_HIGH_EST" hidden="1">"c400"</definedName>
    <definedName name="IQ_EPS_LOW_EST" hidden="1">"c401"</definedName>
    <definedName name="IQ_EPS_NUM_EST" hidden="1">"c402"</definedName>
    <definedName name="IQ_EPS_STDDEV_EST" hidden="1">"c403"</definedName>
    <definedName name="IQ_EQUITY_AFFIL" hidden="1">"c552"</definedName>
    <definedName name="IQ_EQUITY_CAPITAL_ASSETS_FDIC" hidden="1">"c6744"</definedName>
    <definedName name="IQ_EQUITY_FDIC" hidden="1">"c6353"</definedName>
    <definedName name="IQ_EQUITY_METHOD" hidden="1">"c404"</definedName>
    <definedName name="IQ_EQUITY_SECURITIES_FDIC" hidden="1">"c6304"</definedName>
    <definedName name="IQ_EQUITY_SECURITY_EXPOSURES_FDIC" hidden="1">"c6664"</definedName>
    <definedName name="IQ_EQV_OVER_BV" hidden="1">"c1596"</definedName>
    <definedName name="IQ_EQV_OVER_LTM_PRETAX_INC" hidden="1">"c739"</definedName>
    <definedName name="IQ_ESOP_DEBT" hidden="1">"c1597"</definedName>
    <definedName name="IQ_EST_ACT_EPS" hidden="1">"c1648"</definedName>
    <definedName name="IQ_EST_DATE" hidden="1">"c1634"</definedName>
    <definedName name="IQ_EST_EPS_GROWTH_1YR" hidden="1">"c1636"</definedName>
    <definedName name="IQ_EST_EPS_GROWTH_Q_1YR" hidden="1">"c1641"</definedName>
    <definedName name="IQ_ESTIMATED_ASSESSABLE_DEPOSITS_FDIC" hidden="1">"c6490"</definedName>
    <definedName name="IQ_ESTIMATED_INSURED_DEPOSITS_FDIC" hidden="1">"c6491"</definedName>
    <definedName name="IQ_EV_OVER_EMPLOYEE" hidden="1">"c1225"</definedName>
    <definedName name="IQ_EV_OVER_LTM_EBIT" hidden="1">"c1221"</definedName>
    <definedName name="IQ_EV_OVER_LTM_EBITDA" hidden="1">"c1223"</definedName>
    <definedName name="IQ_EV_OVER_LTM_REVENUE" hidden="1">"c1227"</definedName>
    <definedName name="IQ_EV_OVER_REVENUE_EST" hidden="1">"IQ_EV_OVER_REVENUE_EST"</definedName>
    <definedName name="IQ_EV_OVER_REVENUE_EST_1" hidden="1">"IQ_EV_OVER_REVENUE_EST_1"</definedName>
    <definedName name="IQ_EXCHANGE" hidden="1">"c405"</definedName>
    <definedName name="IQ_EXERCISE_PRICE"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"c413"</definedName>
    <definedName name="IQ_EXTRAORDINARY_GAINS_FDIC" hidden="1">"c6586"</definedName>
    <definedName name="IQ_FAIR_VALUE_FDIC" hidden="1">"c6427"</definedName>
    <definedName name="IQ_FARM_LOANS_NET_FDIC" hidden="1">"c6316"</definedName>
    <definedName name="IQ_FARM_LOANS_TOTAL_LOANS_FOREIGN_FDIC" hidden="1">"c6450"</definedName>
    <definedName name="IQ_FARMLAND_LOANS_FDIC" hidden="1">"c6314"</definedName>
    <definedName name="IQ_FDIC" hidden="1">"c417"</definedName>
    <definedName name="IQ_FED_FUNDS_PURCHASED_FDIC" hidden="1">"c6343"</definedName>
    <definedName name="IQ_FED_FUNDS_SOLD_FDIC" hidden="1">"c6307"</definedName>
    <definedName name="IQ_FFO" hidden="1">"c1574"</definedName>
    <definedName name="IQ_FFO_EST" hidden="1">"c273"</definedName>
    <definedName name="IQ_FFO_HIGH_EST" hidden="1">"c274"</definedName>
    <definedName name="IQ_FFO_LOW_EST" hidden="1">"c275"</definedName>
    <definedName name="IQ_FFO_NUM_EST" hidden="1">"c276"</definedName>
    <definedName name="IQ_FFO_STDDEV_EST" hidden="1">"c277"</definedName>
    <definedName name="IQ_FH" hidden="1">100000</definedName>
    <definedName name="IQ_FHLB_ADVANCES_FDIC" hidden="1">"c6366"</definedName>
    <definedName name="IQ_FHLB_DEBT" hidden="1">"c423"</definedName>
    <definedName name="IQ_FIDUCIARY_ACTIVITIES_FDIC" hidden="1">"c6571"</definedName>
    <definedName name="IQ_FIFETEEN_YEAR_FIXED_AND_FLOATING_RATE_FDIC" hidden="1">"c6423"</definedName>
    <definedName name="IQ_FIFETEEN_YEAR_MORTGAGE_PASS_THROUGHS_FDIC" hidden="1">"c6415"</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"c893"</definedName>
    <definedName name="IQ_FINANCING_CASH_SUPPL" hidden="1">"c899"</definedName>
    <definedName name="IQ_FINISHED_INV" hidden="1">"c438"</definedName>
    <definedName name="IQ_FIRST_YEAR_LIFE" hidden="1">"c439"</definedName>
    <definedName name="IQ_FISCAL_Q" hidden="1">"c440"</definedName>
    <definedName name="IQ_FISCAL_Y" hidden="1">"c441"</definedName>
    <definedName name="IQ_FIVE_PERCENT_OWNER" hidden="1">"c442"</definedName>
    <definedName name="IQ_FIVE_YEAR_FIXED_AND_FLOATING_RATE_FDIC" hidden="1">"c6422"</definedName>
    <definedName name="IQ_FIVE_YEAR_MORTGAGE_PASS_THROUGHS_FDIC" hidden="1">"c6414"</definedName>
    <definedName name="IQ_FIVEPERCENT_PERCENT" hidden="1">"c443"</definedName>
    <definedName name="IQ_FIVEPERCENT_SHARES" hidden="1">"c444"</definedName>
    <definedName name="IQ_FIXED_ASSET_TURNS" hidden="1">"c445"</definedName>
    <definedName name="IQ_FLOAT_PERCENT" hidden="1">"c1575"</definedName>
    <definedName name="IQ_FNMA_FHLMC_FDIC" hidden="1">"c6397"</definedName>
    <definedName name="IQ_FNMA_FHLMC_GNMA_FDIC" hidden="1">"c6399"</definedName>
    <definedName name="IQ_FORECLOSED_PROPERTIES_FDIC" hidden="1">"c6459"</definedName>
    <definedName name="IQ_FOREIGN_BANK_LOANS_FDIC" hidden="1">"c6437"</definedName>
    <definedName name="IQ_FOREIGN_BANKS_DEPOSITS_FOREIGN_FDIC" hidden="1">"c6481"</definedName>
    <definedName name="IQ_FOREIGN_BANKS_LOAN_CHARG_OFFS_FDIC" hidden="1">"c6645"</definedName>
    <definedName name="IQ_FOREIGN_BANKS_NET_CHARGE_OFFS_FDIC" hidden="1">"c6647"</definedName>
    <definedName name="IQ_FOREIGN_BANKS_NONTRANSACTION_ACCOUNTS_FDIC" hidden="1">"c6550"</definedName>
    <definedName name="IQ_FOREIGN_BANKS_RECOVERIES_FDIC" hidden="1">"c6646"</definedName>
    <definedName name="IQ_FOREIGN_BANKS_TRANSACTION_ACCOUNTS_FDIC" hidden="1">"c6542"</definedName>
    <definedName name="IQ_FOREIGN_BRANCHES_US_BANKS_FDIC" hidden="1">"c6392"</definedName>
    <definedName name="IQ_FOREIGN_BRANCHES_US_BANKS_LOANS_FDIC" hidden="1">"c6438"</definedName>
    <definedName name="IQ_FOREIGN_COUNTRIES_BANKS_TOTAL_LOANS_FOREIGN_FDIC" hidden="1">"c6445"</definedName>
    <definedName name="IQ_FOREIGN_DEBT_SECURITIES_FDIC" hidden="1">"c6303"</definedName>
    <definedName name="IQ_FOREIGN_DEP_IB" hidden="1">"c446"</definedName>
    <definedName name="IQ_FOREIGN_DEP_NON_IB" hidden="1">"c447"</definedName>
    <definedName name="IQ_FOREIGN_DEPOSITS_NONTRANSACTION_ACCOUNTS_FDIC" hidden="1">"c6549"</definedName>
    <definedName name="IQ_FOREIGN_DEPOSITS_TRANSACTION_ACCOUNTS_FDIC" hidden="1">"c6541"</definedName>
    <definedName name="IQ_FOREIGN_EXCHANGE" hidden="1">"c451"</definedName>
    <definedName name="IQ_FOREIGN_EXCHANGE_EXPOSURES_FDIC" hidden="1">"c6663"</definedName>
    <definedName name="IQ_FOREIGN_GOVERNMENT_LOANS_FDIC" hidden="1">"c6430"</definedName>
    <definedName name="IQ_FOREIGN_GOVERNMENTS_CHARGE_OFFS_FDIC" hidden="1">"c6600"</definedName>
    <definedName name="IQ_FOREIGN_GOVERNMENTS_DEPOSITS_FOREIGN_FDIC" hidden="1">"c6482"</definedName>
    <definedName name="IQ_FOREIGN_GOVERNMENTS_NET_CHARGE_OFFS_FDIC" hidden="1">"c6638"</definedName>
    <definedName name="IQ_FOREIGN_GOVERNMENTS_NONTRANSACTION_ACCOUNTS_FDIC" hidden="1">"c6551"</definedName>
    <definedName name="IQ_FOREIGN_GOVERNMENTS_RECOVERIES_FDIC" hidden="1">"c6619"</definedName>
    <definedName name="IQ_FOREIGN_GOVERNMENTS_TOTAL_DEPOSITS_FDIC" hidden="1">"c6476"</definedName>
    <definedName name="IQ_FOREIGN_GOVERNMENTS_TRANSACTION_ACCOUNTS_FDIC" hidden="1">"c6543"</definedName>
    <definedName name="IQ_FOREIGN_LOANS" hidden="1">"c448"</definedName>
    <definedName name="IQ_FQ" hidden="1">500</definedName>
    <definedName name="IQ_FUEL" hidden="1">"c449"</definedName>
    <definedName name="IQ_FULL_TIME" hidden="1">"c450"</definedName>
    <definedName name="IQ_FULLY_INSURED_DEPOSITS_FDIC" hidden="1">"c6487"</definedName>
    <definedName name="IQ_FUTURES_FORWARD_CONTRACTS_NOTIONAL_AMOUNT_FDIC" hidden="1">"c6518"</definedName>
    <definedName name="IQ_FUTURES_FORWARD_CONTRACTS_RATE_RISK_FDIC" hidden="1">"c6508"</definedName>
    <definedName name="IQ_FWD" hidden="1">"LTM"</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WD_Q3" hidden="1">"504"</definedName>
    <definedName name="IQ_FWD_Q4" hidden="1">"505"</definedName>
    <definedName name="IQ_FWD_Q5" hidden="1">"506"</definedName>
    <definedName name="IQ_FWD_Q6" hidden="1">"507"</definedName>
    <definedName name="IQ_FWD_Q7" hidden="1">"508"</definedName>
    <definedName name="IQ_FWD1" hidden="1">"LTM"</definedName>
    <definedName name="IQ_FX" hidden="1">"c451"</definedName>
    <definedName name="IQ_FX_CONTRACTS_FDIC" hidden="1">"c6517"</definedName>
    <definedName name="IQ_FX_CONTRACTS_SPOT_FDIC" hidden="1">"c6356"</definedName>
    <definedName name="IQ_FY" hidden="1">1000</definedName>
    <definedName name="IQ_FY_DATE" hidden="1">"IQ_FY_DATE"</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"c452"</definedName>
    <definedName name="IQ_GAIN_SALE_LOANS_FDIC" hidden="1">"c6673"</definedName>
    <definedName name="IQ_GAIN_SALE_RE_FDIC" hidden="1">"c6674"</definedName>
    <definedName name="IQ_GAINS_SALE_ASSETS_FDIC" hidden="1">"c6675"</definedName>
    <definedName name="IQ_GNMA_FDIC" hidden="1">"c6398"</definedName>
    <definedName name="IQ_GOODWILL_FDIC" hidden="1">"c6334"</definedName>
    <definedName name="IQ_GOODWILL_IMPAIRMENT_FDIC" hidden="1">"c6678"</definedName>
    <definedName name="IQ_GOODWILL_INTAN_FDIC" hidden="1">"c6333"</definedName>
    <definedName name="IQ_GOODWILL_NET" hidden="1">"c530"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"c192"</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"c511"</definedName>
    <definedName name="IQ_GW" hidden="1">"c530"</definedName>
    <definedName name="IQ_GW_AMORT_BR" hidden="1">"c532"</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ELD_MATURITY_FDIC" hidden="1">"c6408"</definedName>
    <definedName name="IQ_HIGHPRICE" hidden="1">"c545"</definedName>
    <definedName name="IQ_HOME_EQUITY_LOC_NET_CHARGE_OFFS_FDIC" hidden="1">"c6644"</definedName>
    <definedName name="IQ_HOME_EQUITY_LOC_TOTAL_CHARGE_OFFS_FDIC" hidden="1">"c6606"</definedName>
    <definedName name="IQ_HOME_EQUITY_LOC_TOTAL_RECOVERIES_FDIC" hidden="1">"c6625"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"c789"</definedName>
    <definedName name="IQ_INC_AVAIL_INCL" hidden="1">"c791"</definedName>
    <definedName name="IQ_INC_BEFORE_TAX" hidden="1">"c386"</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CIDENTAL_CHANGES_BUSINESS_COMBINATIONS_FDIC" hidden="1">"c6502"</definedName>
    <definedName name="IQ_INCOME_BEFORE_EXTRA_FDIC" hidden="1">"c6585"</definedName>
    <definedName name="IQ_INCOME_EARNED_FDIC" hidden="1">"c6359"</definedName>
    <definedName name="IQ_INCOME_TAXES_FDIC" hidden="1">"c6582"</definedName>
    <definedName name="IQ_INDEX_PROVIDED_DIVIDEND" hidden="1">"c19252"</definedName>
    <definedName name="IQ_INDEXCONSTITUENT_CLOSEPRICE" hidden="1">"c19241"</definedName>
    <definedName name="IQ_INDIVIDUALS_CHARGE_OFFS_FDIC" hidden="1">"c6599"</definedName>
    <definedName name="IQ_INDIVIDUALS_LOANS_FDIC" hidden="1">"c6318"</definedName>
    <definedName name="IQ_INDIVIDUALS_NET_CHARGE_OFFS_FDIC" hidden="1">"c6637"</definedName>
    <definedName name="IQ_INDIVIDUALS_OTHER_LOANS_FDIC" hidden="1">"c6321"</definedName>
    <definedName name="IQ_INDIVIDUALS_PARTNERSHIPS_CORP_DEPOSITS_FOREIGN_FDIC" hidden="1">"c6479"</definedName>
    <definedName name="IQ_INDIVIDUALS_PARTNERSHIPS_CORP_NONTRANSACTION_ACCOUNTS_FDIC" hidden="1">"c6545"</definedName>
    <definedName name="IQ_INDIVIDUALS_PARTNERSHIPS_CORP_TOTAL_DEPOSITS_FDIC" hidden="1">"c6471"</definedName>
    <definedName name="IQ_INDIVIDUALS_PARTNERSHIPS_CORP_TRANSACTION_ACCOUNTS_FDIC" hidden="1">"c6537"</definedName>
    <definedName name="IQ_INDIVIDUALS_RECOVERIES_FDIC" hidden="1">"c6618"</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LOANS_FDIC" hidden="1">"c6365"</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TITUTIONS_EARNINGS_GAINS_FDIC" hidden="1">"c6723"</definedName>
    <definedName name="IQ_INSUR_RECEIV" hidden="1">"c1600"</definedName>
    <definedName name="IQ_INSURANCE_COMMISSION_FEES_FDIC" hidden="1">"c6670"</definedName>
    <definedName name="IQ_INSURANCE_UNDERWRITING_INCOME_FDIC" hidden="1">"c6671"</definedName>
    <definedName name="IQ_INT_BORROW" hidden="1">"c583"</definedName>
    <definedName name="IQ_INT_DEMAND_NOTES_FDIC" hidden="1">"c6567"</definedName>
    <definedName name="IQ_INT_DEPOSITS" hidden="1">"c584"</definedName>
    <definedName name="IQ_INT_DIV_INC" hidden="1">"c585"</definedName>
    <definedName name="IQ_INT_DOMESTIC_DEPOSITS_FDIC" hidden="1">"c6564"</definedName>
    <definedName name="IQ_INT_EXP_BR" hidden="1">"c586"</definedName>
    <definedName name="IQ_INT_EXP_COVERAGE" hidden="1">"c587"</definedName>
    <definedName name="IQ_INT_EXP_FIN" hidden="1">"c588"</definedName>
    <definedName name="IQ_INT_EXP_INS" hidden="1">"c589"</definedName>
    <definedName name="IQ_INT_EXP_REIT" hidden="1">"c590"</definedName>
    <definedName name="IQ_INT_EXP_TOTAL" hidden="1">"c591"</definedName>
    <definedName name="IQ_INT_EXP_TOTAL_FDIC" hidden="1">"c6569"</definedName>
    <definedName name="IQ_INT_EXP_UTI" hidden="1">"c592"</definedName>
    <definedName name="IQ_INT_FED_FUNDS_FDIC" hidden="1">"c6566"</definedName>
    <definedName name="IQ_INT_FOREIGN_DEPOSITS_FDIC" hidden="1">"c6565"</definedName>
    <definedName name="IQ_INT_INC_BR" hidden="1">"c593"</definedName>
    <definedName name="IQ_INT_INC_DEPOSITORY_INST_FDIC" hidden="1">"c6558"</definedName>
    <definedName name="IQ_INT_INC_DOM_LOANS_FDIC" hidden="1">"c6555"</definedName>
    <definedName name="IQ_INT_INC_FED_FUNDS_FDIC" hidden="1">"c6561"</definedName>
    <definedName name="IQ_INT_INC_FIN" hidden="1">"c594"</definedName>
    <definedName name="IQ_INT_INC_FOREIGN_LOANS_FDIC" hidden="1">"c6556"</definedName>
    <definedName name="IQ_INT_INC_INVEST" hidden="1">"c595"</definedName>
    <definedName name="IQ_INT_INC_LEASE_RECEIVABLES_FDIC" hidden="1">"c6557"</definedName>
    <definedName name="IQ_INT_INC_LOANS" hidden="1">"c596"</definedName>
    <definedName name="IQ_INT_INC_OTHER_FDIC" hidden="1">"c6562"</definedName>
    <definedName name="IQ_INT_INC_REIT" hidden="1">"c597"</definedName>
    <definedName name="IQ_INT_INC_SECURITIES_FDIC" hidden="1">"c6559"</definedName>
    <definedName name="IQ_INT_INC_TOTAL" hidden="1">"c598"</definedName>
    <definedName name="IQ_INT_INC_TOTAL_FDIC" hidden="1">"c6563"</definedName>
    <definedName name="IQ_INT_INC_TRADING_ACCOUNTS_FDIC" hidden="1">"c6560"</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_SUB_NOTES_FDIC" hidden="1">"c6568"</definedName>
    <definedName name="IQ_INTANGIBLES_NET" hidden="1">"c907"</definedName>
    <definedName name="IQ_INTEREST_BEARING_BALANCES_FDIC" hidden="1">"c6371"</definedName>
    <definedName name="IQ_INTEREST_BEARING_DEPOSITS_DOMESTIC_FDIC" hidden="1">"c6478"</definedName>
    <definedName name="IQ_INTEREST_BEARING_DEPOSITS_FDIC" hidden="1">"c6373"</definedName>
    <definedName name="IQ_INTEREST_BEARING_DEPOSITS_FOREIGN_FDIC" hidden="1">"c6485"</definedName>
    <definedName name="IQ_INTEREST_EXP" hidden="1">"c618"</definedName>
    <definedName name="IQ_INTEREST_EXP_NET" hidden="1">"c1450"</definedName>
    <definedName name="IQ_INTEREST_EXP_NON" hidden="1">"c618"</definedName>
    <definedName name="IQ_INTEREST_EXP_SUPPL" hidden="1">"c1460"</definedName>
    <definedName name="IQ_INTEREST_INC" hidden="1">"c769"</definedName>
    <definedName name="IQ_INTEREST_INC_10K" hidden="1">"IQ_INTEREST_INC_10K"</definedName>
    <definedName name="IQ_INTEREST_INC_10Q" hidden="1">"IQ_INTEREST_INC_10Q"</definedName>
    <definedName name="IQ_INTEREST_INC_10Q1" hidden="1">"IQ_INTEREST_INC_10Q1"</definedName>
    <definedName name="IQ_INTEREST_INC_NON" hidden="1">"c619"</definedName>
    <definedName name="IQ_INTEREST_INVEST_INC" hidden="1">"c619"</definedName>
    <definedName name="IQ_INTEREST_RATE_CONTRACTS_FDIC" hidden="1">"c6512"</definedName>
    <definedName name="IQ_INTEREST_RATE_EXPOSURES_FDIC" hidden="1">"c6662"</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NVESTMENT_BANKING_OTHER_FEES_FDIC" hidden="1">"c6666"</definedName>
    <definedName name="IQ_IPRD" hidden="1">"c644"</definedName>
    <definedName name="IQ_IRA_KEOGH_ACCOUNTS_FDIC" hidden="1">"c6496"</definedName>
    <definedName name="IQ_ISS_DEBT_NET" hidden="1">"c751"</definedName>
    <definedName name="IQ_ISS_STOCK_NET" hidden="1">"c1601"</definedName>
    <definedName name="IQ_ISSUED_GUARANTEED_US_FDIC" hidden="1">"c6404"</definedName>
    <definedName name="IQ_LAND" hidden="1">"c645"</definedName>
    <definedName name="IQ_LAST_EBIT_MARGIN" hidden="1">"IQ_LAST_EBIT_MARGIN"</definedName>
    <definedName name="IQ_LAST_EBITDA_MARGIN" hidden="1">"IQ_LAST_EBITDA_MARGIN"</definedName>
    <definedName name="IQ_LAST_GROSS_MARGIN" hidden="1">"IQ_LAST_GROSS_MARGIN"</definedName>
    <definedName name="IQ_LAST_NET_INC_MARGIN" hidden="1">"IQ_LAST_NET_INC_MARGIN"</definedName>
    <definedName name="IQ_LASTSALEPRICE" hidden="1">"c646"</definedName>
    <definedName name="IQ_LATEST" hidden="1">"1"</definedName>
    <definedName name="IQ_LATESTK" hidden="1">1000</definedName>
    <definedName name="IQ_LATESTKFR" hidden="1">"100"</definedName>
    <definedName name="IQ_LATESTQ" hidden="1">500</definedName>
    <definedName name="IQ_LATESTQFR" hidden="1">"50"</definedName>
    <definedName name="IQ_LEASE_FINANCING_RECEIVABLES_CHARGE_OFFS_FDIC" hidden="1">"c6602"</definedName>
    <definedName name="IQ_LEASE_FINANCING_RECEIVABLES_FDIC" hidden="1">"c6433"</definedName>
    <definedName name="IQ_LEASE_FINANCING_RECEIVABLES_NET_CHARGE_OFFS_FDIC" hidden="1">"c6640"</definedName>
    <definedName name="IQ_LEASE_FINANCING_RECEIVABLES_RECOVERIES_FDIC" hidden="1">"c6621"</definedName>
    <definedName name="IQ_LEASE_FINANCING_RECEIVABLES_TOTAL_LOANS_FOREIGN_FDIC" hidden="1">"c6449"</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IFE_INSURANCE_ASSETS_FDIC" hidden="1">"c6372"</definedName>
    <definedName name="IQ_LIFOR" hidden="1">"c655"</definedName>
    <definedName name="IQ_LL" hidden="1">"c656"</definedName>
    <definedName name="IQ_LOAN_COMMITMENTS_REVOLVING_FDIC" hidden="1">"c6524"</definedName>
    <definedName name="IQ_LOAN_LEASE_RECEIV" hidden="1">"c657"</definedName>
    <definedName name="IQ_LOAN_LOSS" hidden="1">"c656"</definedName>
    <definedName name="IQ_LOAN_LOSS_ALLOW_FDIC" hidden="1">"c6326"</definedName>
    <definedName name="IQ_LOAN_LOSS_ALLOWANCE_NONCURRENT_LOANS_FDIC" hidden="1">"c6740"</definedName>
    <definedName name="IQ_LOAN_LOSSES_FDIC" hidden="1">"c6580"</definedName>
    <definedName name="IQ_LOAN_SERVICE_REV" hidden="1">"c658"</definedName>
    <definedName name="IQ_LOANS_AND_LEASES_HELD_FDIC" hidden="1">"c6367"</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DEPOSITORY_INSTITUTIONS_FDIC" hidden="1">"c6382"</definedName>
    <definedName name="IQ_LOANS_FOR_SALE" hidden="1">"c666"</definedName>
    <definedName name="IQ_LOANS_HELD_FOREIGN_FDIC" hidden="1">"c6315"</definedName>
    <definedName name="IQ_LOANS_LEASES_FOREIGN_FDIC" hidden="1">"c6383"</definedName>
    <definedName name="IQ_LOANS_LEASES_GROSS_FDIC" hidden="1">"c6323"</definedName>
    <definedName name="IQ_LOANS_LEASES_GROSS_FOREIGN_FDIC" hidden="1">"c6384"</definedName>
    <definedName name="IQ_LOANS_LEASES_NET_FDIC" hidden="1">"c6327"</definedName>
    <definedName name="IQ_LOANS_LEASES_NET_UNEARNED_FDIC" hidden="1">"c6325"</definedName>
    <definedName name="IQ_LOANS_NOT_SECURED_RE_FDIC" hidden="1">"c6381"</definedName>
    <definedName name="IQ_LOANS_PAST_DUE" hidden="1">"c667"</definedName>
    <definedName name="IQ_LOANS_RECEIV_CURRENT" hidden="1">"c668"</definedName>
    <definedName name="IQ_LOANS_RECEIV_LT" hidden="1">"c669"</definedName>
    <definedName name="IQ_LOANS_RECEIV_LT_UTI" hidden="1">"c670"</definedName>
    <definedName name="IQ_LOANS_SECURED_BY_RE_CHARGE_OFFS_FDIC" hidden="1">"c6588"</definedName>
    <definedName name="IQ_LOANS_SECURED_BY_RE_RECOVERIES_FDIC" hidden="1">"c6607"</definedName>
    <definedName name="IQ_LOANS_SECURED_NON_US_FDIC" hidden="1">"c6380"</definedName>
    <definedName name="IQ_LOANS_SECURED_RE_NET_CHARGE_OFFS_FDIC" hidden="1">"c6626"</definedName>
    <definedName name="IQ_LOANS_TO_DEPOSITORY_INSTITUTIONS_FOREIGN_FDIC" hidden="1">"c6453"</definedName>
    <definedName name="IQ_LOANS_TO_FOREIGN_GOVERNMENTS_FDIC" hidden="1">"c6448"</definedName>
    <definedName name="IQ_LOANS_TO_INDIVIDUALS_FOREIGN_FDIC" hidden="1">"c6452"</definedName>
    <definedName name="IQ_LONG_TERM_ASSETS_FDIC" hidden="1">"c6361"</definedName>
    <definedName name="IQ_LONG_TERM_DEBT" hidden="1">"c674"</definedName>
    <definedName name="IQ_LONG_TERM_DEBT_OVER_TOTAL_CAP" hidden="1">"c677"</definedName>
    <definedName name="IQ_LONG_TERM_GROWTH" hidden="1">"c671"</definedName>
    <definedName name="IQ_LONG_TERM_INV" hidden="1">"c697"</definedName>
    <definedName name="IQ_LOSS_ALLOWANCE_LOANS_FDIC" hidden="1">"c6739"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DATE" hidden="1">"IQ_LTM_DATE"</definedName>
    <definedName name="IQ_LTM_REVENUE_OVER_EMPLOYEES" hidden="1">"c1304"</definedName>
    <definedName name="IQ_LTMMONTH" hidden="1">120000</definedName>
    <definedName name="IQ_MACHINERY" hidden="1">"c711"</definedName>
    <definedName name="IQ_MARKETCAP" hidden="1">"c712"</definedName>
    <definedName name="IQ_MATURITY_ONE_YEAR_LESS_FDIC" hidden="1">"c6425"</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NEY_MARKET_DEPOSIT_ACCOUNTS_FDIC" hidden="1">"c6553"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BACKED_SECURITIES_FDIC" hidden="1">"c6402"</definedName>
    <definedName name="IQ_MORTGAGE_SERVICING_FDIC" hidden="1">"c6335"</definedName>
    <definedName name="IQ_MTD" hidden="1">800000</definedName>
    <definedName name="IQ_MULTIFAMILY_RESIDENTIAL_LOANS_FDIC" hidden="1">"c6311"</definedName>
    <definedName name="IQ_NAMES_REVISION_DATE_" hidden="1">41168.7019791667</definedName>
    <definedName name="IQ_NET_CHANGE" hidden="1">"c749"</definedName>
    <definedName name="IQ_NET_CHARGE_OFFS_FDIC" hidden="1">"c6641"</definedName>
    <definedName name="IQ_NET_CHARGE_OFFS_LOANS_FDIC" hidden="1">"c6751"</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"c781"</definedName>
    <definedName name="IQ_NET_INC_10K" hidden="1">"IQ_NET_INC_10K"</definedName>
    <definedName name="IQ_NET_INC_10Q" hidden="1">"IQ_NET_INC_10Q"</definedName>
    <definedName name="IQ_NET_INC_10Q1" hidden="1">"IQ_NET_INC_10Q1"</definedName>
    <definedName name="IQ_NET_INC_BEFORE" hidden="1">"c344"</definedName>
    <definedName name="IQ_NET_INC_CF" hidden="1">"c793"</definedName>
    <definedName name="IQ_NET_INC_GROWTH_1" hidden="1">"IQ_NET_INC_GROWTH_1"</definedName>
    <definedName name="IQ_NET_INC_GROWTH_2" hidden="1">"IQ_NET_INC_GROWTH_2"</definedName>
    <definedName name="IQ_NET_INC_MARGIN" hidden="1">"c794"</definedName>
    <definedName name="IQ_NET_INCOME_FDIC" hidden="1">"c6587"</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NK_FDIC" hidden="1">"c6570"</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"c764"</definedName>
    <definedName name="IQ_NET_INTEREST_INC_AFTER_LL" hidden="1">"c1604"</definedName>
    <definedName name="IQ_NET_INTEREST_MARGIN_FDIC" hidden="1">"c6726"</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LEASES_CORE_DEPOSITS_FDIC" hidden="1">"c6743"</definedName>
    <definedName name="IQ_NET_LOANS_LEASES_DEPOSITS_FDIC" hidden="1">"c6742"</definedName>
    <definedName name="IQ_NET_LOANS_TOTAL_DEPOSITS" hidden="1">"c779"</definedName>
    <definedName name="IQ_NET_OPERATING_INCOME_ASSETS_FDIC" hidden="1">"c6729"</definedName>
    <definedName name="IQ_NET_RENTAL_EXP_FN" hidden="1">"c780"</definedName>
    <definedName name="IQ_NET_SECURITIZATION_INCOME_FDIC" hidden="1">"c6669"</definedName>
    <definedName name="IQ_NET_SERVICING_FEES_FDIC" hidden="1">"c6668"</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SFAS" hidden="1">"c795"</definedName>
    <definedName name="IQ_NON_ACCRUAL_LOANS" hidden="1">"c796"</definedName>
    <definedName name="IQ_NON_CASH" hidden="1">"c797"</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EXP_FDIC" hidden="1">"c6579"</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_INC_FDIC" hidden="1">"c6575"</definedName>
    <definedName name="IQ_NON_INTEREST_EXP" hidden="1">"c801"</definedName>
    <definedName name="IQ_NON_INTEREST_INC" hidden="1">"c802"</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_US_ADDRESSEES_TOTAL_LOANS_FOREIGN_FDIC" hidden="1">"c6443"</definedName>
    <definedName name="IQ_NON_US_CHARGE_OFFS_AND_RECOVERIES_FDIC" hidden="1">"c6650"</definedName>
    <definedName name="IQ_NON_US_CHARGE_OFFS_FDIC" hidden="1">"c6648"</definedName>
    <definedName name="IQ_NON_US_COMMERCIAL_INDUSTRIAL_CHARGE_OFFS_FDIC" hidden="1">"c6651"</definedName>
    <definedName name="IQ_NON_US_NET_LOANS_FDIC" hidden="1">"c6376"</definedName>
    <definedName name="IQ_NON_US_RECOVERIES_FDIC" hidden="1">"c6649"</definedName>
    <definedName name="IQ_NONCURRENT_LOANS_1_4_FAMILY_FDIC" hidden="1">"c6770"</definedName>
    <definedName name="IQ_NONCURRENT_LOANS_COMMERCIAL_INDUSTRIAL_FDIC" hidden="1">"c6773"</definedName>
    <definedName name="IQ_NONCURRENT_LOANS_COMMERCIAL_RE_FDIC" hidden="1">"c6768"</definedName>
    <definedName name="IQ_NONCURRENT_LOANS_COMMERCIAL_RE_NOT_SECURED_FDIC" hidden="1">"c6778"</definedName>
    <definedName name="IQ_NONCURRENT_LOANS_CONSTRUCTION_LAND_DEV_FDIC" hidden="1">"c6767"</definedName>
    <definedName name="IQ_NONCURRENT_LOANS_CREDIT_CARD_FDIC" hidden="1">"c6775"</definedName>
    <definedName name="IQ_NONCURRENT_LOANS_GUARANTEED_FDIC" hidden="1">"c6358"</definedName>
    <definedName name="IQ_NONCURRENT_LOANS_HOME_EQUITY_FDIC" hidden="1">"c6771"</definedName>
    <definedName name="IQ_NONCURRENT_LOANS_INDIVIDUALS_FDIC" hidden="1">"c6774"</definedName>
    <definedName name="IQ_NONCURRENT_LOANS_LEASES_FDIC" hidden="1">"c6357"</definedName>
    <definedName name="IQ_NONCURRENT_LOANS_MULTIFAMILY_FDIC" hidden="1">"c6769"</definedName>
    <definedName name="IQ_NONCURRENT_LOANS_OTHER_FAMILY_FDIC" hidden="1">"c6772"</definedName>
    <definedName name="IQ_NONCURRENT_LOANS_OTHER_INDIVIDUAL_FDIC" hidden="1">"c6776"</definedName>
    <definedName name="IQ_NONCURRENT_LOANS_OTHER_LOANS_FDIC" hidden="1">"c6777"</definedName>
    <definedName name="IQ_NONCURRENT_LOANS_RE_FDIC" hidden="1">"c6766"</definedName>
    <definedName name="IQ_NONCURRENT_LOANS_TOTAL_LOANS_FDIC" hidden="1">"c6765"</definedName>
    <definedName name="IQ_NONCURRENT_OREO_ASSETS_FDIC" hidden="1">"c6741"</definedName>
    <definedName name="IQ_NONINTEREST_BEARING_BALANCES_FDIC" hidden="1">"c6394"</definedName>
    <definedName name="IQ_NONINTEREST_BEARING_DEPOSITS_DOMESTIC_FDIC" hidden="1">"c6477"</definedName>
    <definedName name="IQ_NONINTEREST_BEARING_DEPOSITS_FOREIGN_FDIC" hidden="1">"c6484"</definedName>
    <definedName name="IQ_NONINTEREST_EXPENSE_EARNING_ASSETS_FDIC" hidden="1">"c6728"</definedName>
    <definedName name="IQ_NONINTEREST_INCOME_EARNING_ASSETS_FDIC" hidden="1">"c6727"</definedName>
    <definedName name="IQ_NONMORTGAGE_SERVICING_FDIC" hidden="1">"c6336"</definedName>
    <definedName name="IQ_NONTRANSACTION_ACCOUNTS_FDIC" hidden="1">"c6552"</definedName>
    <definedName name="IQ_NORMAL_INC_AFTER" hidden="1">"c1605"</definedName>
    <definedName name="IQ_NORMAL_INC_AVAIL" hidden="1">"c1606"</definedName>
    <definedName name="IQ_NORMAL_INC_BEFORE" hidden="1">"c1607"</definedName>
    <definedName name="IQ_NOTES_PAY" hidden="1">"c1176"</definedName>
    <definedName name="IQ_NOTIONAL_AMOUNT_CREDIT_DERIVATIVES_FDIC" hidden="1">"c6507"</definedName>
    <definedName name="IQ_NOTIONAL_VALUE_EXCHANGE_SWAPS_FDIC" hidden="1">"c6516"</definedName>
    <definedName name="IQ_NOTIONAL_VALUE_OTHER_SWAPS_FDIC" hidden="1">"c6521"</definedName>
    <definedName name="IQ_NOTIONAL_VALUE_RATE_SWAPS_FDIC" hidden="1">"c6511"</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BER_DEPOSITS_LESS_THAN_100K_FDIC" hidden="1">"c6495"</definedName>
    <definedName name="IQ_NUMBER_DEPOSITS_MORE_THAN_100K_FDIC" hidden="1">"c6493"</definedName>
    <definedName name="IQ_OBLIGATIONS_OF_STATES_TOTAL_LOANS_FOREIGN_FDIC" hidden="1">"c6447"</definedName>
    <definedName name="IQ_OBLIGATIONS_STATES_FDIC" hidden="1">"c6431"</definedName>
    <definedName name="IQ_OCCUPY_EXP" hidden="1">"c839"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"c362"</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ISSUED" hidden="1">"c857"</definedName>
    <definedName name="IQ_OREO_1_4_RESIDENTIAL_FDIC" hidden="1">"c6454"</definedName>
    <definedName name="IQ_OREO_COMMERCIAL_RE_FDIC" hidden="1">"c6456"</definedName>
    <definedName name="IQ_OREO_CONSTRUCTION_DEVELOPMENT_FDIC" hidden="1">"c6457"</definedName>
    <definedName name="IQ_OREO_FARMLAND_FDIC" hidden="1">"c6458"</definedName>
    <definedName name="IQ_OREO_FOREIGN_FDIC" hidden="1">"c6460"</definedName>
    <definedName name="IQ_OREO_MULTI_FAMILY_RESIDENTIAL_FDIC" hidden="1">"c6455"</definedName>
    <definedName name="IQ_OTHER_ADJUST_GROSS_LOANS" hidden="1">"c859"</definedName>
    <definedName name="IQ_OTHER_AMORT_BR" hidden="1">"c5566"</definedName>
    <definedName name="IQ_OTHER_ASSETS" hidden="1">"c860"</definedName>
    <definedName name="IQ_OTHER_ASSETS_BNK" hidden="1">"c861"</definedName>
    <definedName name="IQ_OTHER_ASSETS_BR" hidden="1">"c862"</definedName>
    <definedName name="IQ_OTHER_ASSETS_FDIC" hidden="1">"c6338"</definedName>
    <definedName name="IQ_OTHER_ASSETS_FIN" hidden="1">"c863"</definedName>
    <definedName name="IQ_OTHER_ASSETS_INS" hidden="1">"c864"</definedName>
    <definedName name="IQ_OTHER_ASSETS_REIT" hidden="1">"c865"</definedName>
    <definedName name="IQ_OTHER_ASSETS_UTI" hidden="1">"c866"</definedName>
    <definedName name="IQ_OTHER_BEARING_LIAB" hidden="1">"c1608"</definedName>
    <definedName name="IQ_OTHER_BENEFITS_OBLIGATION" hidden="1">"c867"</definedName>
    <definedName name="IQ_OTHER_BORROWED_FUNDS_FDIC" hidden="1">"c6345"</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OMPREHENSIVE_INCOME_FDIC" hidden="1">"c6503"</definedName>
    <definedName name="IQ_OTHER_CURRENT_ASSETS" hidden="1">"c868"</definedName>
    <definedName name="IQ_OTHER_CURRENT_LIAB" hidden="1">"c877"</definedName>
    <definedName name="IQ_OTHER_DEP" hidden="1">"c885"</definedName>
    <definedName name="IQ_OTHER_DEPOSITORY_INSTITUTIONS_LOANS_FDIC" hidden="1">"c6436"</definedName>
    <definedName name="IQ_OTHER_DEPOSITORY_INSTITUTIONS_TOTAL_LOANS_FOREIGN_FDIC" hidden="1">"c6442"</definedName>
    <definedName name="IQ_OTHER_DOMESTIC_DEBT_SECURITIES_FDIC" hidden="1">"c6302"</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SURANCE_FEES_FDIC" hidden="1">"c6672"</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TANGIBLE_FDIC" hidden="1">"c6337"</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"c916"</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IABILITIES_FDIC" hidden="1">"c6347"</definedName>
    <definedName name="IQ_OTHER_LOANS" hidden="1">"c945"</definedName>
    <definedName name="IQ_OTHER_LOANS_CHARGE_OFFS_FDIC" hidden="1">"c6601"</definedName>
    <definedName name="IQ_OTHER_LOANS_FOREIGN_FDIC" hidden="1">"c6446"</definedName>
    <definedName name="IQ_OTHER_LOANS_LEASES_FDIC" hidden="1">"c6322"</definedName>
    <definedName name="IQ_OTHER_LOANS_NET_CHARGE_OFFS_FDIC" hidden="1">"c6639"</definedName>
    <definedName name="IQ_OTHER_LOANS_RECOVERIES_FDIC" hidden="1">"c6620"</definedName>
    <definedName name="IQ_OTHER_LOANS_TOTAL_FDIC" hidden="1">"c6432"</definedName>
    <definedName name="IQ_OTHER_LONG_TERM" hidden="1">"c946"</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"c959"</definedName>
    <definedName name="IQ_OTHER_NON_INT_EXP" hidden="1">"c953"</definedName>
    <definedName name="IQ_OTHER_NON_INT_EXP_FDIC" hidden="1">"c6578"</definedName>
    <definedName name="IQ_OTHER_NON_INT_EXP_TOTAL" hidden="1">"c954"</definedName>
    <definedName name="IQ_OTHER_NON_INT_EXPENSE_FDIC" hidden="1">"c6679"</definedName>
    <definedName name="IQ_OTHER_NON_INT_INC" hidden="1">"c955"</definedName>
    <definedName name="IQ_OTHER_NON_INT_INC_FDIC" hidden="1">"c6676"</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FF_BS_LIAB_FDIC" hidden="1">"c6533"</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PC_WRITTEN" hidden="1">"c1006"</definedName>
    <definedName name="IQ_OTHER_RE_OWNED_FDIC" hidden="1">"c6330"</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"c1010"</definedName>
    <definedName name="IQ_OTHER_SAVINGS_DEPOSITS_FDIC" hidden="1">"c6554"</definedName>
    <definedName name="IQ_OTHER_TRANSACTIONS_FDIC" hidden="1">"c6504"</definedName>
    <definedName name="IQ_OTHER_UNUSED_COMMITMENTS_FDIC" hidden="1">"c6530"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"c1022"</definedName>
    <definedName name="IQ_OUTSTANDING_FILING_DATE" hidden="1">"c1023"</definedName>
    <definedName name="IQ_OVER_FIFETEEN_YEAR_MORTGAGE_PASS_THROUGHS_FDIC" hidden="1">"c6416"</definedName>
    <definedName name="IQ_OVER_FIFTEEN_YEAR_FIXED_AND_FLOATING_RATE_FDIC" hidden="1">"c6424"</definedName>
    <definedName name="IQ_OVER_THREE_YEARS_FDIC" hidden="1">"c6418"</definedName>
    <definedName name="IQ_PART_TIME" hidden="1">"c1024"</definedName>
    <definedName name="IQ_PARTICIPATION_POOLS_RESIDENTIAL_MORTGAGES_FDIC" hidden="1">"c6403"</definedName>
    <definedName name="IQ_PAST_DUE_30_1_4_FAMILY_LOANS_FDIC" hidden="1">"c6693"</definedName>
    <definedName name="IQ_PAST_DUE_30_AUTO_LOANS_FDIC" hidden="1">"c6687"</definedName>
    <definedName name="IQ_PAST_DUE_30_CL_LOANS_FDIC" hidden="1">"c6688"</definedName>
    <definedName name="IQ_PAST_DUE_30_CREDIT_CARDS_RECEIVABLES_FDIC" hidden="1">"c6690"</definedName>
    <definedName name="IQ_PAST_DUE_30_HOME_EQUITY_LINES_FDIC" hidden="1">"c6691"</definedName>
    <definedName name="IQ_PAST_DUE_30_OTHER_CONSUMER_LOANS_FDIC" hidden="1">"c6689"</definedName>
    <definedName name="IQ_PAST_DUE_30_OTHER_LOANS_FDIC" hidden="1">"c6692"</definedName>
    <definedName name="IQ_PAST_DUE_90_1_4_FAMILY_LOANS_FDIC" hidden="1">"c6700"</definedName>
    <definedName name="IQ_PAST_DUE_90_AUTO_LOANS_FDIC" hidden="1">"c6694"</definedName>
    <definedName name="IQ_PAST_DUE_90_CL_LOANS_FDIC" hidden="1">"c6695"</definedName>
    <definedName name="IQ_PAST_DUE_90_CREDIT_CARDS_RECEIVABLES_FDIC" hidden="1">"c6697"</definedName>
    <definedName name="IQ_PAST_DUE_90_HOME_EQUITY_LINES_FDIC" hidden="1">"c6698"</definedName>
    <definedName name="IQ_PAST_DUE_90_OTHER_CONSUMER_LOANS_FDIC" hidden="1">"c6696"</definedName>
    <definedName name="IQ_PAST_DUE_90_OTHER_LOANS_FDIC" hidden="1">"c6699"</definedName>
    <definedName name="IQ_PAY_ACCRUED" hidden="1">"c8"</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RATIO" hidden="1">"c1610"</definedName>
    <definedName name="IQ_PENSION" hidden="1">"c1031"</definedName>
    <definedName name="IQ_PERCENT_INSURED_FDIC" hidden="1">"c6374"</definedName>
    <definedName name="IQ_PERIODDATE" hidden="1">"c1034"</definedName>
    <definedName name="IQ_PERIODDATE_BS" hidden="1">"c1032"</definedName>
    <definedName name="IQ_PERIODDATE_CF" hidden="1">"c1033"</definedName>
    <definedName name="IQ_PERIODDATE_FDIC" hidden="1">"c13646"</definedName>
    <definedName name="IQ_PERIODDATE_IS" hidden="1">"c1034"</definedName>
    <definedName name="IQ_PERIODLENGTH_CF" hidden="1">"c1502"</definedName>
    <definedName name="IQ_PERIODLENGTH_IS" hidden="1">"c1503"</definedName>
    <definedName name="IQ_PERTYPE" hidden="1">"c1611"</definedName>
    <definedName name="IQ_PLEDGED_SECURITIES_FDIC" hidden="1">"c6401"</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RE_OPEN_COST" hidden="1">"c1040"</definedName>
    <definedName name="IQ_PRE_TAX_INCOME_FDIC" hidden="1">"c6581"</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"c1052"</definedName>
    <definedName name="IQ_PREF_TOT" hidden="1">"c1044"</definedName>
    <definedName name="IQ_PREFERRED_FDIC" hidden="1">"c6349"</definedName>
    <definedName name="IQ_PREMISES_EQUIPMENT_FDIC" hidden="1">"c6577"</definedName>
    <definedName name="IQ_PREMIUMS_ANNUITY_REV" hidden="1">"c1067"</definedName>
    <definedName name="IQ_PREPAID_EXP" hidden="1">"c1068"</definedName>
    <definedName name="IQ_PREPAID_EXPEN" hidden="1">"c1068"</definedName>
    <definedName name="IQ_PRETAX_INC" hidden="1">"IQ_PRETAX_INC"</definedName>
    <definedName name="IQ_PRETAX_INC_10K" hidden="1">"IQ_PRETAX_INC_10K"</definedName>
    <definedName name="IQ_PRETAX_INC_10Q" hidden="1">"IQ_PRETAX_INC_10Q"</definedName>
    <definedName name="IQ_PRETAX_INC_10Q1" hidden="1">"IQ_PRETAX_INC_10Q1"</definedName>
    <definedName name="IQ_PRETAX_RETURN_ASSETS_FDIC" hidden="1">"c6731"</definedName>
    <definedName name="IQ_PRICE_OVER_BVPS" hidden="1">"c1026"</definedName>
    <definedName name="IQ_PRICE_OVER_EPS_EST" hidden="1">"IQ_PRICE_OVER_EPS_EST"</definedName>
    <definedName name="IQ_PRICE_OVER_EPS_EST_1" hidden="1">"IQ_PRICE_OVER_EPS_EST_1"</definedName>
    <definedName name="IQ_PRICE_OVER_LTM_EPS" hidden="1">"c1029"</definedName>
    <definedName name="IQ_PRICEDATE" hidden="1">"c1069"</definedName>
    <definedName name="IQ_PRICEDATETIME" hidden="1">"IQ_PRICEDATETIME"</definedName>
    <definedName name="IQ_PRICING_DATE" hidden="1">"c1613"</definedName>
    <definedName name="IQ_PRIMARY_INDUSTRY" hidden="1">"c1070"</definedName>
    <definedName name="IQ_PRIVATELY_ISSUED_MORTGAGE_BACKED_SECURITIES_FDIC" hidden="1">"c6407"</definedName>
    <definedName name="IQ_PRIVATELY_ISSUED_MORTGAGE_PASS_THROUGHS_FDIC" hidden="1">"c6405"</definedName>
    <definedName name="IQ_PRO_FORMA_BASIC_EPS" hidden="1">"c1614"</definedName>
    <definedName name="IQ_PRO_FORMA_DILUT_EPS" hidden="1">"c1615"</definedName>
    <definedName name="IQ_PRO_FORMA_NET_INC" hidden="1">"c795"</definedName>
    <definedName name="IQ_PROFESSIONAL" hidden="1">"c1071"</definedName>
    <definedName name="IQ_PROFESSIONAL_TITLE" hidden="1">"c1072"</definedName>
    <definedName name="IQ_PROPERTY_EXP" hidden="1">"c1073"</definedName>
    <definedName name="IQ_PROPERTY_GROSS" hidden="1">"c518"</definedName>
    <definedName name="IQ_PROPERTY_MGMT_FEE" hidden="1">"c1074"</definedName>
    <definedName name="IQ_PROPERTY_NET" hidden="1">"c829"</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RCHASE_FOREIGN_CURRENCIES_FDIC" hidden="1">"c6513"</definedName>
    <definedName name="IQ_PURCHASED_OPTION_CONTRACTS_FDIC" hidden="1">"c6510"</definedName>
    <definedName name="IQ_PURCHASED_OPTION_CONTRACTS_FX_RISK_FDIC" hidden="1">"c6515"</definedName>
    <definedName name="IQ_PURCHASED_OPTION_CONTRACTS_NON_FX_IR_FDIC" hidden="1">"c6520"</definedName>
    <definedName name="IQ_QTD" hidden="1">750000</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_FORECLOSURE_FDIC" hidden="1">"c6332"</definedName>
    <definedName name="IQ_RE_INVEST_FDIC" hidden="1">"c6331"</definedName>
    <definedName name="IQ_RE_LOANS_DOMESTIC_CHARGE_OFFS_FDIC" hidden="1">"c6589"</definedName>
    <definedName name="IQ_RE_LOANS_DOMESTIC_FDIC" hidden="1">"c6309"</definedName>
    <definedName name="IQ_RE_LOANS_DOMESTIC_NET_CHARGE_OFFS_FDIC" hidden="1">"c6627"</definedName>
    <definedName name="IQ_RE_LOANS_DOMESTIC_RECOVERIES_FDIC" hidden="1">"c6608"</definedName>
    <definedName name="IQ_RE_LOANS_FDIC" hidden="1">"c6308"</definedName>
    <definedName name="IQ_RE_LOANS_FOREIGN_CHARGE_OFFS_FDIC" hidden="1">"c6595"</definedName>
    <definedName name="IQ_RE_LOANS_FOREIGN_NET_CHARGE_OFFS_FDIC" hidden="1">"c6633"</definedName>
    <definedName name="IQ_RE_LOANS_FOREIGN_RECOVERIES_FDIC" hidden="1">"c6614"</definedName>
    <definedName name="IQ_REAL_ESTATE" hidden="1">"c1093"</definedName>
    <definedName name="IQ_REAL_ESTATE_ASSETS" hidden="1">"c1094"</definedName>
    <definedName name="IQ_RECOVERIES_1_4_FAMILY_LOANS_FDIC" hidden="1">"c6707"</definedName>
    <definedName name="IQ_RECOVERIES_AUTO_LOANS_FDIC" hidden="1">"c6701"</definedName>
    <definedName name="IQ_RECOVERIES_CL_LOANS_FDIC" hidden="1">"c6702"</definedName>
    <definedName name="IQ_RECOVERIES_CREDIT_CARDS_RECEIVABLES_FDIC" hidden="1">"c6704"</definedName>
    <definedName name="IQ_RECOVERIES_HOME_EQUITY_LINES_FDIC" hidden="1">"c6705"</definedName>
    <definedName name="IQ_RECOVERIES_OTHER_CONSUMER_LOANS_FDIC" hidden="1">"c6703"</definedName>
    <definedName name="IQ_RECOVERIES_OTHER_LOANS_FDIC" hidden="1">"c6706"</definedName>
    <definedName name="IQ_REDEEM_PREF_STOCK" hidden="1">"c1059"</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LATED_PLANS_FDIC" hidden="1">"c6320"</definedName>
    <definedName name="IQ_RENTAL_REV" hidden="1">"c1101"</definedName>
    <definedName name="IQ_RESEARCH_DEV" hidden="1">"c1090"</definedName>
    <definedName name="IQ_RESIDENTIAL_LOANS" hidden="1">"c1102"</definedName>
    <definedName name="IQ_RESTATEMENT_BS" hidden="1">"c1643"</definedName>
    <definedName name="IQ_RESTATEMENT_CF" hidden="1">"c1644"</definedName>
    <definedName name="IQ_RESTATEMENT_IS" hidden="1">"c1642"</definedName>
    <definedName name="IQ_RESTATEMENTS_NET_FDIC" hidden="1">"c6500"</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STRUCTURED_LOANS_1_4_RESIDENTIAL_FDIC" hidden="1">"c6378"</definedName>
    <definedName name="IQ_RESTRUCTURED_LOANS_LEASES_FDIC" hidden="1">"c6377"</definedName>
    <definedName name="IQ_RESTRUCTURED_LOANS_NON_1_4_FDIC" hidden="1">"c6379"</definedName>
    <definedName name="IQ_RETAIL_DEPOSITS_FDIC" hidden="1">"c6488"</definedName>
    <definedName name="IQ_RETAINED_EARN" hidden="1">"c1092"</definedName>
    <definedName name="IQ_RETAINED_EARNINGS_AVERAGE_EQUITY_FDIC" hidden="1">"c6733"</definedName>
    <definedName name="IQ_RETURN_ASSETS" hidden="1">"c1113"</definedName>
    <definedName name="IQ_RETURN_ASSETS_BANK" hidden="1">"c1114"</definedName>
    <definedName name="IQ_RETURN_ASSETS_BROK" hidden="1">"c1115"</definedName>
    <definedName name="IQ_RETURN_ASSETS_FDIC" hidden="1">"c6730"</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DIC" hidden="1">"c6732"</definedName>
    <definedName name="IQ_RETURN_EQUITY_FS" hidden="1">"c1121"</definedName>
    <definedName name="IQ_RETURN_INVESTMENT" hidden="1">"c1117"</definedName>
    <definedName name="IQ_REV" hidden="1">"c1122"</definedName>
    <definedName name="IQ_REV_BEFORE_LL" hidden="1">"c1123"</definedName>
    <definedName name="IQ_REV_STDDEV_EST" hidden="1">"c264"</definedName>
    <definedName name="IQ_REV_UTI" hidden="1">"c1125"</definedName>
    <definedName name="IQ_REVALUATION_GAINS_FDIC" hidden="1">"c6428"</definedName>
    <definedName name="IQ_REVALUATION_LOSSES_FDIC" hidden="1">"c6429"</definedName>
    <definedName name="IQ_REVENUE" hidden="1">"c1122"</definedName>
    <definedName name="IQ_REVENUE_10K" hidden="1">"IQ_REVENUE_10K"</definedName>
    <definedName name="IQ_REVENUE_10Q" hidden="1">"IQ_REVENUE_10Q"</definedName>
    <definedName name="IQ_REVENUE_10Q1" hidden="1">"IQ_REVENUE_10Q1"</definedName>
    <definedName name="IQ_REVENUE_EST" hidden="1">"c188"</definedName>
    <definedName name="IQ_REVENUE_EST_1" hidden="1">"IQ_REVENUE_EST_1"</definedName>
    <definedName name="IQ_REVENUE_GROWTH_1" hidden="1">"IQ_REVENUE_GROWTH_1"</definedName>
    <definedName name="IQ_REVENUE_GROWTH_2" hidden="1">"IQ_REVENUE_GROWTH_2"</definedName>
    <definedName name="IQ_REVENUE_HIGH_EST" hidden="1">"c261"</definedName>
    <definedName name="IQ_REVENUE_LOW_EST" hidden="1">"c262"</definedName>
    <definedName name="IQ_REVENUE_NUM_EST" hidden="1">"c263"</definedName>
    <definedName name="IQ_REVOLVING_SECURED_1_–4_NON_ACCRUAL_FFIEC" hidden="1">"c13314"</definedName>
    <definedName name="IQ_RISK_WEIGHTED_ASSETS_FDIC" hidden="1">"c6370"</definedName>
    <definedName name="IQ_SALARY" hidden="1">"c1130"</definedName>
    <definedName name="IQ_SALARY_FDIC" hidden="1">"c6576"</definedName>
    <definedName name="IQ_SALE_CONVERSION_RETIREMENT_STOCK_FDIC" hidden="1">"c6661"</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ME_STORE" hidden="1">"c1149"</definedName>
    <definedName name="IQ_SAVING_DEP" hidden="1">"c1150"</definedName>
    <definedName name="IQ_SECUR_RECEIV" hidden="1">"c1151"</definedName>
    <definedName name="IQ_SECURED_1_4_FAMILY_RESIDENTIAL_CHARGE_OFFS_FDIC" hidden="1">"c6590"</definedName>
    <definedName name="IQ_SECURED_1_4_FAMILY_RESIDENTIAL_NET_CHARGE_OFFS_FDIC" hidden="1">"c6628"</definedName>
    <definedName name="IQ_SECURED_1_4_FAMILY_RESIDENTIAL_RECOVERIES_FDIC" hidden="1">"c6609"</definedName>
    <definedName name="IQ_SECURED_FARMLAND_CHARGE_OFFS_FDIC" hidden="1">"c6593"</definedName>
    <definedName name="IQ_SECURED_FARMLAND_NET_CHARGE_OFFS_FDIC" hidden="1">"c6631"</definedName>
    <definedName name="IQ_SECURED_FARMLAND_RECOVERIES_FDIC" hidden="1">"c6612"</definedName>
    <definedName name="IQ_SECURED_MULTIFAMILY_RESIDENTIAL_CHARGE_OFFS_FDIC" hidden="1">"c6591"</definedName>
    <definedName name="IQ_SECURED_MULTIFAMILY_RESIDENTIAL_NET_CHARGE_OFFS_FDIC" hidden="1">"c6629"</definedName>
    <definedName name="IQ_SECURED_MULTIFAMILY_RESIDENTIAL_RECOVERIES_FDIC" hidden="1">"c6610"</definedName>
    <definedName name="IQ_SECURED_NONFARM_NONRESIDENTIAL_CHARGE_OFFS_FDIC" hidden="1">"c6592"</definedName>
    <definedName name="IQ_SECURED_NONFARM_NONRESIDENTIAL_NET_CHARGE_OFFS_FDIC" hidden="1">"c6630"</definedName>
    <definedName name="IQ_SECURED_NONFARM_NONRESIDENTIAL_RECOVERIES_FDIC" hidden="1">"c6611"</definedName>
    <definedName name="IQ_SECURITIES_GAINS_FDIC" hidden="1">"c6584"</definedName>
    <definedName name="IQ_SECURITIES_ISSUED_STATES_FDIC" hidden="1">"c6300"</definedName>
    <definedName name="IQ_SECURITIES_LENT_FDIC" hidden="1">"c6532"</definedName>
    <definedName name="IQ_SECURITIES_UNDERWRITING_FDIC" hidden="1">"c6529"</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ERVICE_CHARGES_FDIC" hidden="1">"c6572"</definedName>
    <definedName name="IQ_SGA" hidden="1">"c1158"</definedName>
    <definedName name="IQ_SGA_BNK" hidden="1">"c1159"</definedName>
    <definedName name="IQ_SGA_INS" hidden="1">"c1160"</definedName>
    <definedName name="IQ_SGA_REIT" hidden="1">"c1161"</definedName>
    <definedName name="IQ_SGA_SUPPL" hidden="1">"c1162"</definedName>
    <definedName name="IQ_SGA_UTI" hidden="1">"c1163"</definedName>
    <definedName name="IQ_SHAREOUTSTANDING" hidden="1">"c83"</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"c1197"</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ES_NONTRANSACTION_ACCOUNTS_FDIC" hidden="1">"c6547"</definedName>
    <definedName name="IQ_STATES_TOTAL_DEPOSITS_FDIC" hidden="1">"c6473"</definedName>
    <definedName name="IQ_STATES_TRANSACTION_ACCOUNTS_FDIC" hidden="1">"c6539"</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UB_DEBT_FDIC" hidden="1">"c6346"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URPLUS_FDIC" hidden="1">"c6351"</definedName>
    <definedName name="IQ_SVA" hidden="1">"c1214"</definedName>
    <definedName name="IQ_TAX_BENEFIT_OPTIONS" hidden="1">"c1215"</definedName>
    <definedName name="IQ_TAX_EQUIV_NET_INT_INC" hidden="1">"c1216"</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HREE_MONTHS_FIXED_AND_FLOATING_FDIC" hidden="1">"c6419"</definedName>
    <definedName name="IQ_THREE_MONTHS_MORTGAGE_PASS_THROUGHS_FDIC" hidden="1">"c6411"</definedName>
    <definedName name="IQ_THREE_YEAR_FIXED_AND_FLOATING_RATE_FDIC" hidden="1">"c6421"</definedName>
    <definedName name="IQ_THREE_YEAR_MORTGAGE_PASS_THROUGHS_FDIC" hidden="1">"c6413"</definedName>
    <definedName name="IQ_THREE_YEARS_LESS_FDIC" hidden="1">"c6417"</definedName>
    <definedName name="IQ_TIER_1_RISK_BASED_CAPITAL_RATIO_FDIC" hidden="1">"c6746"</definedName>
    <definedName name="IQ_TIER_ONE_FDIC" hidden="1">"c6369"</definedName>
    <definedName name="IQ_TIER_ONE_RATIO" hidden="1">"c1229"</definedName>
    <definedName name="IQ_TIME_DEP" hidden="1">"c1230"</definedName>
    <definedName name="IQ_TIME_DEPOSITS_LESS_THAN_100K_FDIC" hidden="1">"c6465"</definedName>
    <definedName name="IQ_TIME_DEPOSITS_MORE_THAN_100K_FDIC" hidden="1">"c6470"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SSETS_FDIC" hidden="1">"c6339"</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"c1266"</definedName>
    <definedName name="IQ_TOTAL_CASH_FINAN" hidden="1">"c119"</definedName>
    <definedName name="IQ_TOTAL_CASH_INVEST" hidden="1">"c121"</definedName>
    <definedName name="IQ_TOTAL_CASH_OPER" hidden="1">"c122"</definedName>
    <definedName name="IQ_TOTAL_CHARGE_OFFS_FDIC" hidden="1">"c6603"</definedName>
    <definedName name="IQ_TOTAL_CL" hidden="1">"c1245"</definedName>
    <definedName name="IQ_TOTAL_COMMON" hidden="1">"c1022"</definedName>
    <definedName name="IQ_TOTAL_COMMON_EQUITY" hidden="1">"c1246"</definedName>
    <definedName name="IQ_TOTAL_CURRENT_ASSETS" hidden="1">"c1243"</definedName>
    <definedName name="IQ_TOTAL_CURRENT_LIAB" hidden="1">"c1245"</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"c1249"</definedName>
    <definedName name="IQ_TOTAL_DEBT_OVER_TOTAL_BV" hidden="1">"c1250"</definedName>
    <definedName name="IQ_TOTAL_DEBT_OVER_TOTAL_CAP" hidden="1">"c1248"</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BT_SECURITIES_FDIC" hidden="1">"c6410"</definedName>
    <definedName name="IQ_TOTAL_DEPOSITS" hidden="1">"c1265"</definedName>
    <definedName name="IQ_TOTAL_DEPOSITS_FDIC" hidden="1">"c6342"</definedName>
    <definedName name="IQ_TOTAL_DIV_PAID_CF" hidden="1">"c1266"</definedName>
    <definedName name="IQ_TOTAL_EMPLOYEE" hidden="1">"c1522"</definedName>
    <definedName name="IQ_TOTAL_EMPLOYEES_FDIC" hidden="1">"c6355"</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"c591"</definedName>
    <definedName name="IQ_TOTAL_INVENTORY" hidden="1">"c622"</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EQUITY_FDIC" hidden="1">"c6354"</definedName>
    <definedName name="IQ_TOTAL_LIAB_FIN" hidden="1">"c1280"</definedName>
    <definedName name="IQ_TOTAL_LIAB_INS" hidden="1">"c1281"</definedName>
    <definedName name="IQ_TOTAL_LIAB_REIT" hidden="1">"c1282"</definedName>
    <definedName name="IQ_TOTAL_LIAB_SHAREHOLD" hidden="1">"c1279"</definedName>
    <definedName name="IQ_TOTAL_LIAB_TOTAL_ASSETS" hidden="1">"c1283"</definedName>
    <definedName name="IQ_TOTAL_LIABILITIES_FDIC" hidden="1">"c6348"</definedName>
    <definedName name="IQ_TOTAL_LONG_DEBT" hidden="1">"c1617"</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PENSION_ASSETS" hidden="1">"c1290"</definedName>
    <definedName name="IQ_TOTAL_PENSION_EXP" hidden="1">"c1291"</definedName>
    <definedName name="IQ_TOTAL_PENSION_OBLIGATION" hidden="1">"c1292"</definedName>
    <definedName name="IQ_TOTAL_RECEIV" hidden="1">"c1293"</definedName>
    <definedName name="IQ_TOTAL_RECOVERIES_FDIC" hidden="1">"c6622"</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NK_FDIC" hidden="1">"c6786"</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UTI" hidden="1">"c1308"</definedName>
    <definedName name="IQ_TOTAL_REVENUE" hidden="1">"c1294"</definedName>
    <definedName name="IQ_TOTAL_RISK_BASED_CAPITAL_RATIO_FDIC" hidden="1">"c6747"</definedName>
    <definedName name="IQ_TOTAL_SECURITIES_FDIC" hidden="1">"c6306"</definedName>
    <definedName name="IQ_TOTAL_SPECIAL" hidden="1">"c1618"</definedName>
    <definedName name="IQ_TOTAL_ST_BORROW" hidden="1">"c1177"</definedName>
    <definedName name="IQ_TOTAL_TIME_DEPOSITS_FDIC" hidden="1">"c6497"</definedName>
    <definedName name="IQ_TOTAL_TIME_SAVINGS_DEPOSITS_FDIC" hidden="1">"c6498"</definedName>
    <definedName name="IQ_TOTAL_UNUSED_COMMITMENTS_FDIC" hidden="1">"c6536"</definedName>
    <definedName name="IQ_TOTAL_UNUSUAL" hidden="1">"c1508"</definedName>
    <definedName name="IQ_TOTAL_UNUSUAL_BR" hidden="1">"c5517"</definedName>
    <definedName name="IQ_TRADE_AR" hidden="1">"c40"</definedName>
    <definedName name="IQ_TRADE_PRINCIPAL" hidden="1">"c1309"</definedName>
    <definedName name="IQ_TRADING_ACCOUNT_GAINS_FEES_FDIC" hidden="1">"c6573"</definedName>
    <definedName name="IQ_TRADING_ASSETS" hidden="1">"c1310"</definedName>
    <definedName name="IQ_TRADING_ASSETS_FDIC" hidden="1">"c6328"</definedName>
    <definedName name="IQ_TRADING_LIABILITIES_FDIC" hidden="1">"c6344"</definedName>
    <definedName name="IQ_TRANSACTION_ACCOUNTS_FDIC" hidden="1">"c6544"</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"c1311"</definedName>
    <definedName name="IQ_TREASURY_STOCK_TRANSACTIONS_FDIC" hidden="1">"c6501"</definedName>
    <definedName name="IQ_TRUST_INC" hidden="1">"c1319"</definedName>
    <definedName name="IQ_TRUST_PREF" hidden="1">"c1320"</definedName>
    <definedName name="IQ_TWELVE_MONTHS_FIXED_AND_FLOATING_FDIC" hidden="1">"c6420"</definedName>
    <definedName name="IQ_TWELVE_MONTHS_MORTGAGE_PASS_THROUGHS_FDIC" hidden="1">"c6412"</definedName>
    <definedName name="IQ_UNDIVIDED_PROFITS_FDIC" hidden="1">"c6352"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EARNED_INCOME_FDIC" hidden="1">"c6324"</definedName>
    <definedName name="IQ_UNEARNED_INCOME_FOREIGN_FDIC" hidden="1">"c6385"</definedName>
    <definedName name="IQ_UNPAID_CLAIMS" hidden="1">"c1330"</definedName>
    <definedName name="IQ_UNPROFITABLE_INSTITUTIONS_FDIC" hidden="1">"c6722"</definedName>
    <definedName name="IQ_UNREALIZED_GAIN" hidden="1">"c1619"</definedName>
    <definedName name="IQ_UNUSED_LOAN_COMMITMENTS_FDIC" hidden="1">"c6368"</definedName>
    <definedName name="IQ_UNUSUAL_EXP" hidden="1">"c18"</definedName>
    <definedName name="IQ_US_BRANCHES_FOREIGN_BANK_LOANS_FDIC" hidden="1">"c6435"</definedName>
    <definedName name="IQ_US_BRANCHES_FOREIGN_BANKS_FDIC" hidden="1">"c6390"</definedName>
    <definedName name="IQ_US_GAAP" hidden="1">"c1331"</definedName>
    <definedName name="IQ_US_GOV_AGENCIES_FDIC" hidden="1">"c6395"</definedName>
    <definedName name="IQ_US_GOV_DEPOSITS_FDIC" hidden="1">"c6483"</definedName>
    <definedName name="IQ_US_GOV_ENTERPRISES_FDIC" hidden="1">"c6396"</definedName>
    <definedName name="IQ_US_GOV_NONCURRENT_LOANS_TOTAL_NONCURRENT_FDIC" hidden="1">"c6779"</definedName>
    <definedName name="IQ_US_GOV_NONTRANSACTION_ACCOUNTS_FDIC" hidden="1">"c6546"</definedName>
    <definedName name="IQ_US_GOV_OBLIGATIONS_FDIC" hidden="1">"c6299"</definedName>
    <definedName name="IQ_US_GOV_SECURITIES_FDIC" hidden="1">"c6297"</definedName>
    <definedName name="IQ_US_GOV_TOTAL_DEPOSITS_FDIC" hidden="1">"c6472"</definedName>
    <definedName name="IQ_US_GOV_TRANSACTION_ACCOUNTS_FDIC" hidden="1">"c6538"</definedName>
    <definedName name="IQ_US_TREASURY_SECURITIES_FDIC" hidden="1">"c6298"</definedName>
    <definedName name="IQ_UTIL_PPE_NET" hidden="1">"c1620"</definedName>
    <definedName name="IQ_UV_PENSION_LIAB" hidden="1">"c1332"</definedName>
    <definedName name="IQ_VALUATION_ALLOWANCES_FDIC" hidden="1">"c6400"</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C_REVENUE_FDIC" hidden="1">"c6667"</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ATILE_LIABILITIES_FDIC" hidden="1">"c6364"</definedName>
    <definedName name="IQ_VOLUME" hidden="1">"c1333"</definedName>
    <definedName name="IQ_WEEK" hidden="1">50000</definedName>
    <definedName name="IQ_WEIGHTED_AVG_PRICE" hidden="1">"c1334"</definedName>
    <definedName name="IQ_WIP_INV" hidden="1">"c1335"</definedName>
    <definedName name="IQ_WORKMEN_WRITTEN" hidden="1">"c1336"</definedName>
    <definedName name="IQ_WRITTEN_OPTION_CONTRACTS_FDIC" hidden="1">"c6509"</definedName>
    <definedName name="IQ_WRITTEN_OPTION_CONTRACTS_FX_RISK_FDIC" hidden="1">"c6514"</definedName>
    <definedName name="IQ_WRITTEN_OPTION_CONTRACTS_NON_FX_IR_FDIC" hidden="1">"c6519"</definedName>
    <definedName name="IQ_YEARHIGH" hidden="1">"c1337"</definedName>
    <definedName name="IQ_YEARLOW" hidden="1">"c1338"</definedName>
    <definedName name="IQ_YTD" hidden="1">3000</definedName>
    <definedName name="IQ_YTDMONTH" hidden="1">130000</definedName>
    <definedName name="IQ_Z_SCORE" hidden="1">"c1339"</definedName>
    <definedName name="j" localSheetId="7" hidden="1">{"EVA",#N/A,FALSE,"EVA";"WACC",#N/A,FALSE,"WACC"}</definedName>
    <definedName name="j" localSheetId="4" hidden="1">{"EVA",#N/A,FALSE,"EVA";"WACC",#N/A,FALSE,"WACC"}</definedName>
    <definedName name="j" localSheetId="5" hidden="1">{"EVA",#N/A,FALSE,"EVA";"WACC",#N/A,FALSE,"WACC"}</definedName>
    <definedName name="j" localSheetId="1" hidden="1">{"EVA",#N/A,FALSE,"EVA";"WACC",#N/A,FALSE,"WACC"}</definedName>
    <definedName name="j" localSheetId="6" hidden="1">{"EVA",#N/A,FALSE,"EVA";"WACC",#N/A,FALSE,"WACC"}</definedName>
    <definedName name="j" hidden="1">{"EVA",#N/A,FALSE,"EVA";"WACC",#N/A,FALSE,"WACC"}</definedName>
    <definedName name="Jour1" localSheetId="7">#REF!</definedName>
    <definedName name="Jour1" localSheetId="4">#REF!</definedName>
    <definedName name="Jour1" localSheetId="2">#REF!</definedName>
    <definedName name="Jour1" localSheetId="6">#REF!</definedName>
    <definedName name="Jour1">#REF!</definedName>
    <definedName name="Jour2" localSheetId="7">#REF!</definedName>
    <definedName name="Jour2" localSheetId="4">#REF!</definedName>
    <definedName name="Jour2" localSheetId="2">#REF!</definedName>
    <definedName name="Jour2" localSheetId="6">#REF!</definedName>
    <definedName name="Jour2">#REF!</definedName>
    <definedName name="k" localSheetId="7" hidden="1">{"DCF","UPSIDE CASE",FALSE,"Sheet1";"DCF","BASE CASE",FALSE,"Sheet1";"DCF","DOWNSIDE CASE",FALSE,"Sheet1"}</definedName>
    <definedName name="k" localSheetId="4" hidden="1">{"DCF","UPSIDE CASE",FALSE,"Sheet1";"DCF","BASE CASE",FALSE,"Sheet1";"DCF","DOWNSIDE CASE",FALSE,"Sheet1"}</definedName>
    <definedName name="k" localSheetId="5" hidden="1">{"DCF","UPSIDE CASE",FALSE,"Sheet1";"DCF","BASE CASE",FALSE,"Sheet1";"DCF","DOWNSIDE CASE",FALSE,"Sheet1"}</definedName>
    <definedName name="k" localSheetId="1" hidden="1">{"DCF","UPSIDE CASE",FALSE,"Sheet1";"DCF","BASE CASE",FALSE,"Sheet1";"DCF","DOWNSIDE CASE",FALSE,"Sheet1"}</definedName>
    <definedName name="k" localSheetId="6" hidden="1">{"DCF","UPSIDE CASE",FALSE,"Sheet1";"DCF","BASE CASE",FALSE,"Sheet1";"DCF","DOWNSIDE CASE",FALSE,"Sheet1"}</definedName>
    <definedName name="k" hidden="1">{"DCF","UPSIDE CASE",FALSE,"Sheet1";"DCF","BASE CASE",FALSE,"Sheet1";"DCF","DOWNSIDE CASE",FALSE,"Sheet1"}</definedName>
    <definedName name="KeyAssump" localSheetId="7" hidden="1">{#N/A,#N/A,FALSE,"Input";#N/A,#N/A,FALSE,"Assumptions";#N/A,#N/A,FALSE,"Valuation";#N/A,#N/A,FALSE,"Financial Alternatives";#N/A,#N/A,FALSE,"Cash Flow"}</definedName>
    <definedName name="KeyAssump" localSheetId="4" hidden="1">{#N/A,#N/A,FALSE,"Input";#N/A,#N/A,FALSE,"Assumptions";#N/A,#N/A,FALSE,"Valuation";#N/A,#N/A,FALSE,"Financial Alternatives";#N/A,#N/A,FALSE,"Cash Flow"}</definedName>
    <definedName name="KeyAssump" localSheetId="5" hidden="1">{#N/A,#N/A,FALSE,"Input";#N/A,#N/A,FALSE,"Assumptions";#N/A,#N/A,FALSE,"Valuation";#N/A,#N/A,FALSE,"Financial Alternatives";#N/A,#N/A,FALSE,"Cash Flow"}</definedName>
    <definedName name="KeyAssump" localSheetId="1" hidden="1">{#N/A,#N/A,FALSE,"Input";#N/A,#N/A,FALSE,"Assumptions";#N/A,#N/A,FALSE,"Valuation";#N/A,#N/A,FALSE,"Financial Alternatives";#N/A,#N/A,FALSE,"Cash Flow"}</definedName>
    <definedName name="KeyAssump" localSheetId="6" hidden="1">{#N/A,#N/A,FALSE,"Input";#N/A,#N/A,FALSE,"Assumptions";#N/A,#N/A,FALSE,"Valuation";#N/A,#N/A,FALSE,"Financial Alternatives";#N/A,#N/A,FALSE,"Cash Flow"}</definedName>
    <definedName name="KeyAssump" hidden="1">{#N/A,#N/A,FALSE,"Input";#N/A,#N/A,FALSE,"Assumptions";#N/A,#N/A,FALSE,"Valuation";#N/A,#N/A,FALSE,"Financial Alternatives";#N/A,#N/A,FALSE,"Cash Flow"}</definedName>
    <definedName name="ltc" localSheetId="7">#REF!</definedName>
    <definedName name="ltc">#REF!</definedName>
    <definedName name="M_PlaceofPath" hidden="1">"F:\MREGAN\win\EXL\CO\HVAC\WLV\WLV_vdf.xls"</definedName>
    <definedName name="me" localSheetId="7" hidden="1">{#N/A,#N/A,FALSE,"Input";#N/A,#N/A,FALSE,"Assumptions";#N/A,#N/A,FALSE,"Valuation";#N/A,#N/A,FALSE,"Financial Alternatives";#N/A,#N/A,FALSE,"Cash Flow"}</definedName>
    <definedName name="me" localSheetId="4" hidden="1">{#N/A,#N/A,FALSE,"Input";#N/A,#N/A,FALSE,"Assumptions";#N/A,#N/A,FALSE,"Valuation";#N/A,#N/A,FALSE,"Financial Alternatives";#N/A,#N/A,FALSE,"Cash Flow"}</definedName>
    <definedName name="me" localSheetId="5" hidden="1">{#N/A,#N/A,FALSE,"Input";#N/A,#N/A,FALSE,"Assumptions";#N/A,#N/A,FALSE,"Valuation";#N/A,#N/A,FALSE,"Financial Alternatives";#N/A,#N/A,FALSE,"Cash Flow"}</definedName>
    <definedName name="me" localSheetId="1" hidden="1">{#N/A,#N/A,FALSE,"Input";#N/A,#N/A,FALSE,"Assumptions";#N/A,#N/A,FALSE,"Valuation";#N/A,#N/A,FALSE,"Financial Alternatives";#N/A,#N/A,FALSE,"Cash Flow"}</definedName>
    <definedName name="me" localSheetId="6" hidden="1">{#N/A,#N/A,FALSE,"Input";#N/A,#N/A,FALSE,"Assumptions";#N/A,#N/A,FALSE,"Valuation";#N/A,#N/A,FALSE,"Financial Alternatives";#N/A,#N/A,FALSE,"Cash Flow"}</definedName>
    <definedName name="me" hidden="1">{#N/A,#N/A,FALSE,"Input";#N/A,#N/A,FALSE,"Assumptions";#N/A,#N/A,FALSE,"Valuation";#N/A,#N/A,FALSE,"Financial Alternatives";#N/A,#N/A,FALSE,"Cash Flow"}</definedName>
    <definedName name="MoisD" localSheetId="7">#REF!</definedName>
    <definedName name="MoisD" localSheetId="4">#REF!</definedName>
    <definedName name="MoisD" localSheetId="2">#REF!</definedName>
    <definedName name="MoisD" localSheetId="6">#REF!</definedName>
    <definedName name="MoisD">#REF!</definedName>
    <definedName name="MtEch" localSheetId="7">#REF!</definedName>
    <definedName name="MtEch" localSheetId="4">[2]TAM!$I$6</definedName>
    <definedName name="MtEch" localSheetId="2">#REF!</definedName>
    <definedName name="MtEch" localSheetId="6">[2]TAM!$I$6</definedName>
    <definedName name="MtEch">#REF!</definedName>
    <definedName name="MtEmprunt" localSheetId="7">#REF!</definedName>
    <definedName name="MtEmprunt" localSheetId="4">[2]TAM!$D$5</definedName>
    <definedName name="MtEmprunt" localSheetId="2">#REF!</definedName>
    <definedName name="MtEmprunt" localSheetId="6">[2]TAM!$D$5</definedName>
    <definedName name="MtEmprunt">#REF!</definedName>
    <definedName name="NbDeci" localSheetId="7">#REF!</definedName>
    <definedName name="NbDeci" localSheetId="4">2</definedName>
    <definedName name="NbDeci" localSheetId="2">#REF!</definedName>
    <definedName name="NbDeci" localSheetId="6">2</definedName>
    <definedName name="NbDeci">#REF!</definedName>
    <definedName name="NbEch" localSheetId="7">#REF!</definedName>
    <definedName name="NbEch" localSheetId="4">[2]TAM!$I$11</definedName>
    <definedName name="NbEch" localSheetId="2">#REF!</definedName>
    <definedName name="NbEch" localSheetId="6">[2]TAM!$I$11</definedName>
    <definedName name="NbEch">#REF!</definedName>
    <definedName name="NbEchAn" localSheetId="7">#REF!</definedName>
    <definedName name="NbEchAn" localSheetId="4">[2]TAM!$I$10</definedName>
    <definedName name="NbEchAn" localSheetId="2">#REF!</definedName>
    <definedName name="NbEchAn" localSheetId="6">[2]TAM!$I$10</definedName>
    <definedName name="NbEchAn">#REF!</definedName>
    <definedName name="nhjythh" localSheetId="7" hidden="1">{"DCF","UPSIDE CASE",FALSE,"Sheet1";"DCF","BASE CASE",FALSE,"Sheet1";"DCF","DOWNSIDE CASE",FALSE,"Sheet1"}</definedName>
    <definedName name="nhjythh" localSheetId="4" hidden="1">{"DCF","UPSIDE CASE",FALSE,"Sheet1";"DCF","BASE CASE",FALSE,"Sheet1";"DCF","DOWNSIDE CASE",FALSE,"Sheet1"}</definedName>
    <definedName name="nhjythh" localSheetId="5" hidden="1">{"DCF","UPSIDE CASE",FALSE,"Sheet1";"DCF","BASE CASE",FALSE,"Sheet1";"DCF","DOWNSIDE CASE",FALSE,"Sheet1"}</definedName>
    <definedName name="nhjythh" localSheetId="1" hidden="1">{"DCF","UPSIDE CASE",FALSE,"Sheet1";"DCF","BASE CASE",FALSE,"Sheet1";"DCF","DOWNSIDE CASE",FALSE,"Sheet1"}</definedName>
    <definedName name="nhjythh" localSheetId="6" hidden="1">{"DCF","UPSIDE CASE",FALSE,"Sheet1";"DCF","BASE CASE",FALSE,"Sheet1";"DCF","DOWNSIDE CASE",FALSE,"Sheet1"}</definedName>
    <definedName name="nhjythh" hidden="1">{"DCF","UPSIDE CASE",FALSE,"Sheet1";"DCF","BASE CASE",FALSE,"Sheet1";"DCF","DOWNSIDE CASE",FALSE,"Sheet1"}</definedName>
    <definedName name="NoEchMaxi" localSheetId="7">#REF!</definedName>
    <definedName name="NoEchMaxi" localSheetId="4">#REF!</definedName>
    <definedName name="NoEchMaxi" localSheetId="2">#REF!</definedName>
    <definedName name="NoEchMaxi" localSheetId="6">#REF!</definedName>
    <definedName name="NoEchMaxi">#REF!</definedName>
    <definedName name="NoEchRemb" localSheetId="7">#REF!</definedName>
    <definedName name="NoEchRemb" localSheetId="4">#REF!</definedName>
    <definedName name="NoEchRemb" localSheetId="2">#REF!</definedName>
    <definedName name="NoEchRemb" localSheetId="6">#REF!</definedName>
    <definedName name="NoEchRemb">#REF!</definedName>
    <definedName name="noi" localSheetId="7">#REF!</definedName>
    <definedName name="noi">#REF!</definedName>
    <definedName name="Nombre_échéances" localSheetId="7">#REF!</definedName>
    <definedName name="Nombre_échéances" localSheetId="4">#REF!</definedName>
    <definedName name="Nombre_échéances" localSheetId="2">#REF!</definedName>
    <definedName name="Nombre_échéances" localSheetId="6">#REF!</definedName>
    <definedName name="Nombre_échéances">#REF!</definedName>
    <definedName name="nounours" localSheetId="7">#REF!</definedName>
    <definedName name="nounours">#REF!</definedName>
    <definedName name="nSkip">15</definedName>
    <definedName name="per" localSheetId="7">#REF!</definedName>
    <definedName name="per">#REF!</definedName>
    <definedName name="periode" localSheetId="7">#REF!</definedName>
    <definedName name="periode">#REF!</definedName>
    <definedName name="Periodicite" localSheetId="7">#REF!</definedName>
    <definedName name="Periodicite" localSheetId="4">#REF!</definedName>
    <definedName name="Periodicite" localSheetId="2">#REF!</definedName>
    <definedName name="Periodicite" localSheetId="6">#REF!</definedName>
    <definedName name="Periodicite">#REF!</definedName>
    <definedName name="ratio" localSheetId="7">#REF!</definedName>
    <definedName name="ratio">#REF!</definedName>
    <definedName name="ratio1" localSheetId="7">#REF!</definedName>
    <definedName name="ratio1">#REF!</definedName>
    <definedName name="ratio2" localSheetId="7">#REF!</definedName>
    <definedName name="ratio2">#REF!</definedName>
    <definedName name="RVDebit" localSheetId="7">#REF!</definedName>
    <definedName name="RVDebit" localSheetId="4">#REF!</definedName>
    <definedName name="RVDebit" localSheetId="2">#REF!</definedName>
    <definedName name="RVDebit" localSheetId="6">#REF!</definedName>
    <definedName name="RVDebit">#REF!</definedName>
    <definedName name="sadd" localSheetId="7" hidden="1">{"DCF","UPSIDE CASE",FALSE,"Sheet1";"DCF","BASE CASE",FALSE,"Sheet1";"DCF","DOWNSIDE CASE",FALSE,"Sheet1"}</definedName>
    <definedName name="sadd" localSheetId="4" hidden="1">{"DCF","UPSIDE CASE",FALSE,"Sheet1";"DCF","BASE CASE",FALSE,"Sheet1";"DCF","DOWNSIDE CASE",FALSE,"Sheet1"}</definedName>
    <definedName name="sadd" localSheetId="5" hidden="1">{"DCF","UPSIDE CASE",FALSE,"Sheet1";"DCF","BASE CASE",FALSE,"Sheet1";"DCF","DOWNSIDE CASE",FALSE,"Sheet1"}</definedName>
    <definedName name="sadd" localSheetId="1" hidden="1">{"DCF","UPSIDE CASE",FALSE,"Sheet1";"DCF","BASE CASE",FALSE,"Sheet1";"DCF","DOWNSIDE CASE",FALSE,"Sheet1"}</definedName>
    <definedName name="sadd" localSheetId="6" hidden="1">{"DCF","UPSIDE CASE",FALSE,"Sheet1";"DCF","BASE CASE",FALSE,"Sheet1";"DCF","DOWNSIDE CASE",FALSE,"Sheet1"}</definedName>
    <definedName name="sadd" hidden="1">{"DCF","UPSIDE CASE",FALSE,"Sheet1";"DCF","BASE CASE",FALSE,"Sheet1";"DCF","DOWNSIDE CASE",FALSE,"Sheet1"}</definedName>
    <definedName name="SAPBEXrevision" hidden="1">2</definedName>
    <definedName name="SAPBEXsysID" hidden="1">"EFW"</definedName>
    <definedName name="SAPBEXwbID" hidden="1">"3RR8IAJVHLH9NP8M0N2ZFKJDS"</definedName>
    <definedName name="sdasd" localSheetId="7" hidden="1">{"EVA",#N/A,FALSE,"EVA";"WACC",#N/A,FALSE,"WACC"}</definedName>
    <definedName name="sdasd" localSheetId="4" hidden="1">{"EVA",#N/A,FALSE,"EVA";"WACC",#N/A,FALSE,"WACC"}</definedName>
    <definedName name="sdasd" localSheetId="5" hidden="1">{"EVA",#N/A,FALSE,"EVA";"WACC",#N/A,FALSE,"WACC"}</definedName>
    <definedName name="sdasd" localSheetId="1" hidden="1">{"EVA",#N/A,FALSE,"EVA";"WACC",#N/A,FALSE,"WACC"}</definedName>
    <definedName name="sdasd" localSheetId="6" hidden="1">{"EVA",#N/A,FALSE,"EVA";"WACC",#N/A,FALSE,"WACC"}</definedName>
    <definedName name="sdasd" hidden="1">{"EVA",#N/A,FALSE,"EVA";"WACC",#N/A,FALSE,"WACC"}</definedName>
    <definedName name="segfsdvgfsd" localSheetId="7" hidden="1">{"page1",#N/A,FALSE,"BHCOMPC5";"page2",#N/A,FALSE,"BHCOMPC5";"page3",#N/A,FALSE,"BHCOMPC5";"page4",#N/A,FALSE,"BHCOMPC5"}</definedName>
    <definedName name="segfsdvgfsd" localSheetId="4" hidden="1">{"page1",#N/A,FALSE,"BHCOMPC5";"page2",#N/A,FALSE,"BHCOMPC5";"page3",#N/A,FALSE,"BHCOMPC5";"page4",#N/A,FALSE,"BHCOMPC5"}</definedName>
    <definedName name="segfsdvgfsd" localSheetId="5" hidden="1">{"page1",#N/A,FALSE,"BHCOMPC5";"page2",#N/A,FALSE,"BHCOMPC5";"page3",#N/A,FALSE,"BHCOMPC5";"page4",#N/A,FALSE,"BHCOMPC5"}</definedName>
    <definedName name="segfsdvgfsd" localSheetId="1" hidden="1">{"page1",#N/A,FALSE,"BHCOMPC5";"page2",#N/A,FALSE,"BHCOMPC5";"page3",#N/A,FALSE,"BHCOMPC5";"page4",#N/A,FALSE,"BHCOMPC5"}</definedName>
    <definedName name="segfsdvgfsd" localSheetId="6" hidden="1">{"page1",#N/A,FALSE,"BHCOMPC5";"page2",#N/A,FALSE,"BHCOMPC5";"page3",#N/A,FALSE,"BHCOMPC5";"page4",#N/A,FALSE,"BHCOMPC5"}</definedName>
    <definedName name="segfsdvgfsd" hidden="1">{"page1",#N/A,FALSE,"BHCOMPC5";"page2",#N/A,FALSE,"BHCOMPC5";"page3",#N/A,FALSE,"BHCOMPC5";"page4",#N/A,FALSE,"BHCOMPC5"}</definedName>
    <definedName name="sfads" localSheetId="7" hidden="1">{"EVA",#N/A,FALSE,"EVA";"WACC",#N/A,FALSE,"WACC"}</definedName>
    <definedName name="sfads" localSheetId="4" hidden="1">{"EVA",#N/A,FALSE,"EVA";"WACC",#N/A,FALSE,"WACC"}</definedName>
    <definedName name="sfads" localSheetId="5" hidden="1">{"EVA",#N/A,FALSE,"EVA";"WACC",#N/A,FALSE,"WACC"}</definedName>
    <definedName name="sfads" localSheetId="1" hidden="1">{"EVA",#N/A,FALSE,"EVA";"WACC",#N/A,FALSE,"WACC"}</definedName>
    <definedName name="sfads" localSheetId="6" hidden="1">{"EVA",#N/A,FALSE,"EVA";"WACC",#N/A,FALSE,"WACC"}</definedName>
    <definedName name="sfads" hidden="1">{"EVA",#N/A,FALSE,"EVA";"WACC",#N/A,FALSE,"WACC"}</definedName>
    <definedName name="sgag" localSheetId="7" hidden="1">{"page1",#N/A,FALSE,"BHCOMPC5";"page2",#N/A,FALSE,"BHCOMPC5";"page3",#N/A,FALSE,"BHCOMPC5";"page4",#N/A,FALSE,"BHCOMPC5"}</definedName>
    <definedName name="sgag" localSheetId="4" hidden="1">{"page1",#N/A,FALSE,"BHCOMPC5";"page2",#N/A,FALSE,"BHCOMPC5";"page3",#N/A,FALSE,"BHCOMPC5";"page4",#N/A,FALSE,"BHCOMPC5"}</definedName>
    <definedName name="sgag" localSheetId="5" hidden="1">{"page1",#N/A,FALSE,"BHCOMPC5";"page2",#N/A,FALSE,"BHCOMPC5";"page3",#N/A,FALSE,"BHCOMPC5";"page4",#N/A,FALSE,"BHCOMPC5"}</definedName>
    <definedName name="sgag" localSheetId="1" hidden="1">{"page1",#N/A,FALSE,"BHCOMPC5";"page2",#N/A,FALSE,"BHCOMPC5";"page3",#N/A,FALSE,"BHCOMPC5";"page4",#N/A,FALSE,"BHCOMPC5"}</definedName>
    <definedName name="sgag" localSheetId="6" hidden="1">{"page1",#N/A,FALSE,"BHCOMPC5";"page2",#N/A,FALSE,"BHCOMPC5";"page3",#N/A,FALSE,"BHCOMPC5";"page4",#N/A,FALSE,"BHCOMPC5"}</definedName>
    <definedName name="sgag" hidden="1">{"page1",#N/A,FALSE,"BHCOMPC5";"page2",#N/A,FALSE,"BHCOMPC5";"page3",#N/A,FALSE,"BHCOMPC5";"page4",#N/A,FALSE,"BHCOMPC5"}</definedName>
    <definedName name="ss" localSheetId="7" hidden="1">{"DCF1",#N/A,FALSE,"SIERRA DCF";"MATRIX1",#N/A,FALSE,"SIERRA DCF"}</definedName>
    <definedName name="ss" localSheetId="4" hidden="1">{"DCF1",#N/A,FALSE,"SIERRA DCF";"MATRIX1",#N/A,FALSE,"SIERRA DCF"}</definedName>
    <definedName name="ss" localSheetId="5" hidden="1">{"DCF1",#N/A,FALSE,"SIERRA DCF";"MATRIX1",#N/A,FALSE,"SIERRA DCF"}</definedName>
    <definedName name="ss" localSheetId="1" hidden="1">{"DCF1",#N/A,FALSE,"SIERRA DCF";"MATRIX1",#N/A,FALSE,"SIERRA DCF"}</definedName>
    <definedName name="ss" localSheetId="6" hidden="1">{"DCF1",#N/A,FALSE,"SIERRA DCF";"MATRIX1",#N/A,FALSE,"SIERRA DCF"}</definedName>
    <definedName name="ss" hidden="1">{"DCF1",#N/A,FALSE,"SIERRA DCF";"MATRIX1",#N/A,FALSE,"SIERRA DCF"}</definedName>
    <definedName name="start" localSheetId="7">#REF!</definedName>
    <definedName name="start">#REF!</definedName>
    <definedName name="surface" localSheetId="7">#REF!</definedName>
    <definedName name="surface">#REF!</definedName>
    <definedName name="TauxActuariel" localSheetId="7">#REF!</definedName>
    <definedName name="TauxActuariel" localSheetId="4">#REF!</definedName>
    <definedName name="TauxActuariel" localSheetId="2">#REF!</definedName>
    <definedName name="TauxActuariel" localSheetId="6">#REF!</definedName>
    <definedName name="TauxActuariel">#REF!</definedName>
    <definedName name="terrain" localSheetId="7">#REF!</definedName>
    <definedName name="terrain">#REF!</definedName>
    <definedName name="Total_Capital" localSheetId="7">#REF!</definedName>
    <definedName name="Total_Capital" localSheetId="4">#REF!</definedName>
    <definedName name="Total_Capital" localSheetId="2">#REF!</definedName>
    <definedName name="Total_Capital" localSheetId="6">#REF!</definedName>
    <definedName name="Total_Capital">#REF!</definedName>
    <definedName name="Total_Frais" localSheetId="7">#REF!</definedName>
    <definedName name="Total_Frais" localSheetId="4">#REF!</definedName>
    <definedName name="Total_Frais" localSheetId="2">#REF!</definedName>
    <definedName name="Total_Frais" localSheetId="6">#REF!</definedName>
    <definedName name="Total_Frais">#REF!</definedName>
    <definedName name="Total_Intérêts" localSheetId="7">#REF!</definedName>
    <definedName name="Total_Intérêts" localSheetId="4">#REF!</definedName>
    <definedName name="Total_Intérêts" localSheetId="2">#REF!</definedName>
    <definedName name="Total_Intérêts" localSheetId="6">#REF!</definedName>
    <definedName name="Total_Intérêts">#REF!</definedName>
    <definedName name="travaux" localSheetId="7">#REF!</definedName>
    <definedName name="travaux">#REF!</definedName>
    <definedName name="tri" localSheetId="7">#REF!</definedName>
    <definedName name="tri">#REF!</definedName>
    <definedName name="TRI_trim" localSheetId="7">#REF!</definedName>
    <definedName name="TRI_trim">#REF!</definedName>
    <definedName name="TVDebit" localSheetId="7">#REF!</definedName>
    <definedName name="TVDebit" localSheetId="4">#REF!</definedName>
    <definedName name="TVDebit" localSheetId="2">#REF!</definedName>
    <definedName name="TVDebit" localSheetId="6">#REF!</definedName>
    <definedName name="TVDebit">#REF!</definedName>
    <definedName name="tx" localSheetId="7">#REF!</definedName>
    <definedName name="tx">#REF!</definedName>
    <definedName name="tx_cap" localSheetId="7">#REF!</definedName>
    <definedName name="tx_cap">#REF!</definedName>
    <definedName name="tx_int" localSheetId="7">#REF!</definedName>
    <definedName name="tx_int">#REF!</definedName>
    <definedName name="TxPer" localSheetId="7">#REF!</definedName>
    <definedName name="TxPer" localSheetId="4">[2]TAM!$I$8</definedName>
    <definedName name="TxPer" localSheetId="2">#REF!</definedName>
    <definedName name="TxPer" localSheetId="6">[2]TAM!$I$8</definedName>
    <definedName name="TxPer">#REF!</definedName>
    <definedName name="type_int" localSheetId="7">#REF!</definedName>
    <definedName name="type_int">#REF!</definedName>
    <definedName name="vacant" localSheetId="7">#REF!</definedName>
    <definedName name="vacant">#REF!</definedName>
    <definedName name="valeur" localSheetId="7">#REF!</definedName>
    <definedName name="valeur">#REF!</definedName>
    <definedName name="value1" localSheetId="7" hidden="1">{#N/A,#N/A,FALSE,"Cashflow Analysis";#N/A,#N/A,FALSE,"Sensitivity Analysis";#N/A,#N/A,FALSE,"PV";#N/A,#N/A,FALSE,"Pro Forma"}</definedName>
    <definedName name="value1" localSheetId="4" hidden="1">{#N/A,#N/A,FALSE,"Cashflow Analysis";#N/A,#N/A,FALSE,"Sensitivity Analysis";#N/A,#N/A,FALSE,"PV";#N/A,#N/A,FALSE,"Pro Forma"}</definedName>
    <definedName name="value1" localSheetId="5" hidden="1">{#N/A,#N/A,FALSE,"Cashflow Analysis";#N/A,#N/A,FALSE,"Sensitivity Analysis";#N/A,#N/A,FALSE,"PV";#N/A,#N/A,FALSE,"Pro Forma"}</definedName>
    <definedName name="value1" localSheetId="1" hidden="1">{#N/A,#N/A,FALSE,"Cashflow Analysis";#N/A,#N/A,FALSE,"Sensitivity Analysis";#N/A,#N/A,FALSE,"PV";#N/A,#N/A,FALSE,"Pro Forma"}</definedName>
    <definedName name="value1" localSheetId="6" hidden="1">{#N/A,#N/A,FALSE,"Cashflow Analysis";#N/A,#N/A,FALSE,"Sensitivity Analysis";#N/A,#N/A,FALSE,"PV";#N/A,#N/A,FALSE,"Pro Forma"}</definedName>
    <definedName name="value1" hidden="1">{#N/A,#N/A,FALSE,"Cashflow Analysis";#N/A,#N/A,FALSE,"Sensitivity Analysis";#N/A,#N/A,FALSE,"PV";#N/A,#N/A,FALSE,"Pro Forma"}</definedName>
    <definedName name="vente" localSheetId="7">#REF!</definedName>
    <definedName name="vente">#REF!</definedName>
    <definedName name="w" localSheetId="7" hidden="1">{"DCF1",#N/A,FALSE,"SIERRA DCF";"MATRIX1",#N/A,FALSE,"SIERRA DCF"}</definedName>
    <definedName name="w" localSheetId="4" hidden="1">{"DCF1",#N/A,FALSE,"SIERRA DCF";"MATRIX1",#N/A,FALSE,"SIERRA DCF"}</definedName>
    <definedName name="w" localSheetId="5" hidden="1">{"DCF1",#N/A,FALSE,"SIERRA DCF";"MATRIX1",#N/A,FALSE,"SIERRA DCF"}</definedName>
    <definedName name="w" localSheetId="1" hidden="1">{"DCF1",#N/A,FALSE,"SIERRA DCF";"MATRIX1",#N/A,FALSE,"SIERRA DCF"}</definedName>
    <definedName name="w" localSheetId="6" hidden="1">{"DCF1",#N/A,FALSE,"SIERRA DCF";"MATRIX1",#N/A,FALSE,"SIERRA DCF"}</definedName>
    <definedName name="w" hidden="1">{"DCF1",#N/A,FALSE,"SIERRA DCF";"MATRIX1",#N/A,FALSE,"SIERRA DCF"}</definedName>
    <definedName name="WACC3" localSheetId="7" hidden="1">{"adj95mult",#N/A,FALSE,"COMPCO";"adj95est",#N/A,FALSE,"COMPCO"}</definedName>
    <definedName name="WACC3" localSheetId="4" hidden="1">{"adj95mult",#N/A,FALSE,"COMPCO";"adj95est",#N/A,FALSE,"COMPCO"}</definedName>
    <definedName name="WACC3" localSheetId="5" hidden="1">{"adj95mult",#N/A,FALSE,"COMPCO";"adj95est",#N/A,FALSE,"COMPCO"}</definedName>
    <definedName name="WACC3" localSheetId="1" hidden="1">{"adj95mult",#N/A,FALSE,"COMPCO";"adj95est",#N/A,FALSE,"COMPCO"}</definedName>
    <definedName name="WACC3" localSheetId="6" hidden="1">{"adj95mult",#N/A,FALSE,"COMPCO";"adj95est",#N/A,FALSE,"COMPCO"}</definedName>
    <definedName name="WACC3" hidden="1">{"adj95mult",#N/A,FALSE,"COMPCO";"adj95est",#N/A,FALSE,"COMPCO"}</definedName>
    <definedName name="wrn.Acquisition_matrix." localSheetId="7" hidden="1">{"Acq_matrix",#N/A,FALSE,"Acquisition Matrix"}</definedName>
    <definedName name="wrn.Acquisition_matrix." localSheetId="4" hidden="1">{"Acq_matrix",#N/A,FALSE,"Acquisition Matrix"}</definedName>
    <definedName name="wrn.Acquisition_matrix." localSheetId="5" hidden="1">{"Acq_matrix",#N/A,FALSE,"Acquisition Matrix"}</definedName>
    <definedName name="wrn.Acquisition_matrix." localSheetId="1" hidden="1">{"Acq_matrix",#N/A,FALSE,"Acquisition Matrix"}</definedName>
    <definedName name="wrn.Acquisition_matrix." localSheetId="6" hidden="1">{"Acq_matrix",#N/A,FALSE,"Acquisition Matrix"}</definedName>
    <definedName name="wrn.Acquisition_matrix." hidden="1">{"Acq_matrix",#N/A,FALSE,"Acquisition Matrix"}</definedName>
    <definedName name="wrn.adj95." localSheetId="7" hidden="1">{"adj95mult",#N/A,FALSE,"COMPCO";"adj95est",#N/A,FALSE,"COMPCO"}</definedName>
    <definedName name="wrn.adj95." localSheetId="4" hidden="1">{"adj95mult",#N/A,FALSE,"COMPCO";"adj95est",#N/A,FALSE,"COMPCO"}</definedName>
    <definedName name="wrn.adj95." localSheetId="5" hidden="1">{"adj95mult",#N/A,FALSE,"COMPCO";"adj95est",#N/A,FALSE,"COMPCO"}</definedName>
    <definedName name="wrn.adj95." localSheetId="1" hidden="1">{"adj95mult",#N/A,FALSE,"COMPCO";"adj95est",#N/A,FALSE,"COMPCO"}</definedName>
    <definedName name="wrn.adj95." localSheetId="6" hidden="1">{"adj95mult",#N/A,FALSE,"COMPCO";"adj95est",#N/A,FALSE,"COMPCO"}</definedName>
    <definedName name="wrn.adj95." hidden="1">{"adj95mult",#N/A,FALSE,"COMPCO";"adj95est",#N/A,FALSE,"COMPCO"}</definedName>
    <definedName name="wrn.All." localSheetId="7" hidden="1">{"Matrix",#N/A,FALSE,"ACQMTRX";"Fees",#N/A,FALSE,"ACQMTRX"}</definedName>
    <definedName name="wrn.All." localSheetId="4" hidden="1">{"Matrix",#N/A,FALSE,"ACQMTRX";"Fees",#N/A,FALSE,"ACQMTRX"}</definedName>
    <definedName name="wrn.All." localSheetId="5" hidden="1">{"Matrix",#N/A,FALSE,"ACQMTRX";"Fees",#N/A,FALSE,"ACQMTRX"}</definedName>
    <definedName name="wrn.All." localSheetId="1" hidden="1">{"Matrix",#N/A,FALSE,"ACQMTRX";"Fees",#N/A,FALSE,"ACQMTRX"}</definedName>
    <definedName name="wrn.All." localSheetId="6" hidden="1">{"Matrix",#N/A,FALSE,"ACQMTRX";"Fees",#N/A,FALSE,"ACQMTRX"}</definedName>
    <definedName name="wrn.All." hidden="1">{"Matrix",#N/A,FALSE,"ACQMTRX";"Fees",#N/A,FALSE,"ACQMTRX"}</definedName>
    <definedName name="wrn.AQUIROR._.DCF." localSheetId="7" hidden="1">{"AQUIRORDCF",#N/A,FALSE,"Merger consequences";"Acquirorassns",#N/A,FALSE,"Merger consequences"}</definedName>
    <definedName name="wrn.AQUIROR._.DCF." localSheetId="4" hidden="1">{"AQUIRORDCF",#N/A,FALSE,"Merger consequences";"Acquirorassns",#N/A,FALSE,"Merger consequences"}</definedName>
    <definedName name="wrn.AQUIROR._.DCF." localSheetId="5" hidden="1">{"AQUIRORDCF",#N/A,FALSE,"Merger consequences";"Acquirorassns",#N/A,FALSE,"Merger consequences"}</definedName>
    <definedName name="wrn.AQUIROR._.DCF." localSheetId="1" hidden="1">{"AQUIRORDCF",#N/A,FALSE,"Merger consequences";"Acquirorassns",#N/A,FALSE,"Merger consequences"}</definedName>
    <definedName name="wrn.AQUIROR._.DCF." localSheetId="6" hidden="1">{"AQUIRORDCF",#N/A,FALSE,"Merger consequences";"Acquirorassns",#N/A,FALSE,"Merger consequences"}</definedName>
    <definedName name="wrn.AQUIROR._.DCF." hidden="1">{"AQUIRORDCF",#N/A,FALSE,"Merger consequences";"Acquirorassns",#N/A,FALSE,"Merger consequences"}</definedName>
    <definedName name="wrn.backup." localSheetId="7" hidden="1">{"background",#N/A,FALSE,"CS First Boston Merger Model";"inputs",#N/A,FALSE,"CS First Boston Merger Model"}</definedName>
    <definedName name="wrn.backup." localSheetId="4" hidden="1">{"background",#N/A,FALSE,"CS First Boston Merger Model";"inputs",#N/A,FALSE,"CS First Boston Merger Model"}</definedName>
    <definedName name="wrn.backup." localSheetId="5" hidden="1">{"background",#N/A,FALSE,"CS First Boston Merger Model";"inputs",#N/A,FALSE,"CS First Boston Merger Model"}</definedName>
    <definedName name="wrn.backup." localSheetId="1" hidden="1">{"background",#N/A,FALSE,"CS First Boston Merger Model";"inputs",#N/A,FALSE,"CS First Boston Merger Model"}</definedName>
    <definedName name="wrn.backup." localSheetId="6" hidden="1">{"background",#N/A,FALSE,"CS First Boston Merger Model";"inputs",#N/A,FALSE,"CS First Boston Merger Model"}</definedName>
    <definedName name="wrn.backup." hidden="1">{"background",#N/A,FALSE,"CS First Boston Merger Model";"inputs",#N/A,FALSE,"CS First Boston Merger Model"}</definedName>
    <definedName name="wrn.compco." localSheetId="7" hidden="1">{"mult96",#N/A,FALSE,"PETCOMP";"est96",#N/A,FALSE,"PETCOMP";"mult95",#N/A,FALSE,"PETCOMP";"est95",#N/A,FALSE,"PETCOMP";"multltm",#N/A,FALSE,"PETCOMP";"resultltm",#N/A,FALSE,"PETCOMP"}</definedName>
    <definedName name="wrn.compco." localSheetId="4" hidden="1">{"mult96",#N/A,FALSE,"PETCOMP";"est96",#N/A,FALSE,"PETCOMP";"mult95",#N/A,FALSE,"PETCOMP";"est95",#N/A,FALSE,"PETCOMP";"multltm",#N/A,FALSE,"PETCOMP";"resultltm",#N/A,FALSE,"PETCOMP"}</definedName>
    <definedName name="wrn.compco." localSheetId="5" hidden="1">{"mult96",#N/A,FALSE,"PETCOMP";"est96",#N/A,FALSE,"PETCOMP";"mult95",#N/A,FALSE,"PETCOMP";"est95",#N/A,FALSE,"PETCOMP";"multltm",#N/A,FALSE,"PETCOMP";"resultltm",#N/A,FALSE,"PETCOMP"}</definedName>
    <definedName name="wrn.compco." localSheetId="1" hidden="1">{"mult96",#N/A,FALSE,"PETCOMP";"est96",#N/A,FALSE,"PETCOMP";"mult95",#N/A,FALSE,"PETCOMP";"est95",#N/A,FALSE,"PETCOMP";"multltm",#N/A,FALSE,"PETCOMP";"resultltm",#N/A,FALSE,"PETCOMP"}</definedName>
    <definedName name="wrn.compco." localSheetId="6" hidden="1">{"mult96",#N/A,FALSE,"PETCOMP";"est96",#N/A,FALSE,"PETCOMP";"mult95",#N/A,FALSE,"PETCOMP";"est95",#N/A,FALSE,"PETCOMP";"multltm",#N/A,FALSE,"PETCOMP";"resultltm",#N/A,FALSE,"PETCOMP"}</definedName>
    <definedName name="wrn.compco." hidden="1">{"mult96",#N/A,FALSE,"PETCOMP";"est96",#N/A,FALSE,"PETCOMP";"mult95",#N/A,FALSE,"PETCOMP";"est95",#N/A,FALSE,"PETCOMP";"multltm",#N/A,FALSE,"PETCOMP";"resultltm",#N/A,FALSE,"PETCOMP"}</definedName>
    <definedName name="wrn.compco2" localSheetId="7" hidden="1">{"page1",#N/A,FALSE,"BHCOMPC5";"page2",#N/A,FALSE,"BHCOMPC5";"page3",#N/A,FALSE,"BHCOMPC5";"page4",#N/A,FALSE,"BHCOMPC5"}</definedName>
    <definedName name="wrn.compco2" localSheetId="4" hidden="1">{"page1",#N/A,FALSE,"BHCOMPC5";"page2",#N/A,FALSE,"BHCOMPC5";"page3",#N/A,FALSE,"BHCOMPC5";"page4",#N/A,FALSE,"BHCOMPC5"}</definedName>
    <definedName name="wrn.compco2" localSheetId="5" hidden="1">{"page1",#N/A,FALSE,"BHCOMPC5";"page2",#N/A,FALSE,"BHCOMPC5";"page3",#N/A,FALSE,"BHCOMPC5";"page4",#N/A,FALSE,"BHCOMPC5"}</definedName>
    <definedName name="wrn.compco2" localSheetId="1" hidden="1">{"page1",#N/A,FALSE,"BHCOMPC5";"page2",#N/A,FALSE,"BHCOMPC5";"page3",#N/A,FALSE,"BHCOMPC5";"page4",#N/A,FALSE,"BHCOMPC5"}</definedName>
    <definedName name="wrn.compco2" localSheetId="6" hidden="1">{"page1",#N/A,FALSE,"BHCOMPC5";"page2",#N/A,FALSE,"BHCOMPC5";"page3",#N/A,FALSE,"BHCOMPC5";"page4",#N/A,FALSE,"BHCOMPC5"}</definedName>
    <definedName name="wrn.compco2" hidden="1">{"page1",#N/A,FALSE,"BHCOMPC5";"page2",#N/A,FALSE,"BHCOMPC5";"page3",#N/A,FALSE,"BHCOMPC5";"page4",#N/A,FALSE,"BHCOMPC5"}</definedName>
    <definedName name="wrn.DCF." localSheetId="7" hidden="1">{"DCF1",#N/A,FALSE,"SIERRA DCF";"MATRIX1",#N/A,FALSE,"SIERRA DCF"}</definedName>
    <definedName name="wrn.DCF." localSheetId="4" hidden="1">{"DCF1",#N/A,FALSE,"SIERRA DCF";"MATRIX1",#N/A,FALSE,"SIERRA DCF"}</definedName>
    <definedName name="wrn.DCF." localSheetId="5" hidden="1">{"DCF1",#N/A,FALSE,"SIERRA DCF";"MATRIX1",#N/A,FALSE,"SIERRA DCF"}</definedName>
    <definedName name="wrn.DCF." localSheetId="1" hidden="1">{"DCF1",#N/A,FALSE,"SIERRA DCF";"MATRIX1",#N/A,FALSE,"SIERRA DCF"}</definedName>
    <definedName name="wrn.DCF." localSheetId="6" hidden="1">{"DCF1",#N/A,FALSE,"SIERRA DCF";"MATRIX1",#N/A,FALSE,"SIERRA DCF"}</definedName>
    <definedName name="wrn.DCF." hidden="1">{"DCF1",#N/A,FALSE,"SIERRA DCF";"MATRIX1",#N/A,FALSE,"SIERRA DCF"}</definedName>
    <definedName name="wrn.DCF_Terminal_Value_qchm." localSheetId="7" hidden="1">{"qchm_dcf",#N/A,FALSE,"QCHMDCF2";"qchm_terminal",#N/A,FALSE,"QCHMDCF2"}</definedName>
    <definedName name="wrn.DCF_Terminal_Value_qchm." localSheetId="4" hidden="1">{"qchm_dcf",#N/A,FALSE,"QCHMDCF2";"qchm_terminal",#N/A,FALSE,"QCHMDCF2"}</definedName>
    <definedName name="wrn.DCF_Terminal_Value_qchm." localSheetId="5" hidden="1">{"qchm_dcf",#N/A,FALSE,"QCHMDCF2";"qchm_terminal",#N/A,FALSE,"QCHMDCF2"}</definedName>
    <definedName name="wrn.DCF_Terminal_Value_qchm." localSheetId="1" hidden="1">{"qchm_dcf",#N/A,FALSE,"QCHMDCF2";"qchm_terminal",#N/A,FALSE,"QCHMDCF2"}</definedName>
    <definedName name="wrn.DCF_Terminal_Value_qchm." localSheetId="6" hidden="1">{"qchm_dcf",#N/A,FALSE,"QCHMDCF2";"qchm_terminal",#N/A,FALSE,"QCHMDCF2"}</definedName>
    <definedName name="wrn.DCF_Terminal_Value_qchm." hidden="1">{"qchm_dcf",#N/A,FALSE,"QCHMDCF2";"qchm_terminal",#N/A,FALSE,"QCHMDCF2"}</definedName>
    <definedName name="wrn.dcf2" localSheetId="7" hidden="1">{"DCF1",#N/A,FALSE,"SIERRA DCF";"MATRIX1",#N/A,FALSE,"SIERRA DCF"}</definedName>
    <definedName name="wrn.dcf2" localSheetId="4" hidden="1">{"DCF1",#N/A,FALSE,"SIERRA DCF";"MATRIX1",#N/A,FALSE,"SIERRA DCF"}</definedName>
    <definedName name="wrn.dcf2" localSheetId="5" hidden="1">{"DCF1",#N/A,FALSE,"SIERRA DCF";"MATRIX1",#N/A,FALSE,"SIERRA DCF"}</definedName>
    <definedName name="wrn.dcf2" localSheetId="1" hidden="1">{"DCF1",#N/A,FALSE,"SIERRA DCF";"MATRIX1",#N/A,FALSE,"SIERRA DCF"}</definedName>
    <definedName name="wrn.dcf2" localSheetId="6" hidden="1">{"DCF1",#N/A,FALSE,"SIERRA DCF";"MATRIX1",#N/A,FALSE,"SIERRA DCF"}</definedName>
    <definedName name="wrn.dcf2" hidden="1">{"DCF1",#N/A,FALSE,"SIERRA DCF";"MATRIX1",#N/A,FALSE,"SIERRA DCF"}</definedName>
    <definedName name="wrn.Development._.Model." localSheetId="7" hidden="1">{#N/A,#N/A,FALSE,"Input";#N/A,#N/A,FALSE,"Assumptions";#N/A,#N/A,FALSE,"Valuation";#N/A,#N/A,FALSE,"Financial Alternatives";#N/A,#N/A,FALSE,"Cash Flow"}</definedName>
    <definedName name="wrn.Development._.Model." localSheetId="4" hidden="1">{#N/A,#N/A,FALSE,"Input";#N/A,#N/A,FALSE,"Assumptions";#N/A,#N/A,FALSE,"Valuation";#N/A,#N/A,FALSE,"Financial Alternatives";#N/A,#N/A,FALSE,"Cash Flow"}</definedName>
    <definedName name="wrn.Development._.Model." localSheetId="5" hidden="1">{#N/A,#N/A,FALSE,"Input";#N/A,#N/A,FALSE,"Assumptions";#N/A,#N/A,FALSE,"Valuation";#N/A,#N/A,FALSE,"Financial Alternatives";#N/A,#N/A,FALSE,"Cash Flow"}</definedName>
    <definedName name="wrn.Development._.Model." localSheetId="1" hidden="1">{#N/A,#N/A,FALSE,"Input";#N/A,#N/A,FALSE,"Assumptions";#N/A,#N/A,FALSE,"Valuation";#N/A,#N/A,FALSE,"Financial Alternatives";#N/A,#N/A,FALSE,"Cash Flow"}</definedName>
    <definedName name="wrn.Development._.Model." localSheetId="6" hidden="1">{#N/A,#N/A,FALSE,"Input";#N/A,#N/A,FALSE,"Assumptions";#N/A,#N/A,FALSE,"Valuation";#N/A,#N/A,FALSE,"Financial Alternatives";#N/A,#N/A,FALSE,"Cash Flow"}</definedName>
    <definedName name="wrn.Development._.Model." hidden="1">{#N/A,#N/A,FALSE,"Input";#N/A,#N/A,FALSE,"Assumptions";#N/A,#N/A,FALSE,"Valuation";#N/A,#N/A,FALSE,"Financial Alternatives";#N/A,#N/A,FALSE,"Cash Flow"}</definedName>
    <definedName name="wrn.Economic._.Value._.Added._.Analysis." localSheetId="7" hidden="1">{"EVA",#N/A,FALSE,"EVA";"WACC",#N/A,FALSE,"WACC"}</definedName>
    <definedName name="wrn.Economic._.Value._.Added._.Analysis." localSheetId="4" hidden="1">{"EVA",#N/A,FALSE,"EVA";"WACC",#N/A,FALSE,"WACC"}</definedName>
    <definedName name="wrn.Economic._.Value._.Added._.Analysis." localSheetId="5" hidden="1">{"EVA",#N/A,FALSE,"EVA";"WACC",#N/A,FALSE,"WACC"}</definedName>
    <definedName name="wrn.Economic._.Value._.Added._.Analysis." localSheetId="1" hidden="1">{"EVA",#N/A,FALSE,"EVA";"WACC",#N/A,FALSE,"WACC"}</definedName>
    <definedName name="wrn.Economic._.Value._.Added._.Analysis." localSheetId="6" hidden="1">{"EVA",#N/A,FALSE,"EVA";"WACC",#N/A,FALSE,"WACC"}</definedName>
    <definedName name="wrn.Economic._.Value._.Added._.Analysis." hidden="1">{"EVA",#N/A,FALSE,"EVA";"WACC",#N/A,FALSE,"WACC"}</definedName>
    <definedName name="wrn.Ferro." localSheetId="7" hidden="1">{"matt","zero",FALSE,"CS First Boston Merger Model";"matt","twenty",FALSE,"CS First Boston Merger Model";"matt","forty",FALSE,"CS First Boston Merger Model";"matt","sixty",FALSE,"CS First Boston Merger Model";"matt","eighty",FALSE,"CS First Boston Merger Model";"matt","hundred",FALSE,"CS First Boston Merger Model"}</definedName>
    <definedName name="wrn.Ferro." localSheetId="4" hidden="1">{"matt","zero",FALSE,"CS First Boston Merger Model";"matt","twenty",FALSE,"CS First Boston Merger Model";"matt","forty",FALSE,"CS First Boston Merger Model";"matt","sixty",FALSE,"CS First Boston Merger Model";"matt","eighty",FALSE,"CS First Boston Merger Model";"matt","hundred",FALSE,"CS First Boston Merger Model"}</definedName>
    <definedName name="wrn.Ferro." localSheetId="5" hidden="1">{"matt","zero",FALSE,"CS First Boston Merger Model";"matt","twenty",FALSE,"CS First Boston Merger Model";"matt","forty",FALSE,"CS First Boston Merger Model";"matt","sixty",FALSE,"CS First Boston Merger Model";"matt","eighty",FALSE,"CS First Boston Merger Model";"matt","hundred",FALSE,"CS First Boston Merger Model"}</definedName>
    <definedName name="wrn.Ferro." localSheetId="1" hidden="1">{"matt","zero",FALSE,"CS First Boston Merger Model";"matt","twenty",FALSE,"CS First Boston Merger Model";"matt","forty",FALSE,"CS First Boston Merger Model";"matt","sixty",FALSE,"CS First Boston Merger Model";"matt","eighty",FALSE,"CS First Boston Merger Model";"matt","hundred",FALSE,"CS First Boston Merger Model"}</definedName>
    <definedName name="wrn.Ferro." localSheetId="6" hidden="1">{"matt","zero",FALSE,"CS First Boston Merger Model";"matt","twenty",FALSE,"CS First Boston Merger Model";"matt","forty",FALSE,"CS First Boston Merger Model";"matt","sixty",FALSE,"CS First Boston Merger Model";"matt","eighty",FALSE,"CS First Boston Merger Model";"matt","hundred",FALSE,"CS First Boston Merger Model"}</definedName>
    <definedName name="wrn.Ferro." hidden="1">{"matt","zero",FALSE,"CS First Boston Merger Model";"matt","twenty",FALSE,"CS First Boston Merger Model";"matt","forty",FALSE,"CS First Boston Merger Model";"matt","sixty",FALSE,"CS First Boston Merger Model";"matt","eighty",FALSE,"CS First Boston Merger Model";"matt","hundred",FALSE,"CS First Boston Merger Model"}</definedName>
    <definedName name="wrn.FOUR._.CASES." localSheetId="7" hidden="1">{"MODEL","ALL STOCK",FALSE,"CS First Boston Merger Model";"MODEL","ALL CASH",FALSE,"CS First Boston Merger Model";"MODEL","ALL CASH WITH EQUITY OFFERING",FALSE,"CS First Boston Merger Model";"MODEL","HALF CASH/HALF STOCK",FALSE,"CS First Boston Merger Model"}</definedName>
    <definedName name="wrn.FOUR._.CASES." localSheetId="4" hidden="1">{"MODEL","ALL STOCK",FALSE,"CS First Boston Merger Model";"MODEL","ALL CASH",FALSE,"CS First Boston Merger Model";"MODEL","ALL CASH WITH EQUITY OFFERING",FALSE,"CS First Boston Merger Model";"MODEL","HALF CASH/HALF STOCK",FALSE,"CS First Boston Merger Model"}</definedName>
    <definedName name="wrn.FOUR._.CASES." localSheetId="5" hidden="1">{"MODEL","ALL STOCK",FALSE,"CS First Boston Merger Model";"MODEL","ALL CASH",FALSE,"CS First Boston Merger Model";"MODEL","ALL CASH WITH EQUITY OFFERING",FALSE,"CS First Boston Merger Model";"MODEL","HALF CASH/HALF STOCK",FALSE,"CS First Boston Merger Model"}</definedName>
    <definedName name="wrn.FOUR._.CASES." localSheetId="1" hidden="1">{"MODEL","ALL STOCK",FALSE,"CS First Boston Merger Model";"MODEL","ALL CASH",FALSE,"CS First Boston Merger Model";"MODEL","ALL CASH WITH EQUITY OFFERING",FALSE,"CS First Boston Merger Model";"MODEL","HALF CASH/HALF STOCK",FALSE,"CS First Boston Merger Model"}</definedName>
    <definedName name="wrn.FOUR._.CASES." localSheetId="6" hidden="1">{"MODEL","ALL STOCK",FALSE,"CS First Boston Merger Model";"MODEL","ALL CASH",FALSE,"CS First Boston Merger Model";"MODEL","ALL CASH WITH EQUITY OFFERING",FALSE,"CS First Boston Merger Model";"MODEL","HALF CASH/HALF STOCK",FALSE,"CS First Boston Merger Model"}</definedName>
    <definedName name="wrn.FOUR._.CASES." hidden="1">{"MODEL","ALL STOCK",FALSE,"CS First Boston Merger Model";"MODEL","ALL CASH",FALSE,"CS First Boston Merger Model";"MODEL","ALL CASH WITH EQUITY OFFERING",FALSE,"CS First Boston Merger Model";"MODEL","HALF CASH/HALF STOCK",FALSE,"CS First Boston Merger Model"}</definedName>
    <definedName name="wrn.Full." localSheetId="7" hidden="1">{"Comp1",#N/A,FALSE,"COMP";"Comp2",#N/A,FALSE,"COMP";"Comp3",#N/A,FALSE,"COMP";"Comp4",#N/A,FALSE,"COMP"}</definedName>
    <definedName name="wrn.Full." localSheetId="4" hidden="1">{"Comp1",#N/A,FALSE,"COMP";"Comp2",#N/A,FALSE,"COMP";"Comp3",#N/A,FALSE,"COMP";"Comp4",#N/A,FALSE,"COMP"}</definedName>
    <definedName name="wrn.Full." localSheetId="5" hidden="1">{"Comp1",#N/A,FALSE,"COMP";"Comp2",#N/A,FALSE,"COMP";"Comp3",#N/A,FALSE,"COMP";"Comp4",#N/A,FALSE,"COMP"}</definedName>
    <definedName name="wrn.Full." localSheetId="1" hidden="1">{"Comp1",#N/A,FALSE,"COMP";"Comp2",#N/A,FALSE,"COMP";"Comp3",#N/A,FALSE,"COMP";"Comp4",#N/A,FALSE,"COMP"}</definedName>
    <definedName name="wrn.Full." localSheetId="6" hidden="1">{"Comp1",#N/A,FALSE,"COMP";"Comp2",#N/A,FALSE,"COMP";"Comp3",#N/A,FALSE,"COMP";"Comp4",#N/A,FALSE,"COMP"}</definedName>
    <definedName name="wrn.Full." hidden="1">{"Comp1",#N/A,FALSE,"COMP";"Comp2",#N/A,FALSE,"COMP";"Comp3",#N/A,FALSE,"COMP";"Comp4",#N/A,FALSE,"COMP"}</definedName>
    <definedName name="wrn.full._.report." localSheetId="7"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ull._.report." localSheetId="4"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ull._.report." localSheetId="5"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ull._.report." localSheetId="1"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ull._.report." localSheetId="6"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ull._.report."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newoutput" localSheetId="7" hidden="1">{"DCF","UPSIDE CASE",FALSE,"Sheet1";"DCF","BASE CASE",FALSE,"Sheet1";"DCF","DOWNSIDE CASE",FALSE,"Sheet1"}</definedName>
    <definedName name="wrn.newoutput" localSheetId="4" hidden="1">{"DCF","UPSIDE CASE",FALSE,"Sheet1";"DCF","BASE CASE",FALSE,"Sheet1";"DCF","DOWNSIDE CASE",FALSE,"Sheet1"}</definedName>
    <definedName name="wrn.newoutput" localSheetId="5" hidden="1">{"DCF","UPSIDE CASE",FALSE,"Sheet1";"DCF","BASE CASE",FALSE,"Sheet1";"DCF","DOWNSIDE CASE",FALSE,"Sheet1"}</definedName>
    <definedName name="wrn.newoutput" localSheetId="1" hidden="1">{"DCF","UPSIDE CASE",FALSE,"Sheet1";"DCF","BASE CASE",FALSE,"Sheet1";"DCF","DOWNSIDE CASE",FALSE,"Sheet1"}</definedName>
    <definedName name="wrn.newoutput" localSheetId="6" hidden="1">{"DCF","UPSIDE CASE",FALSE,"Sheet1";"DCF","BASE CASE",FALSE,"Sheet1";"DCF","DOWNSIDE CASE",FALSE,"Sheet1"}</definedName>
    <definedName name="wrn.newoutput" hidden="1">{"DCF","UPSIDE CASE",FALSE,"Sheet1";"DCF","BASE CASE",FALSE,"Sheet1";"DCF","DOWNSIDE CASE",FALSE,"Sheet1"}</definedName>
    <definedName name="wrn.OUTPUT." localSheetId="7" hidden="1">{"DCF","UPSIDE CASE",FALSE,"Sheet1";"DCF","BASE CASE",FALSE,"Sheet1";"DCF","DOWNSIDE CASE",FALSE,"Sheet1"}</definedName>
    <definedName name="wrn.OUTPUT." localSheetId="4" hidden="1">{"DCF","UPSIDE CASE",FALSE,"Sheet1";"DCF","BASE CASE",FALSE,"Sheet1";"DCF","DOWNSIDE CASE",FALSE,"Sheet1"}</definedName>
    <definedName name="wrn.OUTPUT." localSheetId="5" hidden="1">{"DCF","UPSIDE CASE",FALSE,"Sheet1";"DCF","BASE CASE",FALSE,"Sheet1";"DCF","DOWNSIDE CASE",FALSE,"Sheet1"}</definedName>
    <definedName name="wrn.OUTPUT." localSheetId="1" hidden="1">{"DCF","UPSIDE CASE",FALSE,"Sheet1";"DCF","BASE CASE",FALSE,"Sheet1";"DCF","DOWNSIDE CASE",FALSE,"Sheet1"}</definedName>
    <definedName name="wrn.OUTPUT." localSheetId="6" hidden="1">{"DCF","UPSIDE CASE",FALSE,"Sheet1";"DCF","BASE CASE",FALSE,"Sheet1";"DCF","DOWNSIDE CASE",FALSE,"Sheet1"}</definedName>
    <definedName name="wrn.OUTPUT." hidden="1">{"DCF","UPSIDE CASE",FALSE,"Sheet1";"DCF","BASE CASE",FALSE,"Sheet1";"DCF","DOWNSIDE CASE",FALSE,"Sheet1"}</definedName>
    <definedName name="wrn.sales." localSheetId="7" hidden="1">{"sales",#N/A,FALSE,"Sales";"sales existing",#N/A,FALSE,"Sales";"sales rd1",#N/A,FALSE,"Sales";"sales rd2",#N/A,FALSE,"Sales"}</definedName>
    <definedName name="wrn.sales." localSheetId="4" hidden="1">{"sales",#N/A,FALSE,"Sales";"sales existing",#N/A,FALSE,"Sales";"sales rd1",#N/A,FALSE,"Sales";"sales rd2",#N/A,FALSE,"Sales"}</definedName>
    <definedName name="wrn.sales." localSheetId="5" hidden="1">{"sales",#N/A,FALSE,"Sales";"sales existing",#N/A,FALSE,"Sales";"sales rd1",#N/A,FALSE,"Sales";"sales rd2",#N/A,FALSE,"Sales"}</definedName>
    <definedName name="wrn.sales." localSheetId="1" hidden="1">{"sales",#N/A,FALSE,"Sales";"sales existing",#N/A,FALSE,"Sales";"sales rd1",#N/A,FALSE,"Sales";"sales rd2",#N/A,FALSE,"Sales"}</definedName>
    <definedName name="wrn.sales." localSheetId="6" hidden="1">{"sales",#N/A,FALSE,"Sales";"sales existing",#N/A,FALSE,"Sales";"sales rd1",#N/A,FALSE,"Sales";"sales rd2",#N/A,FALSE,"Sales"}</definedName>
    <definedName name="wrn.sales." hidden="1">{"sales",#N/A,FALSE,"Sales";"sales existing",#N/A,FALSE,"Sales";"sales rd1",#N/A,FALSE,"Sales";"sales rd2",#N/A,FALSE,"Sales"}</definedName>
    <definedName name="wrn.TARGET._.DCF." localSheetId="7" hidden="1">{"targetdcf",#N/A,FALSE,"Merger consequences";"TARGETASSU",#N/A,FALSE,"Merger consequences";"TERMINAL VALUE",#N/A,FALSE,"Merger consequences"}</definedName>
    <definedName name="wrn.TARGET._.DCF." localSheetId="4" hidden="1">{"targetdcf",#N/A,FALSE,"Merger consequences";"TARGETASSU",#N/A,FALSE,"Merger consequences";"TERMINAL VALUE",#N/A,FALSE,"Merger consequences"}</definedName>
    <definedName name="wrn.TARGET._.DCF." localSheetId="5" hidden="1">{"targetdcf",#N/A,FALSE,"Merger consequences";"TARGETASSU",#N/A,FALSE,"Merger consequences";"TERMINAL VALUE",#N/A,FALSE,"Merger consequences"}</definedName>
    <definedName name="wrn.TARGET._.DCF." localSheetId="1" hidden="1">{"targetdcf",#N/A,FALSE,"Merger consequences";"TARGETASSU",#N/A,FALSE,"Merger consequences";"TERMINAL VALUE",#N/A,FALSE,"Merger consequences"}</definedName>
    <definedName name="wrn.TARGET._.DCF." localSheetId="6" hidden="1">{"targetdcf",#N/A,FALSE,"Merger consequences";"TARGETASSU",#N/A,FALSE,"Merger consequences";"TERMINAL VALUE",#N/A,FALSE,"Merger consequences"}</definedName>
    <definedName name="wrn.TARGET._.DCF." hidden="1">{"targetdcf",#N/A,FALSE,"Merger consequences";"TARGETASSU",#N/A,FALSE,"Merger consequences";"TERMINAL VALUE",#N/A,FALSE,"Merger consequences"}</definedName>
    <definedName name="wrn.Textron." localSheetId="7" hidden="1">{#N/A,#N/A,FALSE,"IS";#N/A,#N/A,FALSE,"SG";#N/A,#N/A,FALSE,"FF";#N/A,#N/A,FALSE,"BS";#N/A,#N/A,FALSE,"DCF";#N/A,#N/A,FALSE,"EVA";#N/A,#N/A,FALSE,"Air";#N/A,#N/A,FALSE,"Car";#N/A,#N/A,FALSE,"Ind";#N/A,#N/A,FALSE,"Sys";#N/A,#N/A,FALSE,"Fin";#N/A,#N/A,FALSE,"Ces";#N/A,#N/A,FALSE,"Bell"}</definedName>
    <definedName name="wrn.Textron." localSheetId="4" hidden="1">{#N/A,#N/A,FALSE,"IS";#N/A,#N/A,FALSE,"SG";#N/A,#N/A,FALSE,"FF";#N/A,#N/A,FALSE,"BS";#N/A,#N/A,FALSE,"DCF";#N/A,#N/A,FALSE,"EVA";#N/A,#N/A,FALSE,"Air";#N/A,#N/A,FALSE,"Car";#N/A,#N/A,FALSE,"Ind";#N/A,#N/A,FALSE,"Sys";#N/A,#N/A,FALSE,"Fin";#N/A,#N/A,FALSE,"Ces";#N/A,#N/A,FALSE,"Bell"}</definedName>
    <definedName name="wrn.Textron." localSheetId="5" hidden="1">{#N/A,#N/A,FALSE,"IS";#N/A,#N/A,FALSE,"SG";#N/A,#N/A,FALSE,"FF";#N/A,#N/A,FALSE,"BS";#N/A,#N/A,FALSE,"DCF";#N/A,#N/A,FALSE,"EVA";#N/A,#N/A,FALSE,"Air";#N/A,#N/A,FALSE,"Car";#N/A,#N/A,FALSE,"Ind";#N/A,#N/A,FALSE,"Sys";#N/A,#N/A,FALSE,"Fin";#N/A,#N/A,FALSE,"Ces";#N/A,#N/A,FALSE,"Bell"}</definedName>
    <definedName name="wrn.Textron." localSheetId="1" hidden="1">{#N/A,#N/A,FALSE,"IS";#N/A,#N/A,FALSE,"SG";#N/A,#N/A,FALSE,"FF";#N/A,#N/A,FALSE,"BS";#N/A,#N/A,FALSE,"DCF";#N/A,#N/A,FALSE,"EVA";#N/A,#N/A,FALSE,"Air";#N/A,#N/A,FALSE,"Car";#N/A,#N/A,FALSE,"Ind";#N/A,#N/A,FALSE,"Sys";#N/A,#N/A,FALSE,"Fin";#N/A,#N/A,FALSE,"Ces";#N/A,#N/A,FALSE,"Bell"}</definedName>
    <definedName name="wrn.Textron." localSheetId="6" hidden="1">{#N/A,#N/A,FALSE,"IS";#N/A,#N/A,FALSE,"SG";#N/A,#N/A,FALSE,"FF";#N/A,#N/A,FALSE,"BS";#N/A,#N/A,FALSE,"DCF";#N/A,#N/A,FALSE,"EVA";#N/A,#N/A,FALSE,"Air";#N/A,#N/A,FALSE,"Car";#N/A,#N/A,FALSE,"Ind";#N/A,#N/A,FALSE,"Sys";#N/A,#N/A,FALSE,"Fin";#N/A,#N/A,FALSE,"Ces";#N/A,#N/A,FALSE,"Bell"}</definedName>
    <definedName name="wrn.Textron." hidden="1">{#N/A,#N/A,FALSE,"IS";#N/A,#N/A,FALSE,"SG";#N/A,#N/A,FALSE,"FF";#N/A,#N/A,FALSE,"BS";#N/A,#N/A,FALSE,"DCF";#N/A,#N/A,FALSE,"EVA";#N/A,#N/A,FALSE,"Air";#N/A,#N/A,FALSE,"Car";#N/A,#N/A,FALSE,"Ind";#N/A,#N/A,FALSE,"Sys";#N/A,#N/A,FALSE,"Fin";#N/A,#N/A,FALSE,"Ces";#N/A,#N/A,FALSE,"Bell"}</definedName>
    <definedName name="wrn.three" localSheetId="7" hidden="1">{"EVA",#N/A,FALSE,"EVA";"WACC",#N/A,FALSE,"WACC"}</definedName>
    <definedName name="wrn.three" localSheetId="4" hidden="1">{"EVA",#N/A,FALSE,"EVA";"WACC",#N/A,FALSE,"WACC"}</definedName>
    <definedName name="wrn.three" localSheetId="5" hidden="1">{"EVA",#N/A,FALSE,"EVA";"WACC",#N/A,FALSE,"WACC"}</definedName>
    <definedName name="wrn.three" localSheetId="1" hidden="1">{"EVA",#N/A,FALSE,"EVA";"WACC",#N/A,FALSE,"WACC"}</definedName>
    <definedName name="wrn.three" localSheetId="6" hidden="1">{"EVA",#N/A,FALSE,"EVA";"WACC",#N/A,FALSE,"WACC"}</definedName>
    <definedName name="wrn.three" hidden="1">{"EVA",#N/A,FALSE,"EVA";"WACC",#N/A,FALSE,"WACC"}</definedName>
    <definedName name="wrn.Value." localSheetId="7" hidden="1">{#N/A,#N/A,FALSE,"Cashflow Analysis";#N/A,#N/A,FALSE,"Sensitivity Analysis";#N/A,#N/A,FALSE,"PV";#N/A,#N/A,FALSE,"Pro Forma"}</definedName>
    <definedName name="wrn.Value." localSheetId="4" hidden="1">{#N/A,#N/A,FALSE,"Cashflow Analysis";#N/A,#N/A,FALSE,"Sensitivity Analysis";#N/A,#N/A,FALSE,"PV";#N/A,#N/A,FALSE,"Pro Forma"}</definedName>
    <definedName name="wrn.Value." localSheetId="5" hidden="1">{#N/A,#N/A,FALSE,"Cashflow Analysis";#N/A,#N/A,FALSE,"Sensitivity Analysis";#N/A,#N/A,FALSE,"PV";#N/A,#N/A,FALSE,"Pro Forma"}</definedName>
    <definedName name="wrn.Value." localSheetId="1" hidden="1">{#N/A,#N/A,FALSE,"Cashflow Analysis";#N/A,#N/A,FALSE,"Sensitivity Analysis";#N/A,#N/A,FALSE,"PV";#N/A,#N/A,FALSE,"Pro Forma"}</definedName>
    <definedName name="wrn.Value." localSheetId="6" hidden="1">{#N/A,#N/A,FALSE,"Cashflow Analysis";#N/A,#N/A,FALSE,"Sensitivity Analysis";#N/A,#N/A,FALSE,"PV";#N/A,#N/A,FALSE,"Pro Forma"}</definedName>
    <definedName name="wrn.Value." hidden="1">{#N/A,#N/A,FALSE,"Cashflow Analysis";#N/A,#N/A,FALSE,"Sensitivity Analysis";#N/A,#N/A,FALSE,"PV";#N/A,#N/A,FALSE,"Pro Forma"}</definedName>
    <definedName name="wsqm" localSheetId="7">#REF!</definedName>
    <definedName name="wsqm">#REF!</definedName>
    <definedName name="x" localSheetId="7" hidden="1">{#N/A,#N/A,FALSE,"Cashflow Analysis";#N/A,#N/A,FALSE,"Sensitivity Analysis";#N/A,#N/A,FALSE,"PV";#N/A,#N/A,FALSE,"Pro Forma"}</definedName>
    <definedName name="x" localSheetId="4" hidden="1">{#N/A,#N/A,FALSE,"Cashflow Analysis";#N/A,#N/A,FALSE,"Sensitivity Analysis";#N/A,#N/A,FALSE,"PV";#N/A,#N/A,FALSE,"Pro Forma"}</definedName>
    <definedName name="x" localSheetId="5" hidden="1">{#N/A,#N/A,FALSE,"Cashflow Analysis";#N/A,#N/A,FALSE,"Sensitivity Analysis";#N/A,#N/A,FALSE,"PV";#N/A,#N/A,FALSE,"Pro Forma"}</definedName>
    <definedName name="x" localSheetId="1" hidden="1">{#N/A,#N/A,FALSE,"Cashflow Analysis";#N/A,#N/A,FALSE,"Sensitivity Analysis";#N/A,#N/A,FALSE,"PV";#N/A,#N/A,FALSE,"Pro Forma"}</definedName>
    <definedName name="x" localSheetId="6" hidden="1">{#N/A,#N/A,FALSE,"Cashflow Analysis";#N/A,#N/A,FALSE,"Sensitivity Analysis";#N/A,#N/A,FALSE,"PV";#N/A,#N/A,FALSE,"Pro Forma"}</definedName>
    <definedName name="x" hidden="1">{#N/A,#N/A,FALSE,"Cashflow Analysis";#N/A,#N/A,FALSE,"Sensitivity Analysis";#N/A,#N/A,FALSE,"PV";#N/A,#N/A,FALSE,"Pro Forma"}</definedName>
    <definedName name="Yes" localSheetId="7" hidden="1">{"adj95mult",#N/A,FALSE,"COMPCO";"adj95est",#N/A,FALSE,"COMPCO"}</definedName>
    <definedName name="Yes" localSheetId="4" hidden="1">{"adj95mult",#N/A,FALSE,"COMPCO";"adj95est",#N/A,FALSE,"COMPCO"}</definedName>
    <definedName name="Yes" localSheetId="5" hidden="1">{"adj95mult",#N/A,FALSE,"COMPCO";"adj95est",#N/A,FALSE,"COMPCO"}</definedName>
    <definedName name="Yes" localSheetId="1" hidden="1">{"adj95mult",#N/A,FALSE,"COMPCO";"adj95est",#N/A,FALSE,"COMPCO"}</definedName>
    <definedName name="Yes" localSheetId="6" hidden="1">{"adj95mult",#N/A,FALSE,"COMPCO";"adj95est",#N/A,FALSE,"COMPCO"}</definedName>
    <definedName name="Yes" hidden="1">{"adj95mult",#N/A,FALSE,"COMPCO";"adj95est",#N/A,FALSE,"COMPCO"}</definedName>
    <definedName name="z" localSheetId="7" hidden="1">{"EVA",#N/A,FALSE,"EVA";"WACC",#N/A,FALSE,"WACC"}</definedName>
    <definedName name="z" localSheetId="4" hidden="1">{"EVA",#N/A,FALSE,"EVA";"WACC",#N/A,FALSE,"WACC"}</definedName>
    <definedName name="z" localSheetId="5" hidden="1">{"EVA",#N/A,FALSE,"EVA";"WACC",#N/A,FALSE,"WACC"}</definedName>
    <definedName name="z" localSheetId="1" hidden="1">{"EVA",#N/A,FALSE,"EVA";"WACC",#N/A,FALSE,"WACC"}</definedName>
    <definedName name="z" localSheetId="6" hidden="1">{"EVA",#N/A,FALSE,"EVA";"WACC",#N/A,FALSE,"WACC"}</definedName>
    <definedName name="z" hidden="1">{"EVA",#N/A,FALSE,"EVA";"WACC",#N/A,FALSE,"WACC"}</definedName>
    <definedName name="_xlnm.Print_Area" localSheetId="7">'Amortization Table 15y'!$A$2:$H$40</definedName>
    <definedName name="_xlnm.Print_Area" localSheetId="2">'Hotel Operating Revenue'!$A$4:$M$52</definedName>
    <definedName name="_xlnm.Print_Area" localSheetId="6">'IRR 15y'!$A$1:$S$57</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R21" i="49" l="1"/>
  <c r="Q21" i="49"/>
  <c r="P21" i="49"/>
  <c r="O21" i="49"/>
  <c r="N21" i="49"/>
  <c r="M21" i="49"/>
  <c r="L21" i="49"/>
  <c r="K21" i="49"/>
  <c r="J21" i="49"/>
  <c r="I21" i="49"/>
  <c r="H21" i="49"/>
  <c r="G21" i="49"/>
  <c r="F21" i="49"/>
  <c r="E21" i="49"/>
  <c r="D21" i="49"/>
  <c r="G7" i="51" l="1"/>
  <c r="C8" i="21" l="1"/>
  <c r="D8" i="21" s="1"/>
  <c r="E8" i="21" s="1"/>
  <c r="F8" i="21" s="1"/>
  <c r="G8" i="21" s="1"/>
  <c r="A4" i="56"/>
  <c r="A30" i="56"/>
  <c r="A29" i="56"/>
  <c r="C34" i="56"/>
  <c r="D34" i="56" s="1"/>
  <c r="E34" i="56" s="1"/>
  <c r="F34" i="56" s="1"/>
  <c r="G34" i="56" s="1"/>
  <c r="H34" i="56" s="1"/>
  <c r="I34" i="56" s="1"/>
  <c r="J34" i="56" s="1"/>
  <c r="K34" i="56" s="1"/>
  <c r="L34" i="56" s="1"/>
  <c r="A36" i="56"/>
  <c r="A37" i="56" s="1"/>
  <c r="A38" i="56" s="1"/>
  <c r="A39" i="56" s="1"/>
  <c r="A40" i="56" s="1"/>
  <c r="A41" i="56" s="1"/>
  <c r="A42" i="56" s="1"/>
  <c r="A43" i="56" s="1"/>
  <c r="A44" i="56" s="1"/>
  <c r="A45" i="56" s="1"/>
  <c r="A46" i="56" s="1"/>
  <c r="A47" i="56" s="1"/>
  <c r="A48" i="56" s="1"/>
  <c r="A49" i="56" s="1"/>
  <c r="D32" i="47"/>
  <c r="G5" i="47"/>
  <c r="A11" i="56"/>
  <c r="A12" i="56" s="1"/>
  <c r="A13" i="56" s="1"/>
  <c r="A14" i="56" s="1"/>
  <c r="A15" i="56" s="1"/>
  <c r="A16" i="56" s="1"/>
  <c r="A17" i="56" s="1"/>
  <c r="A18" i="56" s="1"/>
  <c r="A19" i="56" s="1"/>
  <c r="A20" i="56" s="1"/>
  <c r="A21" i="56" s="1"/>
  <c r="A22" i="56" s="1"/>
  <c r="A23" i="56" s="1"/>
  <c r="C9" i="56"/>
  <c r="D9" i="56" s="1"/>
  <c r="E9" i="56" s="1"/>
  <c r="F9" i="56" s="1"/>
  <c r="G9" i="56" s="1"/>
  <c r="H9" i="56" s="1"/>
  <c r="I9" i="56" s="1"/>
  <c r="J9" i="56" s="1"/>
  <c r="C9" i="21"/>
  <c r="D9" i="21" s="1"/>
  <c r="E9" i="21" s="1"/>
  <c r="F9" i="21" s="1"/>
  <c r="G9" i="21" s="1"/>
  <c r="C7" i="21" l="1"/>
  <c r="S46" i="49" l="1"/>
  <c r="A46" i="49" l="1"/>
  <c r="A41" i="49"/>
  <c r="A40" i="49"/>
  <c r="A29" i="49"/>
  <c r="A28" i="49"/>
  <c r="A27" i="49"/>
  <c r="A26" i="49"/>
  <c r="Q16" i="49"/>
  <c r="G5" i="51" s="1"/>
  <c r="Q14" i="49"/>
  <c r="Q12" i="49"/>
  <c r="M17" i="49"/>
  <c r="M16" i="49"/>
  <c r="M15" i="49"/>
  <c r="C12" i="49"/>
  <c r="C11" i="49"/>
  <c r="J31" i="47"/>
  <c r="H31" i="47"/>
  <c r="H32" i="47"/>
  <c r="H33" i="47"/>
  <c r="I11" i="49"/>
  <c r="D16" i="47"/>
  <c r="C379" i="49"/>
  <c r="Q45" i="49"/>
  <c r="P45" i="49"/>
  <c r="N45" i="49"/>
  <c r="M45" i="49"/>
  <c r="L45" i="49"/>
  <c r="K45" i="49"/>
  <c r="J45" i="49"/>
  <c r="I45" i="49"/>
  <c r="H45" i="49"/>
  <c r="G45" i="49"/>
  <c r="F45" i="49"/>
  <c r="E45" i="49"/>
  <c r="LI39" i="49"/>
  <c r="LH39" i="49"/>
  <c r="LG39" i="49"/>
  <c r="LF39" i="49"/>
  <c r="LE39" i="49"/>
  <c r="LD39" i="49"/>
  <c r="LC39" i="49"/>
  <c r="LB39" i="49"/>
  <c r="LA39" i="49"/>
  <c r="KZ39" i="49"/>
  <c r="KY39" i="49"/>
  <c r="KX39" i="49"/>
  <c r="KW39" i="49"/>
  <c r="KV39" i="49"/>
  <c r="KU39" i="49"/>
  <c r="KT39" i="49"/>
  <c r="KS39" i="49"/>
  <c r="KR39" i="49"/>
  <c r="KQ39" i="49"/>
  <c r="KP39" i="49"/>
  <c r="KO39" i="49"/>
  <c r="KN39" i="49"/>
  <c r="KM39" i="49"/>
  <c r="KL39" i="49"/>
  <c r="KK39" i="49"/>
  <c r="KJ39" i="49"/>
  <c r="KI39" i="49"/>
  <c r="KH39" i="49"/>
  <c r="KG39" i="49"/>
  <c r="KF39" i="49"/>
  <c r="KE39" i="49"/>
  <c r="KD39" i="49"/>
  <c r="KC39" i="49"/>
  <c r="KB39" i="49"/>
  <c r="KA39" i="49"/>
  <c r="JZ39" i="49"/>
  <c r="JY39" i="49"/>
  <c r="JX39" i="49"/>
  <c r="JW39" i="49"/>
  <c r="JV39" i="49"/>
  <c r="JU39" i="49"/>
  <c r="JT39" i="49"/>
  <c r="JS39" i="49"/>
  <c r="JR39" i="49"/>
  <c r="JQ39" i="49"/>
  <c r="JP39" i="49"/>
  <c r="JO39" i="49"/>
  <c r="JN39" i="49"/>
  <c r="JM39" i="49"/>
  <c r="JL39" i="49"/>
  <c r="JK39" i="49"/>
  <c r="JJ39" i="49"/>
  <c r="JI39" i="49"/>
  <c r="JH39" i="49"/>
  <c r="JG39" i="49"/>
  <c r="JF39" i="49"/>
  <c r="JE39" i="49"/>
  <c r="JD39" i="49"/>
  <c r="JC39" i="49"/>
  <c r="JB39" i="49"/>
  <c r="JA39" i="49"/>
  <c r="IZ39" i="49"/>
  <c r="IY39" i="49"/>
  <c r="IX39" i="49"/>
  <c r="IW39" i="49"/>
  <c r="IV39" i="49"/>
  <c r="IU39" i="49"/>
  <c r="IT39" i="49"/>
  <c r="IS39" i="49"/>
  <c r="IR39" i="49"/>
  <c r="IQ39" i="49"/>
  <c r="IP39" i="49"/>
  <c r="IO39" i="49"/>
  <c r="IN39" i="49"/>
  <c r="IM39" i="49"/>
  <c r="IL39" i="49"/>
  <c r="IK39" i="49"/>
  <c r="IJ39" i="49"/>
  <c r="II39" i="49"/>
  <c r="IH39" i="49"/>
  <c r="IG39" i="49"/>
  <c r="IF39" i="49"/>
  <c r="IE39" i="49"/>
  <c r="ID39" i="49"/>
  <c r="IC39" i="49"/>
  <c r="IB39" i="49"/>
  <c r="IA39" i="49"/>
  <c r="HZ39" i="49"/>
  <c r="HY39" i="49"/>
  <c r="HX39" i="49"/>
  <c r="HW39" i="49"/>
  <c r="HV39" i="49"/>
  <c r="HU39" i="49"/>
  <c r="HT39" i="49"/>
  <c r="HS39" i="49"/>
  <c r="HR39" i="49"/>
  <c r="HQ39" i="49"/>
  <c r="HP39" i="49"/>
  <c r="HO39" i="49"/>
  <c r="HN39" i="49"/>
  <c r="HM39" i="49"/>
  <c r="HL39" i="49"/>
  <c r="HK39" i="49"/>
  <c r="HJ39" i="49"/>
  <c r="HI39" i="49"/>
  <c r="HH39" i="49"/>
  <c r="HG39" i="49"/>
  <c r="HF39" i="49"/>
  <c r="HE39" i="49"/>
  <c r="HD39" i="49"/>
  <c r="HC39" i="49"/>
  <c r="HB39" i="49"/>
  <c r="HA39" i="49"/>
  <c r="GZ39" i="49"/>
  <c r="GY39" i="49"/>
  <c r="GX39" i="49"/>
  <c r="GW39" i="49"/>
  <c r="GV39" i="49"/>
  <c r="GU39" i="49"/>
  <c r="GT39" i="49"/>
  <c r="GS39" i="49"/>
  <c r="GR39" i="49"/>
  <c r="GQ39" i="49"/>
  <c r="GP39" i="49"/>
  <c r="GO39" i="49"/>
  <c r="GN39" i="49"/>
  <c r="GM39" i="49"/>
  <c r="GL39" i="49"/>
  <c r="GK39" i="49"/>
  <c r="GJ39" i="49"/>
  <c r="GI39" i="49"/>
  <c r="GH39" i="49"/>
  <c r="GG39" i="49"/>
  <c r="GF39" i="49"/>
  <c r="GE39" i="49"/>
  <c r="GD39" i="49"/>
  <c r="GC39" i="49"/>
  <c r="GB39" i="49"/>
  <c r="GA39" i="49"/>
  <c r="FZ39" i="49"/>
  <c r="FY39" i="49"/>
  <c r="FX39" i="49"/>
  <c r="FW39" i="49"/>
  <c r="FV39" i="49"/>
  <c r="FU39" i="49"/>
  <c r="FT39" i="49"/>
  <c r="FS39" i="49"/>
  <c r="FR39" i="49"/>
  <c r="FQ39" i="49"/>
  <c r="FP39" i="49"/>
  <c r="FO39" i="49"/>
  <c r="FN39" i="49"/>
  <c r="FM39" i="49"/>
  <c r="FL39" i="49"/>
  <c r="FK39" i="49"/>
  <c r="FJ39" i="49"/>
  <c r="FI39" i="49"/>
  <c r="FH39" i="49"/>
  <c r="FG39" i="49"/>
  <c r="FF39" i="49"/>
  <c r="FE39" i="49"/>
  <c r="FD39" i="49"/>
  <c r="FC39" i="49"/>
  <c r="FB39" i="49"/>
  <c r="FA39" i="49"/>
  <c r="EZ39" i="49"/>
  <c r="EY39" i="49"/>
  <c r="EX39" i="49"/>
  <c r="EW39" i="49"/>
  <c r="EV39" i="49"/>
  <c r="EU39" i="49"/>
  <c r="ET39" i="49"/>
  <c r="ES39" i="49"/>
  <c r="ER39" i="49"/>
  <c r="EQ39" i="49"/>
  <c r="EP39" i="49"/>
  <c r="EO39" i="49"/>
  <c r="EN39" i="49"/>
  <c r="EM39" i="49"/>
  <c r="EL39" i="49"/>
  <c r="EK39" i="49"/>
  <c r="EJ39" i="49"/>
  <c r="EI39" i="49"/>
  <c r="EH39" i="49"/>
  <c r="EG39" i="49"/>
  <c r="EF39" i="49"/>
  <c r="EE39" i="49"/>
  <c r="ED39" i="49"/>
  <c r="EC39" i="49"/>
  <c r="EB39" i="49"/>
  <c r="EA39" i="49"/>
  <c r="S38" i="49"/>
  <c r="S37" i="49"/>
  <c r="S36" i="49"/>
  <c r="S35" i="49"/>
  <c r="S34" i="49"/>
  <c r="S33" i="49"/>
  <c r="S32" i="49"/>
  <c r="S30" i="49"/>
  <c r="D28" i="49"/>
  <c r="M18" i="49"/>
  <c r="M11" i="49"/>
  <c r="S1" i="49"/>
  <c r="J32" i="47"/>
  <c r="G8" i="47" s="1"/>
  <c r="D27" i="47"/>
  <c r="H17" i="47"/>
  <c r="M13" i="49" s="1"/>
  <c r="C17" i="47"/>
  <c r="D17" i="47" s="1"/>
  <c r="N12" i="49" s="1"/>
  <c r="C22" i="49" s="1"/>
  <c r="G7" i="47"/>
  <c r="D5" i="47"/>
  <c r="G2" i="47"/>
  <c r="D6" i="21"/>
  <c r="E6" i="21"/>
  <c r="F6" i="21"/>
  <c r="G6" i="21"/>
  <c r="C6" i="21"/>
  <c r="C24" i="49" l="1"/>
  <c r="S22" i="49"/>
  <c r="D29" i="49"/>
  <c r="G375" i="51"/>
  <c r="E374" i="51"/>
  <c r="G373" i="51"/>
  <c r="E372" i="51"/>
  <c r="G371" i="51"/>
  <c r="E370" i="51"/>
  <c r="G369" i="51"/>
  <c r="E368" i="51"/>
  <c r="G367" i="51"/>
  <c r="E366" i="51"/>
  <c r="G365" i="51"/>
  <c r="E364" i="51"/>
  <c r="G363" i="51"/>
  <c r="E362" i="51"/>
  <c r="G361" i="51"/>
  <c r="E360" i="51"/>
  <c r="G359" i="51"/>
  <c r="E358" i="51"/>
  <c r="G357" i="51"/>
  <c r="E356" i="51"/>
  <c r="G355" i="51"/>
  <c r="E354" i="51"/>
  <c r="G353" i="51"/>
  <c r="E352" i="51"/>
  <c r="G351" i="51"/>
  <c r="E350" i="51"/>
  <c r="G349" i="51"/>
  <c r="E348" i="51"/>
  <c r="G347" i="51"/>
  <c r="E346" i="51"/>
  <c r="G345" i="51"/>
  <c r="E344" i="51"/>
  <c r="G343" i="51"/>
  <c r="E342" i="51"/>
  <c r="G341" i="51"/>
  <c r="E340" i="51"/>
  <c r="G339" i="51"/>
  <c r="E338" i="51"/>
  <c r="G337" i="51"/>
  <c r="E336" i="51"/>
  <c r="G335" i="51"/>
  <c r="E334" i="51"/>
  <c r="G333" i="51"/>
  <c r="E332" i="51"/>
  <c r="G331" i="51"/>
  <c r="E330" i="51"/>
  <c r="G329" i="51"/>
  <c r="E328" i="51"/>
  <c r="G327" i="51"/>
  <c r="E326" i="51"/>
  <c r="G325" i="51"/>
  <c r="E324" i="51"/>
  <c r="G323" i="51"/>
  <c r="E322" i="51"/>
  <c r="G321" i="51"/>
  <c r="E320" i="51"/>
  <c r="G319" i="51"/>
  <c r="F375" i="51"/>
  <c r="B375" i="51"/>
  <c r="C375" i="51" s="1"/>
  <c r="D374" i="51"/>
  <c r="F373" i="51"/>
  <c r="B373" i="51"/>
  <c r="C373" i="51" s="1"/>
  <c r="D372" i="51"/>
  <c r="F371" i="51"/>
  <c r="B371" i="51"/>
  <c r="C371" i="51" s="1"/>
  <c r="D370" i="51"/>
  <c r="F369" i="51"/>
  <c r="B369" i="51"/>
  <c r="C369" i="51" s="1"/>
  <c r="D368" i="51"/>
  <c r="F367" i="51"/>
  <c r="B367" i="51"/>
  <c r="C367" i="51" s="1"/>
  <c r="D366" i="51"/>
  <c r="F365" i="51"/>
  <c r="B365" i="51"/>
  <c r="C365" i="51" s="1"/>
  <c r="D364" i="51"/>
  <c r="F363" i="51"/>
  <c r="B363" i="51"/>
  <c r="C363" i="51" s="1"/>
  <c r="D362" i="51"/>
  <c r="F361" i="51"/>
  <c r="B361" i="51"/>
  <c r="C361" i="51" s="1"/>
  <c r="D360" i="51"/>
  <c r="F359" i="51"/>
  <c r="B359" i="51"/>
  <c r="C359" i="51" s="1"/>
  <c r="D358" i="51"/>
  <c r="F357" i="51"/>
  <c r="B357" i="51"/>
  <c r="C357" i="51" s="1"/>
  <c r="D356" i="51"/>
  <c r="F355" i="51"/>
  <c r="B355" i="51"/>
  <c r="C355" i="51" s="1"/>
  <c r="D354" i="51"/>
  <c r="F353" i="51"/>
  <c r="B353" i="51"/>
  <c r="C353" i="51" s="1"/>
  <c r="D352" i="51"/>
  <c r="F351" i="51"/>
  <c r="B351" i="51"/>
  <c r="C351" i="51" s="1"/>
  <c r="D350" i="51"/>
  <c r="F349" i="51"/>
  <c r="B349" i="51"/>
  <c r="C349" i="51" s="1"/>
  <c r="D348" i="51"/>
  <c r="F347" i="51"/>
  <c r="B347" i="51"/>
  <c r="C347" i="51" s="1"/>
  <c r="D346" i="51"/>
  <c r="F345" i="51"/>
  <c r="B345" i="51"/>
  <c r="C345" i="51" s="1"/>
  <c r="D344" i="51"/>
  <c r="F343" i="51"/>
  <c r="B343" i="51"/>
  <c r="C343" i="51" s="1"/>
  <c r="D342" i="51"/>
  <c r="F341" i="51"/>
  <c r="B341" i="51"/>
  <c r="C341" i="51" s="1"/>
  <c r="D340" i="51"/>
  <c r="F339" i="51"/>
  <c r="B339" i="51"/>
  <c r="C339" i="51" s="1"/>
  <c r="D338" i="51"/>
  <c r="F337" i="51"/>
  <c r="B337" i="51"/>
  <c r="C337" i="51" s="1"/>
  <c r="D336" i="51"/>
  <c r="F335" i="51"/>
  <c r="B335" i="51"/>
  <c r="C335" i="51" s="1"/>
  <c r="D334" i="51"/>
  <c r="F333" i="51"/>
  <c r="B333" i="51"/>
  <c r="C333" i="51" s="1"/>
  <c r="D332" i="51"/>
  <c r="F331" i="51"/>
  <c r="B331" i="51"/>
  <c r="C331" i="51" s="1"/>
  <c r="D330" i="51"/>
  <c r="F329" i="51"/>
  <c r="B329" i="51"/>
  <c r="C329" i="51" s="1"/>
  <c r="D328" i="51"/>
  <c r="F327" i="51"/>
  <c r="B327" i="51"/>
  <c r="C327" i="51" s="1"/>
  <c r="D326" i="51"/>
  <c r="F325" i="51"/>
  <c r="B325" i="51"/>
  <c r="C325" i="51" s="1"/>
  <c r="D324" i="51"/>
  <c r="F323" i="51"/>
  <c r="B323" i="51"/>
  <c r="C323" i="51" s="1"/>
  <c r="D322" i="51"/>
  <c r="F321" i="51"/>
  <c r="B321" i="51"/>
  <c r="C321" i="51" s="1"/>
  <c r="D320" i="51"/>
  <c r="F319" i="51"/>
  <c r="B319" i="51"/>
  <c r="C319" i="51" s="1"/>
  <c r="D318" i="51"/>
  <c r="F317" i="51"/>
  <c r="B317" i="51"/>
  <c r="C317" i="51" s="1"/>
  <c r="D316" i="51"/>
  <c r="F315" i="51"/>
  <c r="B315" i="51"/>
  <c r="C315" i="51" s="1"/>
  <c r="D314" i="51"/>
  <c r="F313" i="51"/>
  <c r="B313" i="51"/>
  <c r="C313" i="51" s="1"/>
  <c r="D312" i="51"/>
  <c r="F311" i="51"/>
  <c r="E375" i="51"/>
  <c r="G372" i="51"/>
  <c r="E371" i="51"/>
  <c r="G368" i="51"/>
  <c r="E367" i="51"/>
  <c r="G364" i="51"/>
  <c r="E363" i="51"/>
  <c r="G360" i="51"/>
  <c r="E359" i="51"/>
  <c r="G356" i="51"/>
  <c r="E355" i="51"/>
  <c r="G352" i="51"/>
  <c r="E351" i="51"/>
  <c r="G348" i="51"/>
  <c r="E347" i="51"/>
  <c r="G344" i="51"/>
  <c r="E343" i="51"/>
  <c r="G340" i="51"/>
  <c r="E339" i="51"/>
  <c r="G336" i="51"/>
  <c r="E335" i="51"/>
  <c r="G332" i="51"/>
  <c r="E331" i="51"/>
  <c r="G328" i="51"/>
  <c r="E327" i="51"/>
  <c r="G324" i="51"/>
  <c r="E323" i="51"/>
  <c r="G320" i="51"/>
  <c r="E319" i="51"/>
  <c r="F318" i="51"/>
  <c r="G317" i="51"/>
  <c r="G316" i="51"/>
  <c r="B316" i="51"/>
  <c r="C316" i="51" s="1"/>
  <c r="D313" i="51"/>
  <c r="E312" i="51"/>
  <c r="E311" i="51"/>
  <c r="G310" i="51"/>
  <c r="E309" i="51"/>
  <c r="G308" i="51"/>
  <c r="E307" i="51"/>
  <c r="G306" i="51"/>
  <c r="E305" i="51"/>
  <c r="G304" i="51"/>
  <c r="E303" i="51"/>
  <c r="G302" i="51"/>
  <c r="E301" i="51"/>
  <c r="G300" i="51"/>
  <c r="E299" i="51"/>
  <c r="G298" i="51"/>
  <c r="E297" i="51"/>
  <c r="G296" i="51"/>
  <c r="E295" i="51"/>
  <c r="G294" i="51"/>
  <c r="E293" i="51"/>
  <c r="G292" i="51"/>
  <c r="E291" i="51"/>
  <c r="G290" i="51"/>
  <c r="E289" i="51"/>
  <c r="G288" i="51"/>
  <c r="E287" i="51"/>
  <c r="G286" i="51"/>
  <c r="E285" i="51"/>
  <c r="G284" i="51"/>
  <c r="E283" i="51"/>
  <c r="G282" i="51"/>
  <c r="E281" i="51"/>
  <c r="G280" i="51"/>
  <c r="E279" i="51"/>
  <c r="G278" i="51"/>
  <c r="E277" i="51"/>
  <c r="G276" i="51"/>
  <c r="E275" i="51"/>
  <c r="G274" i="51"/>
  <c r="E273" i="51"/>
  <c r="G272" i="51"/>
  <c r="E271" i="51"/>
  <c r="G270" i="51"/>
  <c r="E269" i="51"/>
  <c r="G268" i="51"/>
  <c r="E267" i="51"/>
  <c r="G266" i="51"/>
  <c r="E265" i="51"/>
  <c r="G264" i="51"/>
  <c r="E263" i="51"/>
  <c r="G262" i="51"/>
  <c r="E261" i="51"/>
  <c r="G260" i="51"/>
  <c r="E259" i="51"/>
  <c r="G258" i="51"/>
  <c r="E257" i="51"/>
  <c r="G256" i="51"/>
  <c r="E255" i="51"/>
  <c r="G254" i="51"/>
  <c r="E253" i="51"/>
  <c r="G252" i="51"/>
  <c r="E251" i="51"/>
  <c r="G250" i="51"/>
  <c r="E249" i="51"/>
  <c r="G248" i="51"/>
  <c r="E247" i="51"/>
  <c r="G246" i="51"/>
  <c r="E245" i="51"/>
  <c r="G244" i="51"/>
  <c r="E243" i="51"/>
  <c r="G242" i="51"/>
  <c r="E241" i="51"/>
  <c r="G240" i="51"/>
  <c r="E239" i="51"/>
  <c r="G238" i="51"/>
  <c r="E237" i="51"/>
  <c r="G236" i="51"/>
  <c r="E235" i="51"/>
  <c r="G234" i="51"/>
  <c r="E233" i="51"/>
  <c r="G232" i="51"/>
  <c r="D375" i="51"/>
  <c r="B374" i="51"/>
  <c r="C374" i="51" s="1"/>
  <c r="F372" i="51"/>
  <c r="D371" i="51"/>
  <c r="B370" i="51"/>
  <c r="C370" i="51" s="1"/>
  <c r="F368" i="51"/>
  <c r="D367" i="51"/>
  <c r="B366" i="51"/>
  <c r="C366" i="51" s="1"/>
  <c r="F364" i="51"/>
  <c r="D363" i="51"/>
  <c r="B362" i="51"/>
  <c r="C362" i="51" s="1"/>
  <c r="F360" i="51"/>
  <c r="D359" i="51"/>
  <c r="B358" i="51"/>
  <c r="C358" i="51" s="1"/>
  <c r="F356" i="51"/>
  <c r="D355" i="51"/>
  <c r="B354" i="51"/>
  <c r="C354" i="51" s="1"/>
  <c r="F352" i="51"/>
  <c r="D351" i="51"/>
  <c r="B350" i="51"/>
  <c r="C350" i="51" s="1"/>
  <c r="F348" i="51"/>
  <c r="D347" i="51"/>
  <c r="B346" i="51"/>
  <c r="C346" i="51" s="1"/>
  <c r="F344" i="51"/>
  <c r="D343" i="51"/>
  <c r="B342" i="51"/>
  <c r="C342" i="51" s="1"/>
  <c r="F340" i="51"/>
  <c r="D339" i="51"/>
  <c r="B338" i="51"/>
  <c r="C338" i="51" s="1"/>
  <c r="F336" i="51"/>
  <c r="D335" i="51"/>
  <c r="B334" i="51"/>
  <c r="C334" i="51" s="1"/>
  <c r="F332" i="51"/>
  <c r="D331" i="51"/>
  <c r="B330" i="51"/>
  <c r="C330" i="51" s="1"/>
  <c r="F328" i="51"/>
  <c r="D327" i="51"/>
  <c r="B326" i="51"/>
  <c r="C326" i="51" s="1"/>
  <c r="F324" i="51"/>
  <c r="D323" i="51"/>
  <c r="B322" i="51"/>
  <c r="C322" i="51" s="1"/>
  <c r="F320" i="51"/>
  <c r="D319" i="51"/>
  <c r="E318" i="51"/>
  <c r="E317" i="51"/>
  <c r="F316" i="51"/>
  <c r="G315" i="51"/>
  <c r="G314" i="51"/>
  <c r="B314" i="51"/>
  <c r="C314" i="51" s="1"/>
  <c r="D311" i="51"/>
  <c r="F310" i="51"/>
  <c r="B310" i="51"/>
  <c r="C310" i="51" s="1"/>
  <c r="D309" i="51"/>
  <c r="F308" i="51"/>
  <c r="B308" i="51"/>
  <c r="C308" i="51" s="1"/>
  <c r="D307" i="51"/>
  <c r="F306" i="51"/>
  <c r="B306" i="51"/>
  <c r="C306" i="51" s="1"/>
  <c r="D305" i="51"/>
  <c r="F304" i="51"/>
  <c r="B304" i="51"/>
  <c r="C304" i="51" s="1"/>
  <c r="D303" i="51"/>
  <c r="F302" i="51"/>
  <c r="B302" i="51"/>
  <c r="C302" i="51" s="1"/>
  <c r="D301" i="51"/>
  <c r="F300" i="51"/>
  <c r="B300" i="51"/>
  <c r="C300" i="51" s="1"/>
  <c r="D299" i="51"/>
  <c r="F298" i="51"/>
  <c r="B298" i="51"/>
  <c r="C298" i="51" s="1"/>
  <c r="D297" i="51"/>
  <c r="F296" i="51"/>
  <c r="B296" i="51"/>
  <c r="C296" i="51" s="1"/>
  <c r="D295" i="51"/>
  <c r="F294" i="51"/>
  <c r="B294" i="51"/>
  <c r="C294" i="51" s="1"/>
  <c r="D293" i="51"/>
  <c r="F292" i="51"/>
  <c r="B292" i="51"/>
  <c r="C292" i="51" s="1"/>
  <c r="D291" i="51"/>
  <c r="F290" i="51"/>
  <c r="B290" i="51"/>
  <c r="C290" i="51" s="1"/>
  <c r="D289" i="51"/>
  <c r="F288" i="51"/>
  <c r="B288" i="51"/>
  <c r="C288" i="51" s="1"/>
  <c r="D287" i="51"/>
  <c r="F286" i="51"/>
  <c r="B286" i="51"/>
  <c r="C286" i="51" s="1"/>
  <c r="D285" i="51"/>
  <c r="F284" i="51"/>
  <c r="B284" i="51"/>
  <c r="C284" i="51" s="1"/>
  <c r="D283" i="51"/>
  <c r="F282" i="51"/>
  <c r="B282" i="51"/>
  <c r="C282" i="51" s="1"/>
  <c r="D281" i="51"/>
  <c r="F280" i="51"/>
  <c r="B280" i="51"/>
  <c r="C280" i="51" s="1"/>
  <c r="D279" i="51"/>
  <c r="F278" i="51"/>
  <c r="B278" i="51"/>
  <c r="C278" i="51" s="1"/>
  <c r="D277" i="51"/>
  <c r="F276" i="51"/>
  <c r="B276" i="51"/>
  <c r="C276" i="51" s="1"/>
  <c r="D275" i="51"/>
  <c r="F274" i="51"/>
  <c r="B274" i="51"/>
  <c r="C274" i="51" s="1"/>
  <c r="D273" i="51"/>
  <c r="F272" i="51"/>
  <c r="B272" i="51"/>
  <c r="C272" i="51" s="1"/>
  <c r="D271" i="51"/>
  <c r="F270" i="51"/>
  <c r="B270" i="51"/>
  <c r="C270" i="51" s="1"/>
  <c r="D269" i="51"/>
  <c r="F268" i="51"/>
  <c r="B268" i="51"/>
  <c r="C268" i="51" s="1"/>
  <c r="D267" i="51"/>
  <c r="F266" i="51"/>
  <c r="B266" i="51"/>
  <c r="C266" i="51" s="1"/>
  <c r="D265" i="51"/>
  <c r="F264" i="51"/>
  <c r="B264" i="51"/>
  <c r="C264" i="51" s="1"/>
  <c r="D263" i="51"/>
  <c r="F262" i="51"/>
  <c r="B262" i="51"/>
  <c r="C262" i="51" s="1"/>
  <c r="D261" i="51"/>
  <c r="F260" i="51"/>
  <c r="B260" i="51"/>
  <c r="C260" i="51" s="1"/>
  <c r="D259" i="51"/>
  <c r="F258" i="51"/>
  <c r="B258" i="51"/>
  <c r="C258" i="51" s="1"/>
  <c r="D257" i="51"/>
  <c r="G374" i="51"/>
  <c r="E373" i="51"/>
  <c r="G370" i="51"/>
  <c r="E369" i="51"/>
  <c r="G366" i="51"/>
  <c r="E365" i="51"/>
  <c r="G362" i="51"/>
  <c r="E361" i="51"/>
  <c r="G358" i="51"/>
  <c r="E357" i="51"/>
  <c r="G354" i="51"/>
  <c r="E353" i="51"/>
  <c r="G350" i="51"/>
  <c r="E349" i="51"/>
  <c r="G346" i="51"/>
  <c r="E345" i="51"/>
  <c r="G342" i="51"/>
  <c r="E341" i="51"/>
  <c r="G338" i="51"/>
  <c r="E337" i="51"/>
  <c r="G334" i="51"/>
  <c r="E333" i="51"/>
  <c r="G330" i="51"/>
  <c r="E329" i="51"/>
  <c r="G326" i="51"/>
  <c r="E325" i="51"/>
  <c r="G322" i="51"/>
  <c r="E321" i="51"/>
  <c r="D317" i="51"/>
  <c r="E316" i="51"/>
  <c r="E315" i="51"/>
  <c r="F314" i="51"/>
  <c r="G313" i="51"/>
  <c r="G312" i="51"/>
  <c r="B312" i="51"/>
  <c r="C312" i="51" s="1"/>
  <c r="E310" i="51"/>
  <c r="G309" i="51"/>
  <c r="E308" i="51"/>
  <c r="G307" i="51"/>
  <c r="E306" i="51"/>
  <c r="G305" i="51"/>
  <c r="E304" i="51"/>
  <c r="G303" i="51"/>
  <c r="E302" i="51"/>
  <c r="G301" i="51"/>
  <c r="E300" i="51"/>
  <c r="F374" i="51"/>
  <c r="D369" i="51"/>
  <c r="B364" i="51"/>
  <c r="C364" i="51" s="1"/>
  <c r="F358" i="51"/>
  <c r="D353" i="51"/>
  <c r="B348" i="51"/>
  <c r="C348" i="51" s="1"/>
  <c r="F342" i="51"/>
  <c r="D337" i="51"/>
  <c r="B332" i="51"/>
  <c r="C332" i="51" s="1"/>
  <c r="F326" i="51"/>
  <c r="D321" i="51"/>
  <c r="E313" i="51"/>
  <c r="D310" i="51"/>
  <c r="F307" i="51"/>
  <c r="B305" i="51"/>
  <c r="C305" i="51" s="1"/>
  <c r="D302" i="51"/>
  <c r="G299" i="51"/>
  <c r="E298" i="51"/>
  <c r="G295" i="51"/>
  <c r="E294" i="51"/>
  <c r="G291" i="51"/>
  <c r="E290" i="51"/>
  <c r="G287" i="51"/>
  <c r="E286" i="51"/>
  <c r="G283" i="51"/>
  <c r="E282" i="51"/>
  <c r="G279" i="51"/>
  <c r="E278" i="51"/>
  <c r="G275" i="51"/>
  <c r="E274" i="51"/>
  <c r="G271" i="51"/>
  <c r="E270" i="51"/>
  <c r="G267" i="51"/>
  <c r="E266" i="51"/>
  <c r="G263" i="51"/>
  <c r="E262" i="51"/>
  <c r="G259" i="51"/>
  <c r="E258" i="51"/>
  <c r="D256" i="51"/>
  <c r="D255" i="51"/>
  <c r="E254" i="51"/>
  <c r="F253" i="51"/>
  <c r="F252" i="51"/>
  <c r="G251" i="51"/>
  <c r="B251" i="51"/>
  <c r="C251" i="51" s="1"/>
  <c r="B250" i="51"/>
  <c r="C250" i="51" s="1"/>
  <c r="D248" i="51"/>
  <c r="D247" i="51"/>
  <c r="E246" i="51"/>
  <c r="F245" i="51"/>
  <c r="F244" i="51"/>
  <c r="G243" i="51"/>
  <c r="B243" i="51"/>
  <c r="C243" i="51" s="1"/>
  <c r="B242" i="51"/>
  <c r="C242" i="51" s="1"/>
  <c r="D240" i="51"/>
  <c r="D239" i="51"/>
  <c r="D373" i="51"/>
  <c r="B368" i="51"/>
  <c r="C368" i="51" s="1"/>
  <c r="F362" i="51"/>
  <c r="D357" i="51"/>
  <c r="B352" i="51"/>
  <c r="C352" i="51" s="1"/>
  <c r="F346" i="51"/>
  <c r="D341" i="51"/>
  <c r="B336" i="51"/>
  <c r="C336" i="51" s="1"/>
  <c r="F330" i="51"/>
  <c r="D325" i="51"/>
  <c r="B320" i="51"/>
  <c r="C320" i="51" s="1"/>
  <c r="F312" i="51"/>
  <c r="F309" i="51"/>
  <c r="B307" i="51"/>
  <c r="C307" i="51" s="1"/>
  <c r="D304" i="51"/>
  <c r="F301" i="51"/>
  <c r="F299" i="51"/>
  <c r="D298" i="51"/>
  <c r="B297" i="51"/>
  <c r="C297" i="51" s="1"/>
  <c r="F295" i="51"/>
  <c r="D294" i="51"/>
  <c r="B293" i="51"/>
  <c r="C293" i="51" s="1"/>
  <c r="F291" i="51"/>
  <c r="D290" i="51"/>
  <c r="B289" i="51"/>
  <c r="C289" i="51" s="1"/>
  <c r="F287" i="51"/>
  <c r="D286" i="51"/>
  <c r="B285" i="51"/>
  <c r="C285" i="51" s="1"/>
  <c r="F283" i="51"/>
  <c r="D282" i="51"/>
  <c r="B281" i="51"/>
  <c r="C281" i="51" s="1"/>
  <c r="F279" i="51"/>
  <c r="D278" i="51"/>
  <c r="B277" i="51"/>
  <c r="C277" i="51" s="1"/>
  <c r="F275" i="51"/>
  <c r="D274" i="51"/>
  <c r="B273" i="51"/>
  <c r="C273" i="51" s="1"/>
  <c r="F271" i="51"/>
  <c r="D270" i="51"/>
  <c r="B269" i="51"/>
  <c r="C269" i="51" s="1"/>
  <c r="F267" i="51"/>
  <c r="D266" i="51"/>
  <c r="B265" i="51"/>
  <c r="C265" i="51" s="1"/>
  <c r="F263" i="51"/>
  <c r="D262" i="51"/>
  <c r="B261" i="51"/>
  <c r="C261" i="51" s="1"/>
  <c r="F259" i="51"/>
  <c r="D258" i="51"/>
  <c r="B257" i="51"/>
  <c r="C257" i="51" s="1"/>
  <c r="B256" i="51"/>
  <c r="C256" i="51" s="1"/>
  <c r="B372" i="51"/>
  <c r="C372" i="51" s="1"/>
  <c r="F366" i="51"/>
  <c r="D361" i="51"/>
  <c r="B356" i="51"/>
  <c r="C356" i="51" s="1"/>
  <c r="F350" i="51"/>
  <c r="D345" i="51"/>
  <c r="B340" i="51"/>
  <c r="C340" i="51" s="1"/>
  <c r="F334" i="51"/>
  <c r="D329" i="51"/>
  <c r="B324" i="51"/>
  <c r="C324" i="51" s="1"/>
  <c r="G318" i="51"/>
  <c r="D315" i="51"/>
  <c r="G311" i="51"/>
  <c r="B309" i="51"/>
  <c r="C309" i="51" s="1"/>
  <c r="D306" i="51"/>
  <c r="F303" i="51"/>
  <c r="B301" i="51"/>
  <c r="C301" i="51" s="1"/>
  <c r="G297" i="51"/>
  <c r="E296" i="51"/>
  <c r="G293" i="51"/>
  <c r="E292" i="51"/>
  <c r="G289" i="51"/>
  <c r="E288" i="51"/>
  <c r="G285" i="51"/>
  <c r="E284" i="51"/>
  <c r="G281" i="51"/>
  <c r="E280" i="51"/>
  <c r="G277" i="51"/>
  <c r="E276" i="51"/>
  <c r="G273" i="51"/>
  <c r="E272" i="51"/>
  <c r="G269" i="51"/>
  <c r="E268" i="51"/>
  <c r="G265" i="51"/>
  <c r="E264" i="51"/>
  <c r="G261" i="51"/>
  <c r="E260" i="51"/>
  <c r="G257" i="51"/>
  <c r="F256" i="51"/>
  <c r="G255" i="51"/>
  <c r="B255" i="51"/>
  <c r="C255" i="51" s="1"/>
  <c r="B254" i="51"/>
  <c r="C254" i="51" s="1"/>
  <c r="D252" i="51"/>
  <c r="D251" i="51"/>
  <c r="E250" i="51"/>
  <c r="F249" i="51"/>
  <c r="F248" i="51"/>
  <c r="G247" i="51"/>
  <c r="B247" i="51"/>
  <c r="C247" i="51" s="1"/>
  <c r="B246" i="51"/>
  <c r="C246" i="51" s="1"/>
  <c r="D244" i="51"/>
  <c r="D243" i="51"/>
  <c r="E242" i="51"/>
  <c r="F241" i="51"/>
  <c r="F240" i="51"/>
  <c r="G239" i="51"/>
  <c r="B239" i="51"/>
  <c r="C239" i="51" s="1"/>
  <c r="B238" i="51"/>
  <c r="C238" i="51" s="1"/>
  <c r="D236" i="51"/>
  <c r="D235" i="51"/>
  <c r="E234" i="51"/>
  <c r="F233" i="51"/>
  <c r="F232" i="51"/>
  <c r="B232" i="51"/>
  <c r="C232" i="51" s="1"/>
  <c r="D231" i="51"/>
  <c r="F230" i="51"/>
  <c r="B230" i="51"/>
  <c r="C230" i="51" s="1"/>
  <c r="D229" i="51"/>
  <c r="F228" i="51"/>
  <c r="B228" i="51"/>
  <c r="C228" i="51" s="1"/>
  <c r="D227" i="51"/>
  <c r="F370" i="51"/>
  <c r="D349" i="51"/>
  <c r="B328" i="51"/>
  <c r="C328" i="51" s="1"/>
  <c r="B311" i="51"/>
  <c r="C311" i="51" s="1"/>
  <c r="D300" i="51"/>
  <c r="B295" i="51"/>
  <c r="C295" i="51" s="1"/>
  <c r="F289" i="51"/>
  <c r="D284" i="51"/>
  <c r="B279" i="51"/>
  <c r="C279" i="51" s="1"/>
  <c r="F273" i="51"/>
  <c r="D268" i="51"/>
  <c r="B263" i="51"/>
  <c r="C263" i="51" s="1"/>
  <c r="F257" i="51"/>
  <c r="D254" i="51"/>
  <c r="E252" i="51"/>
  <c r="F250" i="51"/>
  <c r="B249" i="51"/>
  <c r="C249" i="51" s="1"/>
  <c r="D245" i="51"/>
  <c r="F243" i="51"/>
  <c r="G241" i="51"/>
  <c r="B240" i="51"/>
  <c r="C240" i="51" s="1"/>
  <c r="E238" i="51"/>
  <c r="D237" i="51"/>
  <c r="B236" i="51"/>
  <c r="C236" i="51" s="1"/>
  <c r="B235" i="51"/>
  <c r="C235" i="51" s="1"/>
  <c r="G233" i="51"/>
  <c r="E232" i="51"/>
  <c r="F231" i="51"/>
  <c r="G230" i="51"/>
  <c r="G229" i="51"/>
  <c r="B229" i="51"/>
  <c r="C229" i="51" s="1"/>
  <c r="E226" i="51"/>
  <c r="G225" i="51"/>
  <c r="E224" i="51"/>
  <c r="G223" i="51"/>
  <c r="E222" i="51"/>
  <c r="G221" i="51"/>
  <c r="E220" i="51"/>
  <c r="G219" i="51"/>
  <c r="E218" i="51"/>
  <c r="G217" i="51"/>
  <c r="E216" i="51"/>
  <c r="G215" i="51"/>
  <c r="E214" i="51"/>
  <c r="G213" i="51"/>
  <c r="E212" i="51"/>
  <c r="G211" i="51"/>
  <c r="E210" i="51"/>
  <c r="G209" i="51"/>
  <c r="E208" i="51"/>
  <c r="G207" i="51"/>
  <c r="E206" i="51"/>
  <c r="G205" i="51"/>
  <c r="E204" i="51"/>
  <c r="G203" i="51"/>
  <c r="E202" i="51"/>
  <c r="G201" i="51"/>
  <c r="E200" i="51"/>
  <c r="G199" i="51"/>
  <c r="E198" i="51"/>
  <c r="G197" i="51"/>
  <c r="E196" i="51"/>
  <c r="G195" i="51"/>
  <c r="E194" i="51"/>
  <c r="G193" i="51"/>
  <c r="E192" i="51"/>
  <c r="G191" i="51"/>
  <c r="E190" i="51"/>
  <c r="G189" i="51"/>
  <c r="E188" i="51"/>
  <c r="G187" i="51"/>
  <c r="E186" i="51"/>
  <c r="G185" i="51"/>
  <c r="E184" i="51"/>
  <c r="G183" i="51"/>
  <c r="E182" i="51"/>
  <c r="G181" i="51"/>
  <c r="E180" i="51"/>
  <c r="G179" i="51"/>
  <c r="E178" i="51"/>
  <c r="G177" i="51"/>
  <c r="E176" i="51"/>
  <c r="G175" i="51"/>
  <c r="E174" i="51"/>
  <c r="G173" i="51"/>
  <c r="E172" i="51"/>
  <c r="G171" i="51"/>
  <c r="E170" i="51"/>
  <c r="G169" i="51"/>
  <c r="E168" i="51"/>
  <c r="G167" i="51"/>
  <c r="E166" i="51"/>
  <c r="G165" i="51"/>
  <c r="E164" i="51"/>
  <c r="G163" i="51"/>
  <c r="E162" i="51"/>
  <c r="G161" i="51"/>
  <c r="E160" i="51"/>
  <c r="G159" i="51"/>
  <c r="E158" i="51"/>
  <c r="G157" i="51"/>
  <c r="E156" i="51"/>
  <c r="G155" i="51"/>
  <c r="E154" i="51"/>
  <c r="G153" i="51"/>
  <c r="E152" i="51"/>
  <c r="G151" i="51"/>
  <c r="E150" i="51"/>
  <c r="G149" i="51"/>
  <c r="E148" i="51"/>
  <c r="G147" i="51"/>
  <c r="E146" i="51"/>
  <c r="G145" i="51"/>
  <c r="E144" i="51"/>
  <c r="G143" i="51"/>
  <c r="E142" i="51"/>
  <c r="G141" i="51"/>
  <c r="E140" i="51"/>
  <c r="G139" i="51"/>
  <c r="E138" i="51"/>
  <c r="G137" i="51"/>
  <c r="E136" i="51"/>
  <c r="G135" i="51"/>
  <c r="E134" i="51"/>
  <c r="G133" i="51"/>
  <c r="E132" i="51"/>
  <c r="G131" i="51"/>
  <c r="E130" i="51"/>
  <c r="G129" i="51"/>
  <c r="E128" i="51"/>
  <c r="G127" i="51"/>
  <c r="E126" i="51"/>
  <c r="G125" i="51"/>
  <c r="E124" i="51"/>
  <c r="G123" i="51"/>
  <c r="E122" i="51"/>
  <c r="G121" i="51"/>
  <c r="E120" i="51"/>
  <c r="G119" i="51"/>
  <c r="E118" i="51"/>
  <c r="G117" i="51"/>
  <c r="E116" i="51"/>
  <c r="G115" i="51"/>
  <c r="E114" i="51"/>
  <c r="G113" i="51"/>
  <c r="E112" i="51"/>
  <c r="G111" i="51"/>
  <c r="E110" i="51"/>
  <c r="G109" i="51"/>
  <c r="E108" i="51"/>
  <c r="G107" i="51"/>
  <c r="E106" i="51"/>
  <c r="G105" i="51"/>
  <c r="E104" i="51"/>
  <c r="G103" i="51"/>
  <c r="E102" i="51"/>
  <c r="G101" i="51"/>
  <c r="E100" i="51"/>
  <c r="G99" i="51"/>
  <c r="E98" i="51"/>
  <c r="G97" i="51"/>
  <c r="D365" i="51"/>
  <c r="B344" i="51"/>
  <c r="C344" i="51" s="1"/>
  <c r="F322" i="51"/>
  <c r="D308" i="51"/>
  <c r="B299" i="51"/>
  <c r="C299" i="51" s="1"/>
  <c r="F293" i="51"/>
  <c r="D288" i="51"/>
  <c r="B283" i="51"/>
  <c r="C283" i="51" s="1"/>
  <c r="F277" i="51"/>
  <c r="D272" i="51"/>
  <c r="B267" i="51"/>
  <c r="C267" i="51" s="1"/>
  <c r="F261" i="51"/>
  <c r="E256" i="51"/>
  <c r="G253" i="51"/>
  <c r="B252" i="51"/>
  <c r="C252" i="51" s="1"/>
  <c r="D250" i="51"/>
  <c r="E248" i="51"/>
  <c r="F246" i="51"/>
  <c r="B245" i="51"/>
  <c r="C245" i="51" s="1"/>
  <c r="D241" i="51"/>
  <c r="F239" i="51"/>
  <c r="D238" i="51"/>
  <c r="B237" i="51"/>
  <c r="C237" i="51" s="1"/>
  <c r="G235" i="51"/>
  <c r="F234" i="51"/>
  <c r="D233" i="51"/>
  <c r="D232" i="51"/>
  <c r="E231" i="51"/>
  <c r="E230" i="51"/>
  <c r="F229" i="51"/>
  <c r="G228" i="51"/>
  <c r="G227" i="51"/>
  <c r="B227" i="51"/>
  <c r="C227" i="51" s="1"/>
  <c r="D226" i="51"/>
  <c r="F225" i="51"/>
  <c r="B225" i="51"/>
  <c r="C225" i="51" s="1"/>
  <c r="D224" i="51"/>
  <c r="F223" i="51"/>
  <c r="B223" i="51"/>
  <c r="C223" i="51" s="1"/>
  <c r="D222" i="51"/>
  <c r="F221" i="51"/>
  <c r="B221" i="51"/>
  <c r="C221" i="51" s="1"/>
  <c r="D220" i="51"/>
  <c r="F219" i="51"/>
  <c r="B219" i="51"/>
  <c r="C219" i="51" s="1"/>
  <c r="D218" i="51"/>
  <c r="F217" i="51"/>
  <c r="B217" i="51"/>
  <c r="C217" i="51" s="1"/>
  <c r="D216" i="51"/>
  <c r="F215" i="51"/>
  <c r="B215" i="51"/>
  <c r="C215" i="51" s="1"/>
  <c r="D214" i="51"/>
  <c r="F213" i="51"/>
  <c r="B213" i="51"/>
  <c r="C213" i="51" s="1"/>
  <c r="D212" i="51"/>
  <c r="F211" i="51"/>
  <c r="B211" i="51"/>
  <c r="C211" i="51" s="1"/>
  <c r="D210" i="51"/>
  <c r="F209" i="51"/>
  <c r="B209" i="51"/>
  <c r="C209" i="51" s="1"/>
  <c r="D208" i="51"/>
  <c r="F207" i="51"/>
  <c r="B207" i="51"/>
  <c r="C207" i="51" s="1"/>
  <c r="D206" i="51"/>
  <c r="F205" i="51"/>
  <c r="B205" i="51"/>
  <c r="C205" i="51" s="1"/>
  <c r="D204" i="51"/>
  <c r="F203" i="51"/>
  <c r="B203" i="51"/>
  <c r="C203" i="51" s="1"/>
  <c r="D202" i="51"/>
  <c r="F201" i="51"/>
  <c r="B201" i="51"/>
  <c r="C201" i="51" s="1"/>
  <c r="D200" i="51"/>
  <c r="F199" i="51"/>
  <c r="B199" i="51"/>
  <c r="C199" i="51" s="1"/>
  <c r="D198" i="51"/>
  <c r="F197" i="51"/>
  <c r="B197" i="51"/>
  <c r="C197" i="51" s="1"/>
  <c r="D196" i="51"/>
  <c r="F195" i="51"/>
  <c r="B195" i="51"/>
  <c r="C195" i="51" s="1"/>
  <c r="D194" i="51"/>
  <c r="F193" i="51"/>
  <c r="B193" i="51"/>
  <c r="C193" i="51" s="1"/>
  <c r="D192" i="51"/>
  <c r="F191" i="51"/>
  <c r="B191" i="51"/>
  <c r="C191" i="51" s="1"/>
  <c r="D190" i="51"/>
  <c r="F189" i="51"/>
  <c r="B189" i="51"/>
  <c r="C189" i="51" s="1"/>
  <c r="D188" i="51"/>
  <c r="F187" i="51"/>
  <c r="B187" i="51"/>
  <c r="C187" i="51" s="1"/>
  <c r="D186" i="51"/>
  <c r="F185" i="51"/>
  <c r="B185" i="51"/>
  <c r="C185" i="51" s="1"/>
  <c r="D184" i="51"/>
  <c r="F183" i="51"/>
  <c r="B183" i="51"/>
  <c r="C183" i="51" s="1"/>
  <c r="D182" i="51"/>
  <c r="F181" i="51"/>
  <c r="B181" i="51"/>
  <c r="C181" i="51" s="1"/>
  <c r="D180" i="51"/>
  <c r="F179" i="51"/>
  <c r="B179" i="51"/>
  <c r="C179" i="51" s="1"/>
  <c r="D178" i="51"/>
  <c r="F177" i="51"/>
  <c r="B177" i="51"/>
  <c r="C177" i="51" s="1"/>
  <c r="D176" i="51"/>
  <c r="F175" i="51"/>
  <c r="B175" i="51"/>
  <c r="C175" i="51" s="1"/>
  <c r="D174" i="51"/>
  <c r="F173" i="51"/>
  <c r="B173" i="51"/>
  <c r="C173" i="51" s="1"/>
  <c r="D172" i="51"/>
  <c r="F171" i="51"/>
  <c r="B171" i="51"/>
  <c r="C171" i="51" s="1"/>
  <c r="D170" i="51"/>
  <c r="F169" i="51"/>
  <c r="B169" i="51"/>
  <c r="C169" i="51" s="1"/>
  <c r="D168" i="51"/>
  <c r="F167" i="51"/>
  <c r="B167" i="51"/>
  <c r="C167" i="51" s="1"/>
  <c r="D166" i="51"/>
  <c r="F165" i="51"/>
  <c r="B165" i="51"/>
  <c r="C165" i="51" s="1"/>
  <c r="B360" i="51"/>
  <c r="C360" i="51" s="1"/>
  <c r="F338" i="51"/>
  <c r="B318" i="51"/>
  <c r="C318" i="51" s="1"/>
  <c r="F305" i="51"/>
  <c r="F297" i="51"/>
  <c r="D292" i="51"/>
  <c r="B287" i="51"/>
  <c r="C287" i="51" s="1"/>
  <c r="F281" i="51"/>
  <c r="D276" i="51"/>
  <c r="B271" i="51"/>
  <c r="C271" i="51" s="1"/>
  <c r="F265" i="51"/>
  <c r="D260" i="51"/>
  <c r="F255" i="51"/>
  <c r="D253" i="51"/>
  <c r="F251" i="51"/>
  <c r="G249" i="51"/>
  <c r="B248" i="51"/>
  <c r="C248" i="51" s="1"/>
  <c r="D246" i="51"/>
  <c r="E244" i="51"/>
  <c r="F242" i="51"/>
  <c r="B241" i="51"/>
  <c r="C241" i="51" s="1"/>
  <c r="G237" i="51"/>
  <c r="F236" i="51"/>
  <c r="F235" i="51"/>
  <c r="D234" i="51"/>
  <c r="D230" i="51"/>
  <c r="E229" i="51"/>
  <c r="E228" i="51"/>
  <c r="F227" i="51"/>
  <c r="G226" i="51"/>
  <c r="E225" i="51"/>
  <c r="G224" i="51"/>
  <c r="E223" i="51"/>
  <c r="G222" i="51"/>
  <c r="E221" i="51"/>
  <c r="G220" i="51"/>
  <c r="E219" i="51"/>
  <c r="G218" i="51"/>
  <c r="E217" i="51"/>
  <c r="G216" i="51"/>
  <c r="E215" i="51"/>
  <c r="G214" i="51"/>
  <c r="E213" i="51"/>
  <c r="G212" i="51"/>
  <c r="E211" i="51"/>
  <c r="G210" i="51"/>
  <c r="E209" i="51"/>
  <c r="G208" i="51"/>
  <c r="E207" i="51"/>
  <c r="G206" i="51"/>
  <c r="E205" i="51"/>
  <c r="G204" i="51"/>
  <c r="E203" i="51"/>
  <c r="G202" i="51"/>
  <c r="E201" i="51"/>
  <c r="G200" i="51"/>
  <c r="E199" i="51"/>
  <c r="G198" i="51"/>
  <c r="E197" i="51"/>
  <c r="G196" i="51"/>
  <c r="E195" i="51"/>
  <c r="G194" i="51"/>
  <c r="E193" i="51"/>
  <c r="G192" i="51"/>
  <c r="E191" i="51"/>
  <c r="G190" i="51"/>
  <c r="E189" i="51"/>
  <c r="G188" i="51"/>
  <c r="E187" i="51"/>
  <c r="G186" i="51"/>
  <c r="E185" i="51"/>
  <c r="G184" i="51"/>
  <c r="E183" i="51"/>
  <c r="G182" i="51"/>
  <c r="E181" i="51"/>
  <c r="G180" i="51"/>
  <c r="E179" i="51"/>
  <c r="G178" i="51"/>
  <c r="E177" i="51"/>
  <c r="G176" i="51"/>
  <c r="E175" i="51"/>
  <c r="G174" i="51"/>
  <c r="E173" i="51"/>
  <c r="G172" i="51"/>
  <c r="E171" i="51"/>
  <c r="G170" i="51"/>
  <c r="E169" i="51"/>
  <c r="G168" i="51"/>
  <c r="E167" i="51"/>
  <c r="G166" i="51"/>
  <c r="E165" i="51"/>
  <c r="G164" i="51"/>
  <c r="E163" i="51"/>
  <c r="G162" i="51"/>
  <c r="E161" i="51"/>
  <c r="G160" i="51"/>
  <c r="E159" i="51"/>
  <c r="G158" i="51"/>
  <c r="E157" i="51"/>
  <c r="G156" i="51"/>
  <c r="E155" i="51"/>
  <c r="G154" i="51"/>
  <c r="E153" i="51"/>
  <c r="G152" i="51"/>
  <c r="E151" i="51"/>
  <c r="G150" i="51"/>
  <c r="E149" i="51"/>
  <c r="G148" i="51"/>
  <c r="E147" i="51"/>
  <c r="G146" i="51"/>
  <c r="E145" i="51"/>
  <c r="G144" i="51"/>
  <c r="E143" i="51"/>
  <c r="G142" i="51"/>
  <c r="E141" i="51"/>
  <c r="G140" i="51"/>
  <c r="E139" i="51"/>
  <c r="G138" i="51"/>
  <c r="E137" i="51"/>
  <c r="G136" i="51"/>
  <c r="F354" i="51"/>
  <c r="D333" i="51"/>
  <c r="E314" i="51"/>
  <c r="B303" i="51"/>
  <c r="C303" i="51" s="1"/>
  <c r="D296" i="51"/>
  <c r="B291" i="51"/>
  <c r="C291" i="51" s="1"/>
  <c r="F285" i="51"/>
  <c r="D280" i="51"/>
  <c r="B275" i="51"/>
  <c r="C275" i="51" s="1"/>
  <c r="F269" i="51"/>
  <c r="D264" i="51"/>
  <c r="B259" i="51"/>
  <c r="C259" i="51" s="1"/>
  <c r="F254" i="51"/>
  <c r="B253" i="51"/>
  <c r="C253" i="51" s="1"/>
  <c r="D249" i="51"/>
  <c r="F247" i="51"/>
  <c r="G245" i="51"/>
  <c r="B244" i="51"/>
  <c r="C244" i="51" s="1"/>
  <c r="D242" i="51"/>
  <c r="E240" i="51"/>
  <c r="F238" i="51"/>
  <c r="F237" i="51"/>
  <c r="E236" i="51"/>
  <c r="B234" i="51"/>
  <c r="C234" i="51" s="1"/>
  <c r="B233" i="51"/>
  <c r="C233" i="51" s="1"/>
  <c r="G231" i="51"/>
  <c r="B231" i="51"/>
  <c r="C231" i="51" s="1"/>
  <c r="D228" i="51"/>
  <c r="E227" i="51"/>
  <c r="F226" i="51"/>
  <c r="B226" i="51"/>
  <c r="C226" i="51" s="1"/>
  <c r="D225" i="51"/>
  <c r="F224" i="51"/>
  <c r="B224" i="51"/>
  <c r="C224" i="51" s="1"/>
  <c r="D223" i="51"/>
  <c r="F222" i="51"/>
  <c r="B222" i="51"/>
  <c r="C222" i="51" s="1"/>
  <c r="D221" i="51"/>
  <c r="F220" i="51"/>
  <c r="B220" i="51"/>
  <c r="C220" i="51" s="1"/>
  <c r="D219" i="51"/>
  <c r="F218" i="51"/>
  <c r="B218" i="51"/>
  <c r="C218" i="51" s="1"/>
  <c r="D217" i="51"/>
  <c r="F216" i="51"/>
  <c r="B216" i="51"/>
  <c r="C216" i="51" s="1"/>
  <c r="D215" i="51"/>
  <c r="F214" i="51"/>
  <c r="B214" i="51"/>
  <c r="C214" i="51" s="1"/>
  <c r="D213" i="51"/>
  <c r="F212" i="51"/>
  <c r="B212" i="51"/>
  <c r="C212" i="51" s="1"/>
  <c r="D211" i="51"/>
  <c r="F210" i="51"/>
  <c r="B210" i="51"/>
  <c r="C210" i="51" s="1"/>
  <c r="D209" i="51"/>
  <c r="F208" i="51"/>
  <c r="B208" i="51"/>
  <c r="C208" i="51" s="1"/>
  <c r="D207" i="51"/>
  <c r="F206" i="51"/>
  <c r="B206" i="51"/>
  <c r="C206" i="51" s="1"/>
  <c r="D205" i="51"/>
  <c r="F204" i="51"/>
  <c r="B204" i="51"/>
  <c r="C204" i="51" s="1"/>
  <c r="D203" i="51"/>
  <c r="F202" i="51"/>
  <c r="B202" i="51"/>
  <c r="C202" i="51" s="1"/>
  <c r="D201" i="51"/>
  <c r="F200" i="51"/>
  <c r="B200" i="51"/>
  <c r="C200" i="51" s="1"/>
  <c r="D199" i="51"/>
  <c r="F198" i="51"/>
  <c r="B198" i="51"/>
  <c r="C198" i="51" s="1"/>
  <c r="D197" i="51"/>
  <c r="F196" i="51"/>
  <c r="B196" i="51"/>
  <c r="C196" i="51" s="1"/>
  <c r="D195" i="51"/>
  <c r="F194" i="51"/>
  <c r="B192" i="51"/>
  <c r="C192" i="51" s="1"/>
  <c r="D189" i="51"/>
  <c r="F186" i="51"/>
  <c r="B184" i="51"/>
  <c r="C184" i="51" s="1"/>
  <c r="D181" i="51"/>
  <c r="F178" i="51"/>
  <c r="B176" i="51"/>
  <c r="C176" i="51" s="1"/>
  <c r="D173" i="51"/>
  <c r="F170" i="51"/>
  <c r="B168" i="51"/>
  <c r="C168" i="51" s="1"/>
  <c r="D165" i="51"/>
  <c r="F163" i="51"/>
  <c r="D162" i="51"/>
  <c r="B161" i="51"/>
  <c r="C161" i="51" s="1"/>
  <c r="F159" i="51"/>
  <c r="D158" i="51"/>
  <c r="B157" i="51"/>
  <c r="C157" i="51" s="1"/>
  <c r="F155" i="51"/>
  <c r="D154" i="51"/>
  <c r="B153" i="51"/>
  <c r="C153" i="51" s="1"/>
  <c r="F151" i="51"/>
  <c r="D150" i="51"/>
  <c r="B149" i="51"/>
  <c r="C149" i="51" s="1"/>
  <c r="F147" i="51"/>
  <c r="D146" i="51"/>
  <c r="B145" i="51"/>
  <c r="C145" i="51" s="1"/>
  <c r="F143" i="51"/>
  <c r="D142" i="51"/>
  <c r="B141" i="51"/>
  <c r="C141" i="51" s="1"/>
  <c r="F139" i="51"/>
  <c r="D138" i="51"/>
  <c r="B137" i="51"/>
  <c r="C137" i="51" s="1"/>
  <c r="F135" i="51"/>
  <c r="G134" i="51"/>
  <c r="B134" i="51"/>
  <c r="C134" i="51" s="1"/>
  <c r="B133" i="51"/>
  <c r="C133" i="51" s="1"/>
  <c r="D131" i="51"/>
  <c r="D130" i="51"/>
  <c r="E129" i="51"/>
  <c r="F128" i="51"/>
  <c r="F127" i="51"/>
  <c r="G126" i="51"/>
  <c r="B126" i="51"/>
  <c r="C126" i="51" s="1"/>
  <c r="B125" i="51"/>
  <c r="C125" i="51" s="1"/>
  <c r="D123" i="51"/>
  <c r="D122" i="51"/>
  <c r="E121" i="51"/>
  <c r="F120" i="51"/>
  <c r="F119" i="51"/>
  <c r="G118" i="51"/>
  <c r="B118" i="51"/>
  <c r="C118" i="51" s="1"/>
  <c r="B117" i="51"/>
  <c r="C117" i="51" s="1"/>
  <c r="D115" i="51"/>
  <c r="D114" i="51"/>
  <c r="E113" i="51"/>
  <c r="F112" i="51"/>
  <c r="F111" i="51"/>
  <c r="G110" i="51"/>
  <c r="B110" i="51"/>
  <c r="C110" i="51" s="1"/>
  <c r="B109" i="51"/>
  <c r="C109" i="51" s="1"/>
  <c r="D107" i="51"/>
  <c r="D106" i="51"/>
  <c r="E105" i="51"/>
  <c r="F104" i="51"/>
  <c r="F103" i="51"/>
  <c r="G102" i="51"/>
  <c r="B102" i="51"/>
  <c r="C102" i="51" s="1"/>
  <c r="B101" i="51"/>
  <c r="C101" i="51" s="1"/>
  <c r="D99" i="51"/>
  <c r="D98" i="51"/>
  <c r="E97" i="51"/>
  <c r="G96" i="51"/>
  <c r="E95" i="51"/>
  <c r="G94" i="51"/>
  <c r="E93" i="51"/>
  <c r="G92" i="51"/>
  <c r="E91" i="51"/>
  <c r="G90" i="51"/>
  <c r="E89" i="51"/>
  <c r="G88" i="51"/>
  <c r="E87" i="51"/>
  <c r="G86" i="51"/>
  <c r="E85" i="51"/>
  <c r="G84" i="51"/>
  <c r="E83" i="51"/>
  <c r="G82" i="51"/>
  <c r="E81" i="51"/>
  <c r="G80" i="51"/>
  <c r="E79" i="51"/>
  <c r="G78" i="51"/>
  <c r="E77" i="51"/>
  <c r="G76" i="51"/>
  <c r="E75" i="51"/>
  <c r="G74" i="51"/>
  <c r="E73" i="51"/>
  <c r="G72" i="51"/>
  <c r="E71" i="51"/>
  <c r="G70" i="51"/>
  <c r="E69" i="51"/>
  <c r="G68" i="51"/>
  <c r="E67" i="51"/>
  <c r="G66" i="51"/>
  <c r="E65" i="51"/>
  <c r="G64" i="51"/>
  <c r="E63" i="51"/>
  <c r="G62" i="51"/>
  <c r="E61" i="51"/>
  <c r="G60" i="51"/>
  <c r="E59" i="51"/>
  <c r="G58" i="51"/>
  <c r="E57" i="51"/>
  <c r="G56" i="51"/>
  <c r="B56" i="51"/>
  <c r="C56" i="51" s="1"/>
  <c r="D54" i="51"/>
  <c r="F53" i="51"/>
  <c r="G52" i="51"/>
  <c r="B52" i="51"/>
  <c r="C52" i="51" s="1"/>
  <c r="D50" i="51"/>
  <c r="F49" i="51"/>
  <c r="G48" i="51"/>
  <c r="B48" i="51"/>
  <c r="C48" i="51" s="1"/>
  <c r="D46" i="51"/>
  <c r="F45" i="51"/>
  <c r="G44" i="51"/>
  <c r="B44" i="51"/>
  <c r="C44" i="51" s="1"/>
  <c r="D42" i="51"/>
  <c r="F41" i="51"/>
  <c r="G40" i="51"/>
  <c r="E39" i="51"/>
  <c r="G38" i="51"/>
  <c r="E37" i="51"/>
  <c r="G36" i="51"/>
  <c r="E35" i="51"/>
  <c r="G34" i="51"/>
  <c r="E33" i="51"/>
  <c r="B194" i="51"/>
  <c r="C194" i="51" s="1"/>
  <c r="D191" i="51"/>
  <c r="F188" i="51"/>
  <c r="B186" i="51"/>
  <c r="C186" i="51" s="1"/>
  <c r="D183" i="51"/>
  <c r="F180" i="51"/>
  <c r="B178" i="51"/>
  <c r="C178" i="51" s="1"/>
  <c r="D175" i="51"/>
  <c r="F172" i="51"/>
  <c r="B170" i="51"/>
  <c r="C170" i="51" s="1"/>
  <c r="D167" i="51"/>
  <c r="F164" i="51"/>
  <c r="D163" i="51"/>
  <c r="B162" i="51"/>
  <c r="C162" i="51" s="1"/>
  <c r="F160" i="51"/>
  <c r="D159" i="51"/>
  <c r="B158" i="51"/>
  <c r="C158" i="51" s="1"/>
  <c r="F156" i="51"/>
  <c r="D155" i="51"/>
  <c r="B154" i="51"/>
  <c r="C154" i="51" s="1"/>
  <c r="F152" i="51"/>
  <c r="D151" i="51"/>
  <c r="B150" i="51"/>
  <c r="C150" i="51" s="1"/>
  <c r="F148" i="51"/>
  <c r="D147" i="51"/>
  <c r="B146" i="51"/>
  <c r="C146" i="51" s="1"/>
  <c r="F144" i="51"/>
  <c r="D143" i="51"/>
  <c r="B142" i="51"/>
  <c r="C142" i="51" s="1"/>
  <c r="F140" i="51"/>
  <c r="D139" i="51"/>
  <c r="B138" i="51"/>
  <c r="C138" i="51" s="1"/>
  <c r="F136" i="51"/>
  <c r="E135" i="51"/>
  <c r="F134" i="51"/>
  <c r="F133" i="51"/>
  <c r="G132" i="51"/>
  <c r="B132" i="51"/>
  <c r="C132" i="51" s="1"/>
  <c r="B131" i="51"/>
  <c r="C131" i="51" s="1"/>
  <c r="D129" i="51"/>
  <c r="D128" i="51"/>
  <c r="E127" i="51"/>
  <c r="F126" i="51"/>
  <c r="F125" i="51"/>
  <c r="G124" i="51"/>
  <c r="B124" i="51"/>
  <c r="C124" i="51" s="1"/>
  <c r="B123" i="51"/>
  <c r="C123" i="51" s="1"/>
  <c r="D121" i="51"/>
  <c r="D120" i="51"/>
  <c r="E119" i="51"/>
  <c r="F118" i="51"/>
  <c r="F117" i="51"/>
  <c r="G116" i="51"/>
  <c r="B116" i="51"/>
  <c r="C116" i="51" s="1"/>
  <c r="B115" i="51"/>
  <c r="C115" i="51" s="1"/>
  <c r="D113" i="51"/>
  <c r="D112" i="51"/>
  <c r="E111" i="51"/>
  <c r="F110" i="51"/>
  <c r="F109" i="51"/>
  <c r="G108" i="51"/>
  <c r="B108" i="51"/>
  <c r="C108" i="51" s="1"/>
  <c r="B107" i="51"/>
  <c r="C107" i="51" s="1"/>
  <c r="D105" i="51"/>
  <c r="D104" i="51"/>
  <c r="E103" i="51"/>
  <c r="F102" i="51"/>
  <c r="F101" i="51"/>
  <c r="G100" i="51"/>
  <c r="B100" i="51"/>
  <c r="C100" i="51" s="1"/>
  <c r="B99" i="51"/>
  <c r="C99" i="51" s="1"/>
  <c r="D97" i="51"/>
  <c r="F96" i="51"/>
  <c r="B96" i="51"/>
  <c r="C96" i="51" s="1"/>
  <c r="D95" i="51"/>
  <c r="F94" i="51"/>
  <c r="B94" i="51"/>
  <c r="C94" i="51" s="1"/>
  <c r="D93" i="51"/>
  <c r="F92" i="51"/>
  <c r="B92" i="51"/>
  <c r="C92" i="51" s="1"/>
  <c r="D91" i="51"/>
  <c r="F90" i="51"/>
  <c r="B90" i="51"/>
  <c r="C90" i="51" s="1"/>
  <c r="D89" i="51"/>
  <c r="F88" i="51"/>
  <c r="B88" i="51"/>
  <c r="C88" i="51" s="1"/>
  <c r="D87" i="51"/>
  <c r="F86" i="51"/>
  <c r="B86" i="51"/>
  <c r="C86" i="51" s="1"/>
  <c r="D85" i="51"/>
  <c r="F84" i="51"/>
  <c r="B84" i="51"/>
  <c r="C84" i="51" s="1"/>
  <c r="D83" i="51"/>
  <c r="F82" i="51"/>
  <c r="B82" i="51"/>
  <c r="C82" i="51" s="1"/>
  <c r="D81" i="51"/>
  <c r="F80" i="51"/>
  <c r="B80" i="51"/>
  <c r="C80" i="51" s="1"/>
  <c r="D79" i="51"/>
  <c r="F78" i="51"/>
  <c r="B78" i="51"/>
  <c r="C78" i="51" s="1"/>
  <c r="D77" i="51"/>
  <c r="F76" i="51"/>
  <c r="B76" i="51"/>
  <c r="C76" i="51" s="1"/>
  <c r="D75" i="51"/>
  <c r="F74" i="51"/>
  <c r="B74" i="51"/>
  <c r="C74" i="51" s="1"/>
  <c r="D73" i="51"/>
  <c r="F72" i="51"/>
  <c r="B72" i="51"/>
  <c r="C72" i="51" s="1"/>
  <c r="D71" i="51"/>
  <c r="F70" i="51"/>
  <c r="B70" i="51"/>
  <c r="C70" i="51" s="1"/>
  <c r="D69" i="51"/>
  <c r="F68" i="51"/>
  <c r="B68" i="51"/>
  <c r="C68" i="51" s="1"/>
  <c r="D67" i="51"/>
  <c r="F66" i="51"/>
  <c r="B66" i="51"/>
  <c r="C66" i="51" s="1"/>
  <c r="D65" i="51"/>
  <c r="F64" i="51"/>
  <c r="B64" i="51"/>
  <c r="C64" i="51" s="1"/>
  <c r="D63" i="51"/>
  <c r="F62" i="51"/>
  <c r="B62" i="51"/>
  <c r="C62" i="51" s="1"/>
  <c r="D61" i="51"/>
  <c r="F60" i="51"/>
  <c r="B60" i="51"/>
  <c r="C60" i="51" s="1"/>
  <c r="D59" i="51"/>
  <c r="F58" i="51"/>
  <c r="B58" i="51"/>
  <c r="C58" i="51" s="1"/>
  <c r="D57" i="51"/>
  <c r="F56" i="51"/>
  <c r="G55" i="51"/>
  <c r="B55" i="51"/>
  <c r="C55" i="51" s="1"/>
  <c r="D53" i="51"/>
  <c r="F52" i="51"/>
  <c r="G51" i="51"/>
  <c r="B51" i="51"/>
  <c r="C51" i="51" s="1"/>
  <c r="D49" i="51"/>
  <c r="F48" i="51"/>
  <c r="G47" i="51"/>
  <c r="B47" i="51"/>
  <c r="C47" i="51" s="1"/>
  <c r="D45" i="51"/>
  <c r="F44" i="51"/>
  <c r="G43" i="51"/>
  <c r="B43" i="51"/>
  <c r="C43" i="51" s="1"/>
  <c r="D41" i="51"/>
  <c r="F40" i="51"/>
  <c r="B40" i="51"/>
  <c r="C40" i="51" s="1"/>
  <c r="D39" i="51"/>
  <c r="F38" i="51"/>
  <c r="B38" i="51"/>
  <c r="C38" i="51" s="1"/>
  <c r="D37" i="51"/>
  <c r="F36" i="51"/>
  <c r="B36" i="51"/>
  <c r="C36" i="51" s="1"/>
  <c r="D35" i="51"/>
  <c r="F34" i="51"/>
  <c r="B34" i="51"/>
  <c r="C34" i="51" s="1"/>
  <c r="D33" i="51"/>
  <c r="F32" i="51"/>
  <c r="D193" i="51"/>
  <c r="F192" i="51"/>
  <c r="D187" i="51"/>
  <c r="B182" i="51"/>
  <c r="C182" i="51" s="1"/>
  <c r="F176" i="51"/>
  <c r="D171" i="51"/>
  <c r="B166" i="51"/>
  <c r="C166" i="51" s="1"/>
  <c r="F162" i="51"/>
  <c r="B160" i="51"/>
  <c r="C160" i="51" s="1"/>
  <c r="D157" i="51"/>
  <c r="F154" i="51"/>
  <c r="B152" i="51"/>
  <c r="C152" i="51" s="1"/>
  <c r="D149" i="51"/>
  <c r="F146" i="51"/>
  <c r="B144" i="51"/>
  <c r="C144" i="51" s="1"/>
  <c r="D141" i="51"/>
  <c r="F138" i="51"/>
  <c r="B136" i="51"/>
  <c r="C136" i="51" s="1"/>
  <c r="D132" i="51"/>
  <c r="F130" i="51"/>
  <c r="G128" i="51"/>
  <c r="B127" i="51"/>
  <c r="C127" i="51" s="1"/>
  <c r="D125" i="51"/>
  <c r="E123" i="51"/>
  <c r="F121" i="51"/>
  <c r="B120" i="51"/>
  <c r="C120" i="51" s="1"/>
  <c r="D116" i="51"/>
  <c r="F114" i="51"/>
  <c r="G112" i="51"/>
  <c r="B111" i="51"/>
  <c r="C111" i="51" s="1"/>
  <c r="D109" i="51"/>
  <c r="E107" i="51"/>
  <c r="F105" i="51"/>
  <c r="B104" i="51"/>
  <c r="C104" i="51" s="1"/>
  <c r="D100" i="51"/>
  <c r="F98" i="51"/>
  <c r="B97" i="51"/>
  <c r="C97" i="51" s="1"/>
  <c r="F95" i="51"/>
  <c r="D94" i="51"/>
  <c r="B93" i="51"/>
  <c r="C93" i="51" s="1"/>
  <c r="F91" i="51"/>
  <c r="D90" i="51"/>
  <c r="B89" i="51"/>
  <c r="C89" i="51" s="1"/>
  <c r="F87" i="51"/>
  <c r="D86" i="51"/>
  <c r="B85" i="51"/>
  <c r="C85" i="51" s="1"/>
  <c r="F83" i="51"/>
  <c r="D82" i="51"/>
  <c r="B81" i="51"/>
  <c r="C81" i="51" s="1"/>
  <c r="F79" i="51"/>
  <c r="D78" i="51"/>
  <c r="B77" i="51"/>
  <c r="C77" i="51" s="1"/>
  <c r="F75" i="51"/>
  <c r="D74" i="51"/>
  <c r="B73" i="51"/>
  <c r="C73" i="51" s="1"/>
  <c r="F71" i="51"/>
  <c r="D70" i="51"/>
  <c r="B69" i="51"/>
  <c r="C69" i="51" s="1"/>
  <c r="F67" i="51"/>
  <c r="D66" i="51"/>
  <c r="B65" i="51"/>
  <c r="C65" i="51" s="1"/>
  <c r="F63" i="51"/>
  <c r="D62" i="51"/>
  <c r="B61" i="51"/>
  <c r="C61" i="51" s="1"/>
  <c r="F59" i="51"/>
  <c r="D58" i="51"/>
  <c r="B57" i="51"/>
  <c r="C57" i="51" s="1"/>
  <c r="D55" i="51"/>
  <c r="G53" i="51"/>
  <c r="F50" i="51"/>
  <c r="B49" i="51"/>
  <c r="C49" i="51" s="1"/>
  <c r="D47" i="51"/>
  <c r="G45" i="51"/>
  <c r="F42" i="51"/>
  <c r="B41" i="51"/>
  <c r="C41" i="51" s="1"/>
  <c r="F39" i="51"/>
  <c r="D38" i="51"/>
  <c r="B37" i="51"/>
  <c r="C37" i="51" s="1"/>
  <c r="F35" i="51"/>
  <c r="D34" i="51"/>
  <c r="B33" i="51"/>
  <c r="C33" i="51" s="1"/>
  <c r="E31" i="51"/>
  <c r="B28" i="51"/>
  <c r="B24" i="51"/>
  <c r="B20" i="51"/>
  <c r="B16" i="51"/>
  <c r="B188" i="51"/>
  <c r="C188" i="51" s="1"/>
  <c r="F182" i="51"/>
  <c r="D177" i="51"/>
  <c r="B172" i="51"/>
  <c r="C172" i="51" s="1"/>
  <c r="F166" i="51"/>
  <c r="B163" i="51"/>
  <c r="C163" i="51" s="1"/>
  <c r="D160" i="51"/>
  <c r="F157" i="51"/>
  <c r="B155" i="51"/>
  <c r="C155" i="51" s="1"/>
  <c r="D152" i="51"/>
  <c r="F149" i="51"/>
  <c r="B147" i="51"/>
  <c r="C147" i="51" s="1"/>
  <c r="D144" i="51"/>
  <c r="F141" i="51"/>
  <c r="B139" i="51"/>
  <c r="C139" i="51" s="1"/>
  <c r="D136" i="51"/>
  <c r="D134" i="51"/>
  <c r="F132" i="51"/>
  <c r="G130" i="51"/>
  <c r="B129" i="51"/>
  <c r="C129" i="51" s="1"/>
  <c r="D127" i="51"/>
  <c r="E125" i="51"/>
  <c r="F123" i="51"/>
  <c r="B122" i="51"/>
  <c r="C122" i="51" s="1"/>
  <c r="D118" i="51"/>
  <c r="F116" i="51"/>
  <c r="G114" i="51"/>
  <c r="B113" i="51"/>
  <c r="C113" i="51" s="1"/>
  <c r="D111" i="51"/>
  <c r="E109" i="51"/>
  <c r="F107" i="51"/>
  <c r="B106" i="51"/>
  <c r="C106" i="51" s="1"/>
  <c r="D102" i="51"/>
  <c r="F100" i="51"/>
  <c r="G98" i="51"/>
  <c r="G95" i="51"/>
  <c r="E94" i="51"/>
  <c r="G91" i="51"/>
  <c r="E90" i="51"/>
  <c r="G87" i="51"/>
  <c r="E86" i="51"/>
  <c r="G83" i="51"/>
  <c r="E82" i="51"/>
  <c r="G79" i="51"/>
  <c r="E78" i="51"/>
  <c r="G75" i="51"/>
  <c r="E74" i="51"/>
  <c r="G71" i="51"/>
  <c r="E70" i="51"/>
  <c r="G67" i="51"/>
  <c r="E66" i="51"/>
  <c r="G63" i="51"/>
  <c r="E62" i="51"/>
  <c r="G59" i="51"/>
  <c r="E58" i="51"/>
  <c r="F55" i="51"/>
  <c r="B54" i="51"/>
  <c r="C54" i="51" s="1"/>
  <c r="D52" i="51"/>
  <c r="G50" i="51"/>
  <c r="F47" i="51"/>
  <c r="B46" i="51"/>
  <c r="C46" i="51" s="1"/>
  <c r="D44" i="51"/>
  <c r="G42" i="51"/>
  <c r="G39" i="51"/>
  <c r="E38" i="51"/>
  <c r="G35" i="51"/>
  <c r="E34" i="51"/>
  <c r="D32" i="51"/>
  <c r="F31" i="51"/>
  <c r="B31" i="51"/>
  <c r="C31" i="51" s="1"/>
  <c r="B27" i="51"/>
  <c r="B23" i="51"/>
  <c r="B19" i="51"/>
  <c r="F190" i="51"/>
  <c r="D185" i="51"/>
  <c r="B180" i="51"/>
  <c r="C180" i="51" s="1"/>
  <c r="F174" i="51"/>
  <c r="D169" i="51"/>
  <c r="D164" i="51"/>
  <c r="F161" i="51"/>
  <c r="B159" i="51"/>
  <c r="C159" i="51" s="1"/>
  <c r="D156" i="51"/>
  <c r="F153" i="51"/>
  <c r="B151" i="51"/>
  <c r="C151" i="51" s="1"/>
  <c r="D148" i="51"/>
  <c r="F145" i="51"/>
  <c r="B143" i="51"/>
  <c r="C143" i="51" s="1"/>
  <c r="D140" i="51"/>
  <c r="F137" i="51"/>
  <c r="D135" i="51"/>
  <c r="E133" i="51"/>
  <c r="F131" i="51"/>
  <c r="B130" i="51"/>
  <c r="C130" i="51" s="1"/>
  <c r="D126" i="51"/>
  <c r="F124" i="51"/>
  <c r="G122" i="51"/>
  <c r="B121" i="51"/>
  <c r="C121" i="51" s="1"/>
  <c r="D119" i="51"/>
  <c r="E117" i="51"/>
  <c r="F115" i="51"/>
  <c r="B114" i="51"/>
  <c r="C114" i="51" s="1"/>
  <c r="D110" i="51"/>
  <c r="F108" i="51"/>
  <c r="G106" i="51"/>
  <c r="B105" i="51"/>
  <c r="C105" i="51" s="1"/>
  <c r="D103" i="51"/>
  <c r="E101" i="51"/>
  <c r="F99" i="51"/>
  <c r="B98" i="51"/>
  <c r="C98" i="51" s="1"/>
  <c r="E96" i="51"/>
  <c r="G93" i="51"/>
  <c r="E92" i="51"/>
  <c r="G89" i="51"/>
  <c r="E88" i="51"/>
  <c r="G85" i="51"/>
  <c r="E84" i="51"/>
  <c r="G81" i="51"/>
  <c r="E80" i="51"/>
  <c r="G77" i="51"/>
  <c r="E76" i="51"/>
  <c r="G73" i="51"/>
  <c r="E72" i="51"/>
  <c r="G69" i="51"/>
  <c r="E68" i="51"/>
  <c r="G65" i="51"/>
  <c r="E64" i="51"/>
  <c r="G61" i="51"/>
  <c r="E60" i="51"/>
  <c r="G57" i="51"/>
  <c r="D56" i="51"/>
  <c r="G54" i="51"/>
  <c r="F51" i="51"/>
  <c r="B50" i="51"/>
  <c r="C50" i="51" s="1"/>
  <c r="D48" i="51"/>
  <c r="G46" i="51"/>
  <c r="F43" i="51"/>
  <c r="B42" i="51"/>
  <c r="C42" i="51" s="1"/>
  <c r="E40" i="51"/>
  <c r="G37" i="51"/>
  <c r="E36" i="51"/>
  <c r="G33" i="51"/>
  <c r="G32" i="51"/>
  <c r="B32" i="51"/>
  <c r="C32" i="51" s="1"/>
  <c r="D31" i="51"/>
  <c r="B29" i="51"/>
  <c r="B25" i="51"/>
  <c r="B21" i="51"/>
  <c r="B17" i="51"/>
  <c r="B190" i="51"/>
  <c r="C190" i="51" s="1"/>
  <c r="F184" i="51"/>
  <c r="D179" i="51"/>
  <c r="B174" i="51"/>
  <c r="C174" i="51" s="1"/>
  <c r="F168" i="51"/>
  <c r="B164" i="51"/>
  <c r="C164" i="51" s="1"/>
  <c r="D161" i="51"/>
  <c r="F158" i="51"/>
  <c r="B156" i="51"/>
  <c r="C156" i="51" s="1"/>
  <c r="D153" i="51"/>
  <c r="F150" i="51"/>
  <c r="B148" i="51"/>
  <c r="C148" i="51" s="1"/>
  <c r="D145" i="51"/>
  <c r="F142" i="51"/>
  <c r="B140" i="51"/>
  <c r="C140" i="51" s="1"/>
  <c r="D137" i="51"/>
  <c r="B135" i="51"/>
  <c r="C135" i="51" s="1"/>
  <c r="D133" i="51"/>
  <c r="E131" i="51"/>
  <c r="F129" i="51"/>
  <c r="B128" i="51"/>
  <c r="C128" i="51" s="1"/>
  <c r="D124" i="51"/>
  <c r="F122" i="51"/>
  <c r="G120" i="51"/>
  <c r="B119" i="51"/>
  <c r="C119" i="51" s="1"/>
  <c r="D117" i="51"/>
  <c r="E115" i="51"/>
  <c r="F113" i="51"/>
  <c r="B112" i="51"/>
  <c r="C112" i="51" s="1"/>
  <c r="D108" i="51"/>
  <c r="F106" i="51"/>
  <c r="G104" i="51"/>
  <c r="B103" i="51"/>
  <c r="C103" i="51" s="1"/>
  <c r="D101" i="51"/>
  <c r="E99" i="51"/>
  <c r="F97" i="51"/>
  <c r="D96" i="51"/>
  <c r="B95" i="51"/>
  <c r="C95" i="51" s="1"/>
  <c r="F93" i="51"/>
  <c r="D92" i="51"/>
  <c r="B91" i="51"/>
  <c r="C91" i="51" s="1"/>
  <c r="F89" i="51"/>
  <c r="D88" i="51"/>
  <c r="B87" i="51"/>
  <c r="C87" i="51" s="1"/>
  <c r="F85" i="51"/>
  <c r="D84" i="51"/>
  <c r="B83" i="51"/>
  <c r="C83" i="51" s="1"/>
  <c r="F81" i="51"/>
  <c r="D80" i="51"/>
  <c r="B79" i="51"/>
  <c r="C79" i="51" s="1"/>
  <c r="F77" i="51"/>
  <c r="D76" i="51"/>
  <c r="B75" i="51"/>
  <c r="C75" i="51" s="1"/>
  <c r="F73" i="51"/>
  <c r="D72" i="51"/>
  <c r="B71" i="51"/>
  <c r="C71" i="51" s="1"/>
  <c r="F69" i="51"/>
  <c r="D68" i="51"/>
  <c r="B67" i="51"/>
  <c r="C67" i="51" s="1"/>
  <c r="F65" i="51"/>
  <c r="D64" i="51"/>
  <c r="B63" i="51"/>
  <c r="C63" i="51" s="1"/>
  <c r="F61" i="51"/>
  <c r="D60" i="51"/>
  <c r="B59" i="51"/>
  <c r="C59" i="51" s="1"/>
  <c r="F57" i="51"/>
  <c r="F54" i="51"/>
  <c r="B53" i="51"/>
  <c r="C53" i="51" s="1"/>
  <c r="D51" i="51"/>
  <c r="G49" i="51"/>
  <c r="F46" i="51"/>
  <c r="B45" i="51"/>
  <c r="C45" i="51" s="1"/>
  <c r="D43" i="51"/>
  <c r="G41" i="51"/>
  <c r="D40" i="51"/>
  <c r="B39" i="51"/>
  <c r="C39" i="51" s="1"/>
  <c r="F37" i="51"/>
  <c r="D36" i="51"/>
  <c r="B35" i="51"/>
  <c r="C35" i="51" s="1"/>
  <c r="F33" i="51"/>
  <c r="E32" i="51"/>
  <c r="G31" i="51"/>
  <c r="H30" i="51" s="1"/>
  <c r="B30" i="51"/>
  <c r="B26" i="51"/>
  <c r="B22" i="51"/>
  <c r="B18" i="51"/>
  <c r="J11" i="49"/>
  <c r="I14" i="49"/>
  <c r="I7" i="47"/>
  <c r="C25" i="49"/>
  <c r="C26" i="49" s="1"/>
  <c r="I5" i="47"/>
  <c r="I17" i="47"/>
  <c r="N13" i="49" s="1"/>
  <c r="I16" i="47"/>
  <c r="I8" i="47"/>
  <c r="H8" i="47"/>
  <c r="C6" i="47"/>
  <c r="G6" i="47"/>
  <c r="H7" i="47"/>
  <c r="H5" i="47"/>
  <c r="D23" i="49" l="1"/>
  <c r="E23" i="49"/>
  <c r="N17" i="49"/>
  <c r="O41" i="49" s="1"/>
  <c r="N18" i="49"/>
  <c r="E31" i="49"/>
  <c r="F28" i="49" s="1"/>
  <c r="D31" i="49"/>
  <c r="J14" i="49"/>
  <c r="S25" i="49"/>
  <c r="C27" i="49"/>
  <c r="S27" i="49" s="1"/>
  <c r="I13" i="49" s="1"/>
  <c r="J13" i="49" s="1"/>
  <c r="I12" i="49"/>
  <c r="S26" i="49"/>
  <c r="I6" i="47"/>
  <c r="H6" i="47"/>
  <c r="H9" i="47"/>
  <c r="I9" i="47"/>
  <c r="D24" i="49" l="1"/>
  <c r="S23" i="49"/>
  <c r="J41" i="49"/>
  <c r="D41" i="49"/>
  <c r="P41" i="49"/>
  <c r="R41" i="49"/>
  <c r="G4" i="51"/>
  <c r="C44" i="49"/>
  <c r="C51" i="49" s="1"/>
  <c r="F41" i="49"/>
  <c r="E41" i="49"/>
  <c r="K41" i="49"/>
  <c r="Q41" i="49"/>
  <c r="G41" i="49"/>
  <c r="L41" i="49"/>
  <c r="M41" i="49"/>
  <c r="N41" i="49"/>
  <c r="H41" i="49"/>
  <c r="I41" i="49"/>
  <c r="S31" i="49"/>
  <c r="E28" i="49"/>
  <c r="S28" i="49" s="1"/>
  <c r="J12" i="49"/>
  <c r="I16" i="49"/>
  <c r="J16" i="49" s="1"/>
  <c r="E17" i="51" l="1"/>
  <c r="D19" i="51"/>
  <c r="H14" i="51"/>
  <c r="E19" i="51"/>
  <c r="G40" i="49" s="1"/>
  <c r="E18" i="51"/>
  <c r="E16" i="51"/>
  <c r="D28" i="51"/>
  <c r="P39" i="49" s="1"/>
  <c r="D20" i="51"/>
  <c r="H39" i="49" s="1"/>
  <c r="G11" i="51"/>
  <c r="G13" i="51" s="1"/>
  <c r="G12" i="51" s="1"/>
  <c r="D27" i="51"/>
  <c r="O39" i="49" s="1"/>
  <c r="E27" i="51"/>
  <c r="O40" i="49" s="1"/>
  <c r="D17" i="51"/>
  <c r="E39" i="49" s="1"/>
  <c r="D21" i="51"/>
  <c r="I39" i="49" s="1"/>
  <c r="G39" i="49"/>
  <c r="E28" i="51"/>
  <c r="P40" i="49" s="1"/>
  <c r="P42" i="49" s="1"/>
  <c r="E25" i="51"/>
  <c r="M40" i="49" s="1"/>
  <c r="D16" i="51"/>
  <c r="C20" i="51"/>
  <c r="C29" i="51"/>
  <c r="C19" i="51"/>
  <c r="C25" i="51"/>
  <c r="D24" i="51"/>
  <c r="L39" i="49" s="1"/>
  <c r="D25" i="51"/>
  <c r="M39" i="49" s="1"/>
  <c r="D29" i="51"/>
  <c r="Q39" i="49" s="1"/>
  <c r="E23" i="51"/>
  <c r="K40" i="49" s="1"/>
  <c r="C26" i="51"/>
  <c r="C16" i="51"/>
  <c r="C28" i="51"/>
  <c r="D23" i="51"/>
  <c r="K39" i="49" s="1"/>
  <c r="E29" i="51"/>
  <c r="Q40" i="49" s="1"/>
  <c r="C17" i="51"/>
  <c r="C21" i="51"/>
  <c r="E22" i="51"/>
  <c r="J40" i="49" s="1"/>
  <c r="E30" i="51"/>
  <c r="R40" i="49" s="1"/>
  <c r="C30" i="51"/>
  <c r="C18" i="51"/>
  <c r="C23" i="51"/>
  <c r="C27" i="51"/>
  <c r="E20" i="51"/>
  <c r="D18" i="51"/>
  <c r="F39" i="49" s="1"/>
  <c r="D22" i="51"/>
  <c r="J39" i="49" s="1"/>
  <c r="J42" i="49" s="1"/>
  <c r="D26" i="51"/>
  <c r="N39" i="49" s="1"/>
  <c r="C24" i="51"/>
  <c r="D30" i="51"/>
  <c r="R39" i="49" s="1"/>
  <c r="E24" i="51"/>
  <c r="L40" i="49" s="1"/>
  <c r="C22" i="51"/>
  <c r="E21" i="51"/>
  <c r="E26" i="51"/>
  <c r="N40" i="49" s="1"/>
  <c r="S41" i="49"/>
  <c r="C52" i="49"/>
  <c r="L42" i="49" l="1"/>
  <c r="N42" i="49"/>
  <c r="R42" i="49"/>
  <c r="M42" i="49"/>
  <c r="G42" i="49"/>
  <c r="Q42" i="49"/>
  <c r="K42" i="49"/>
  <c r="F40" i="49"/>
  <c r="F42" i="49" s="1"/>
  <c r="G16" i="51"/>
  <c r="D39" i="49"/>
  <c r="S39" i="49" s="1"/>
  <c r="F16" i="51"/>
  <c r="F17" i="51" s="1"/>
  <c r="F18" i="51" s="1"/>
  <c r="F19" i="51" s="1"/>
  <c r="F20" i="51" s="1"/>
  <c r="F21" i="51" s="1"/>
  <c r="F22" i="51" s="1"/>
  <c r="F23" i="51" s="1"/>
  <c r="F24" i="51" s="1"/>
  <c r="F25" i="51" s="1"/>
  <c r="F26" i="51" s="1"/>
  <c r="F27" i="51" s="1"/>
  <c r="F28" i="51" s="1"/>
  <c r="F29" i="51" s="1"/>
  <c r="F30" i="51" s="1"/>
  <c r="D40" i="49"/>
  <c r="I40" i="49"/>
  <c r="I42" i="49" s="1"/>
  <c r="H40" i="49"/>
  <c r="H42" i="49" s="1"/>
  <c r="E40" i="49"/>
  <c r="E42" i="49" s="1"/>
  <c r="O42" i="49"/>
  <c r="S40" i="49" l="1"/>
  <c r="D42" i="49"/>
  <c r="D53" i="49" s="1"/>
  <c r="H15" i="51"/>
  <c r="G17" i="51"/>
  <c r="S42" i="49" l="1"/>
  <c r="D44" i="49"/>
  <c r="G18" i="51"/>
  <c r="H16" i="51"/>
  <c r="H17" i="51" l="1"/>
  <c r="G19" i="51"/>
  <c r="H18" i="51" l="1"/>
  <c r="G20" i="51"/>
  <c r="H19" i="51" l="1"/>
  <c r="G21" i="51"/>
  <c r="H20" i="51" l="1"/>
  <c r="G22" i="51"/>
  <c r="H21" i="51" l="1"/>
  <c r="G23" i="51"/>
  <c r="G24" i="51" l="1"/>
  <c r="H22" i="51"/>
  <c r="Q43" i="49"/>
  <c r="M43" i="49"/>
  <c r="I43" i="49"/>
  <c r="E43" i="49"/>
  <c r="F50" i="49"/>
  <c r="P43" i="49"/>
  <c r="L43" i="49"/>
  <c r="H43" i="49"/>
  <c r="E50" i="49"/>
  <c r="O43" i="49"/>
  <c r="K43" i="49"/>
  <c r="G43" i="49"/>
  <c r="D50" i="49"/>
  <c r="J43" i="49"/>
  <c r="F43" i="49"/>
  <c r="R43" i="49"/>
  <c r="N43" i="49"/>
  <c r="G50" i="49"/>
  <c r="H50" i="49"/>
  <c r="I50" i="49"/>
  <c r="J50" i="49"/>
  <c r="K50" i="49"/>
  <c r="L50" i="49"/>
  <c r="M50" i="49"/>
  <c r="N50" i="49"/>
  <c r="O50" i="49"/>
  <c r="P50" i="49"/>
  <c r="Q50" i="49"/>
  <c r="G25" i="51" l="1"/>
  <c r="H23" i="51"/>
  <c r="D51" i="49"/>
  <c r="S43" i="49"/>
  <c r="H24" i="51" l="1"/>
  <c r="G26" i="51"/>
  <c r="D52" i="49"/>
  <c r="G27" i="51" l="1"/>
  <c r="H25" i="51"/>
  <c r="G28" i="51" l="1"/>
  <c r="H26" i="51"/>
  <c r="H27" i="51" l="1"/>
  <c r="G29" i="51"/>
  <c r="G30" i="51" l="1"/>
  <c r="H29" i="51" s="1"/>
  <c r="H28" i="51"/>
  <c r="D26" i="21" l="1"/>
  <c r="E26" i="21"/>
  <c r="F26" i="21"/>
  <c r="G26" i="21"/>
  <c r="D31" i="21"/>
  <c r="E31" i="21"/>
  <c r="F31" i="21"/>
  <c r="G31" i="21"/>
  <c r="D34" i="21"/>
  <c r="E34" i="21"/>
  <c r="F34" i="21"/>
  <c r="G34" i="21"/>
  <c r="D35" i="21"/>
  <c r="E35" i="21"/>
  <c r="F35" i="21"/>
  <c r="G35" i="21"/>
  <c r="D36" i="21"/>
  <c r="E36" i="21"/>
  <c r="F36" i="21"/>
  <c r="G36" i="21"/>
  <c r="D37" i="21"/>
  <c r="E37" i="21"/>
  <c r="F37" i="21"/>
  <c r="G37" i="21"/>
  <c r="D38" i="21"/>
  <c r="E38" i="21"/>
  <c r="F38" i="21"/>
  <c r="G38" i="21"/>
  <c r="D39" i="21"/>
  <c r="E39" i="21"/>
  <c r="F39" i="21"/>
  <c r="G39" i="21"/>
  <c r="D40" i="21"/>
  <c r="E40" i="21"/>
  <c r="F40" i="21"/>
  <c r="G40" i="21"/>
  <c r="D41" i="21"/>
  <c r="E41" i="21"/>
  <c r="F41" i="21"/>
  <c r="G41" i="21"/>
  <c r="D42" i="21"/>
  <c r="E42" i="21"/>
  <c r="F42" i="21"/>
  <c r="G42" i="21"/>
  <c r="D43" i="21"/>
  <c r="E43" i="21"/>
  <c r="F43" i="21"/>
  <c r="G43" i="21"/>
  <c r="D13" i="21"/>
  <c r="D17" i="21" s="1"/>
  <c r="E13" i="21"/>
  <c r="E17" i="21" s="1"/>
  <c r="F13" i="21"/>
  <c r="F17" i="21" s="1"/>
  <c r="G13" i="21"/>
  <c r="G17" i="21" s="1"/>
  <c r="C26" i="21"/>
  <c r="C13" i="21"/>
  <c r="C34" i="21" l="1"/>
  <c r="C11" i="21" l="1"/>
  <c r="C10" i="21" s="1"/>
  <c r="C12" i="21"/>
  <c r="C29" i="21"/>
  <c r="C31" i="21"/>
  <c r="C43" i="21"/>
  <c r="C42" i="21"/>
  <c r="C41" i="21"/>
  <c r="C40" i="21"/>
  <c r="C39" i="21"/>
  <c r="C38" i="21"/>
  <c r="C37" i="21"/>
  <c r="C36" i="21"/>
  <c r="C35" i="21"/>
  <c r="C17" i="21" l="1"/>
  <c r="S43" i="21"/>
  <c r="R42" i="21"/>
  <c r="G7" i="21"/>
  <c r="F7" i="21"/>
  <c r="E7" i="21"/>
  <c r="D7" i="21"/>
  <c r="I4" i="21"/>
  <c r="Q42" i="21"/>
  <c r="Q43" i="21"/>
  <c r="Q40" i="21"/>
  <c r="Q44" i="21"/>
  <c r="Q26" i="21"/>
  <c r="R40" i="21"/>
  <c r="N17" i="21"/>
  <c r="Q41" i="21"/>
  <c r="G29" i="21" l="1"/>
  <c r="G32" i="21"/>
  <c r="G33" i="21"/>
  <c r="D29" i="21"/>
  <c r="D32" i="21"/>
  <c r="D33" i="21"/>
  <c r="E29" i="21"/>
  <c r="E32" i="21"/>
  <c r="E33" i="21"/>
  <c r="F29" i="21"/>
  <c r="F32" i="21"/>
  <c r="F33" i="21"/>
  <c r="G11" i="21"/>
  <c r="G10" i="21" s="1"/>
  <c r="G12" i="21"/>
  <c r="F11" i="21"/>
  <c r="F12" i="21"/>
  <c r="E11" i="21"/>
  <c r="N43" i="21" s="1"/>
  <c r="E12" i="21"/>
  <c r="D11" i="21"/>
  <c r="D10" i="21" s="1"/>
  <c r="D12" i="21"/>
  <c r="R44" i="21"/>
  <c r="R43" i="21"/>
  <c r="R41" i="21"/>
  <c r="R26" i="21"/>
  <c r="S44" i="21"/>
  <c r="S41" i="21"/>
  <c r="S40" i="21"/>
  <c r="S26" i="21"/>
  <c r="S42" i="21"/>
  <c r="C33" i="21"/>
  <c r="C32" i="21"/>
  <c r="P26" i="21" l="1"/>
  <c r="N40" i="21"/>
  <c r="O44" i="21"/>
  <c r="F10" i="21"/>
  <c r="N41" i="21"/>
  <c r="E10" i="21"/>
  <c r="P40" i="21"/>
  <c r="O26" i="21"/>
  <c r="O42" i="21"/>
  <c r="N44" i="21"/>
  <c r="O40" i="21"/>
  <c r="D15" i="21"/>
  <c r="D16" i="21"/>
  <c r="D19" i="21" s="1"/>
  <c r="E15" i="21"/>
  <c r="E16" i="21"/>
  <c r="E19" i="21" s="1"/>
  <c r="G16" i="21"/>
  <c r="G19" i="21" s="1"/>
  <c r="G15" i="21"/>
  <c r="F15" i="21"/>
  <c r="F16" i="21"/>
  <c r="F19" i="21" s="1"/>
  <c r="O43" i="21"/>
  <c r="O41" i="21"/>
  <c r="N12" i="21"/>
  <c r="P43" i="21"/>
  <c r="P41" i="21"/>
  <c r="P42" i="21"/>
  <c r="P44" i="21"/>
  <c r="N13" i="21"/>
  <c r="N42" i="21"/>
  <c r="N26" i="21"/>
  <c r="C16" i="21"/>
  <c r="C19" i="21" s="1"/>
  <c r="C15" i="21"/>
  <c r="E20" i="21" l="1"/>
  <c r="E48" i="21" s="1"/>
  <c r="N16" i="21"/>
  <c r="G20" i="21"/>
  <c r="D20" i="21"/>
  <c r="F20" i="21"/>
  <c r="C20" i="21"/>
  <c r="C22" i="21" s="1"/>
  <c r="C27" i="21" s="1"/>
  <c r="E22" i="21" l="1"/>
  <c r="E27" i="21" s="1"/>
  <c r="E25" i="21" s="1"/>
  <c r="E47" i="21" s="1"/>
  <c r="E49" i="21" s="1"/>
  <c r="E51" i="21" s="1"/>
  <c r="D48" i="21"/>
  <c r="D22" i="21"/>
  <c r="D27" i="21" s="1"/>
  <c r="D25" i="21" s="1"/>
  <c r="D47" i="21" s="1"/>
  <c r="F22" i="21"/>
  <c r="F27" i="21" s="1"/>
  <c r="F25" i="21" s="1"/>
  <c r="F47" i="21" s="1"/>
  <c r="F48" i="21"/>
  <c r="G48" i="21"/>
  <c r="G22" i="21"/>
  <c r="G27" i="21" s="1"/>
  <c r="G25" i="21" s="1"/>
  <c r="G47" i="21" s="1"/>
  <c r="C48" i="21"/>
  <c r="C25" i="21"/>
  <c r="C47" i="21" s="1"/>
  <c r="E50" i="21" l="1"/>
  <c r="E52" i="21"/>
  <c r="D49" i="21"/>
  <c r="D51" i="21" s="1"/>
  <c r="G20" i="49"/>
  <c r="F49" i="21"/>
  <c r="G49" i="21"/>
  <c r="C49" i="21"/>
  <c r="C51" i="21" s="1"/>
  <c r="D50" i="21" l="1"/>
  <c r="E20" i="49"/>
  <c r="G29" i="49"/>
  <c r="G44" i="49" s="1"/>
  <c r="G24" i="49"/>
  <c r="G53" i="49"/>
  <c r="F20" i="49"/>
  <c r="G51" i="21"/>
  <c r="G52" i="21" s="1"/>
  <c r="F51" i="21"/>
  <c r="G50" i="21"/>
  <c r="F50" i="21"/>
  <c r="D52" i="21"/>
  <c r="C50" i="21"/>
  <c r="C52" i="21"/>
  <c r="E29" i="49" l="1"/>
  <c r="E44" i="49" s="1"/>
  <c r="E24" i="49"/>
  <c r="E53" i="49"/>
  <c r="H20" i="49"/>
  <c r="F29" i="49"/>
  <c r="F44" i="49" s="1"/>
  <c r="F24" i="49"/>
  <c r="F53" i="49"/>
  <c r="G51" i="49"/>
  <c r="I20" i="49"/>
  <c r="F52" i="21"/>
  <c r="E51" i="49" l="1"/>
  <c r="E52" i="49" s="1"/>
  <c r="F51" i="49"/>
  <c r="H29" i="49"/>
  <c r="H44" i="49" s="1"/>
  <c r="H24" i="49"/>
  <c r="H53" i="49"/>
  <c r="J20" i="49"/>
  <c r="I24" i="49"/>
  <c r="I29" i="49"/>
  <c r="I53" i="49"/>
  <c r="F52" i="49" l="1"/>
  <c r="G52" i="49" s="1"/>
  <c r="H51" i="49"/>
  <c r="I44" i="49"/>
  <c r="K20" i="49"/>
  <c r="J24" i="49"/>
  <c r="J29" i="49"/>
  <c r="J44" i="49" s="1"/>
  <c r="J53" i="49"/>
  <c r="J51" i="49" l="1"/>
  <c r="H52" i="49"/>
  <c r="I51" i="49"/>
  <c r="L20" i="49"/>
  <c r="K29" i="49"/>
  <c r="K44" i="49" s="1"/>
  <c r="K24" i="49"/>
  <c r="K53" i="49"/>
  <c r="I52" i="49" l="1"/>
  <c r="J52" i="49" s="1"/>
  <c r="K51" i="49"/>
  <c r="L29" i="49"/>
  <c r="L44" i="49" s="1"/>
  <c r="M20" i="49"/>
  <c r="L24" i="49"/>
  <c r="L53" i="49"/>
  <c r="K52" i="49" l="1"/>
  <c r="L51" i="49"/>
  <c r="M24" i="49"/>
  <c r="M29" i="49"/>
  <c r="N20" i="49"/>
  <c r="M53" i="49"/>
  <c r="L52" i="49" l="1"/>
  <c r="N29" i="49"/>
  <c r="N44" i="49" s="1"/>
  <c r="N24" i="49"/>
  <c r="O20" i="49"/>
  <c r="N53" i="49"/>
  <c r="M44" i="49"/>
  <c r="N51" i="49" l="1"/>
  <c r="M51" i="49"/>
  <c r="O29" i="49"/>
  <c r="P20" i="49"/>
  <c r="O24" i="49"/>
  <c r="O53" i="49"/>
  <c r="M52" i="49" l="1"/>
  <c r="N52" i="49" s="1"/>
  <c r="Q20" i="49"/>
  <c r="P29" i="49"/>
  <c r="P44" i="49" s="1"/>
  <c r="P24" i="49"/>
  <c r="P53" i="49"/>
  <c r="O44" i="49"/>
  <c r="P51" i="49" l="1"/>
  <c r="Q29" i="49"/>
  <c r="Q44" i="49" s="1"/>
  <c r="R20" i="49"/>
  <c r="Q53" i="49"/>
  <c r="Q24" i="49"/>
  <c r="Q51" i="49" l="1"/>
  <c r="R29" i="49"/>
  <c r="R24" i="49"/>
  <c r="R53" i="49"/>
  <c r="S20" i="49"/>
  <c r="D17" i="49" l="1"/>
  <c r="S24" i="49"/>
  <c r="R44" i="49"/>
  <c r="S44" i="49" s="1"/>
  <c r="S29" i="49"/>
  <c r="O45" i="49" l="1"/>
  <c r="O51" i="49" s="1"/>
  <c r="O52" i="49" s="1"/>
  <c r="P52" i="49" s="1"/>
  <c r="Q52" i="49" s="1"/>
  <c r="R45" i="49"/>
  <c r="I17" i="49"/>
  <c r="D11" i="49"/>
  <c r="R49" i="49" l="1"/>
  <c r="S49" i="49" s="1"/>
  <c r="R48" i="49"/>
  <c r="S48" i="49" s="1"/>
  <c r="R47" i="49"/>
  <c r="S47" i="49" s="1"/>
  <c r="S45" i="49"/>
  <c r="R50" i="49" s="1"/>
  <c r="S50" i="49" s="1"/>
  <c r="R51" i="49" l="1"/>
  <c r="R52" i="49" l="1"/>
  <c r="C57" i="49" s="1"/>
  <c r="H21" i="47" s="1"/>
  <c r="C56" i="49"/>
  <c r="C55" i="49"/>
  <c r="H20" i="47" s="1"/>
  <c r="S51" i="49"/>
  <c r="B31" i="56" l="1"/>
  <c r="B6" i="56"/>
  <c r="A34" i="56"/>
  <c r="A9" i="56"/>
</calcChain>
</file>

<file path=xl/sharedStrings.xml><?xml version="1.0" encoding="utf-8"?>
<sst xmlns="http://schemas.openxmlformats.org/spreadsheetml/2006/main" count="225" uniqueCount="190">
  <si>
    <t>Inflation</t>
  </si>
  <si>
    <t>KPI</t>
  </si>
  <si>
    <t>Maintenance</t>
  </si>
  <si>
    <t>Bar &amp; Snacking</t>
  </si>
  <si>
    <t>EBIDAR</t>
  </si>
  <si>
    <t/>
  </si>
  <si>
    <t>Calculateur de prêts</t>
  </si>
  <si>
    <t>Cette feuille de calcul peut vous aider à calculer le coût d'un prêt. Entrez vos valeurs dans les cases jaunes, en remplaçant les exemples qui s'y trouvent. Le résultat sera affiché dans les cases vertes.
Cette feuille est verrouillée pour protéger les formules qui serviront à calculer vos résultats. Pour déverrouiller la feuille, sélectionnez Protection dans le menu Outils, puis cliquez sur Ôter la protection de la feuille. Cette feuille n'utilise pas de mot de passe.</t>
  </si>
  <si>
    <t>Montant du prêt :</t>
  </si>
  <si>
    <t>Taux d'intérêt annuel :</t>
  </si>
  <si>
    <t>Durée du prêt (en années) :</t>
  </si>
  <si>
    <t>Nombre de paiements par an :</t>
  </si>
  <si>
    <t>Nombre total d'échéances :</t>
  </si>
  <si>
    <t>Paiement par échéance :</t>
  </si>
  <si>
    <t>Total des intérêts versés :</t>
  </si>
  <si>
    <t>Total des paiements :</t>
  </si>
  <si>
    <t>Échéance</t>
  </si>
  <si>
    <t xml:space="preserve">Paiement </t>
  </si>
  <si>
    <t>Capital</t>
  </si>
  <si>
    <t>Intérêts</t>
  </si>
  <si>
    <t>Total des intérêts versés</t>
  </si>
  <si>
    <t>Nouveau montant à rembourser</t>
  </si>
  <si>
    <t>DSCR</t>
  </si>
  <si>
    <t>Goralska Service Profit</t>
  </si>
  <si>
    <t>YEAR 1</t>
  </si>
  <si>
    <t>YEAR 2</t>
  </si>
  <si>
    <t>YEAR 3</t>
  </si>
  <si>
    <t>YEAR 4</t>
  </si>
  <si>
    <t>YEAR 5</t>
  </si>
  <si>
    <t>NB: Cost of Hotel Manager (2-3000 per month. Cost of receptionists 900-1200 per month.  All need to be grossed up by 25% for social security and insurance and account for 14 months.  Source:  Rui Bruno, hospitality lawyer; ABC hospitality; online searches</t>
  </si>
  <si>
    <t>Total</t>
  </si>
  <si>
    <t>REVPAR</t>
  </si>
  <si>
    <t>% Ebidar / CA</t>
  </si>
  <si>
    <t>NB: Lisbon avg @78%</t>
  </si>
  <si>
    <t>Std double rooms range from €200-600+ - for 45 sqm suites they can start from 350/400</t>
  </si>
  <si>
    <t>Rent</t>
  </si>
  <si>
    <t xml:space="preserve">Total apartment </t>
  </si>
  <si>
    <t>Number of nights</t>
  </si>
  <si>
    <t>Filling rate</t>
  </si>
  <si>
    <t>Price ex-Tax/average nights</t>
  </si>
  <si>
    <t>Accommodation turnover</t>
  </si>
  <si>
    <t>Revenue from breakfast ex-Tax</t>
  </si>
  <si>
    <t>Revenue from Bar &amp; Snacking</t>
  </si>
  <si>
    <t>Turnover</t>
  </si>
  <si>
    <t>Breakfast</t>
  </si>
  <si>
    <t>Total Materials consumed</t>
  </si>
  <si>
    <t>Complementary turnover margin</t>
  </si>
  <si>
    <t>Total Turnover</t>
  </si>
  <si>
    <t>Total accommodation expenses</t>
  </si>
  <si>
    <t>Payroll</t>
  </si>
  <si>
    <t>Bank charges / commission</t>
  </si>
  <si>
    <t>Marketing</t>
  </si>
  <si>
    <t>Cleaning &amp; under contract</t>
  </si>
  <si>
    <t>Energy /water /….</t>
  </si>
  <si>
    <t>Laundry linen charges</t>
  </si>
  <si>
    <t>Rentals - leasing</t>
  </si>
  <si>
    <t xml:space="preserve">Fees </t>
  </si>
  <si>
    <t>Insurance</t>
  </si>
  <si>
    <t>Phone / TV / internet charges</t>
  </si>
  <si>
    <t>IT / website</t>
  </si>
  <si>
    <t>Operating supplies</t>
  </si>
  <si>
    <t>Building maintenance</t>
  </si>
  <si>
    <t xml:space="preserve">Audiovisual fee </t>
  </si>
  <si>
    <t>Other</t>
  </si>
  <si>
    <t>Operating Income</t>
  </si>
  <si>
    <t>Trunover</t>
  </si>
  <si>
    <t>Financial overview</t>
  </si>
  <si>
    <t>Fourniture administrative</t>
  </si>
  <si>
    <t xml:space="preserve">Accommodation operating income </t>
  </si>
  <si>
    <t>Complementary operating income</t>
  </si>
  <si>
    <t>Other purchases e.g household product</t>
  </si>
  <si>
    <t>NB: Assuming average of 30 consumption at 7 euro - avg for a glass of wine or 2 coffees)</t>
  </si>
  <si>
    <t xml:space="preserve">Costs at 50% of revenues.  </t>
  </si>
  <si>
    <t>Costs at 30% of revenues</t>
  </si>
  <si>
    <t>NB: avg monthly utilities for 85m sq apt is Euro 92.  assume 2/3 the cost do not give full time occupancy and half size</t>
  </si>
  <si>
    <t>Total nights</t>
  </si>
  <si>
    <t>Hotel</t>
  </si>
  <si>
    <t>Acquisition</t>
  </si>
  <si>
    <t>Acquisistion</t>
  </si>
  <si>
    <t>Multiple</t>
  </si>
  <si>
    <t xml:space="preserve">Travaux </t>
  </si>
  <si>
    <t>m2</t>
  </si>
  <si>
    <t>cout m2</t>
  </si>
  <si>
    <t>total</t>
  </si>
  <si>
    <t>Y1</t>
  </si>
  <si>
    <t>Y2</t>
  </si>
  <si>
    <t>Y3</t>
  </si>
  <si>
    <t>Y4</t>
  </si>
  <si>
    <t>Y5</t>
  </si>
  <si>
    <t>Y6</t>
  </si>
  <si>
    <t>Y7</t>
  </si>
  <si>
    <t>Y8</t>
  </si>
  <si>
    <t>Y9</t>
  </si>
  <si>
    <t>Y10</t>
  </si>
  <si>
    <t>Y11</t>
  </si>
  <si>
    <t>Y12</t>
  </si>
  <si>
    <t>Y13</t>
  </si>
  <si>
    <t>Y14</t>
  </si>
  <si>
    <t>Y15</t>
  </si>
  <si>
    <t xml:space="preserve">Acquisiton y </t>
  </si>
  <si>
    <t>Commision</t>
  </si>
  <si>
    <t xml:space="preserve">Exit y </t>
  </si>
  <si>
    <t xml:space="preserve">Capex </t>
  </si>
  <si>
    <t>IRR</t>
  </si>
  <si>
    <t>Profit - Base Case</t>
  </si>
  <si>
    <t>Name</t>
  </si>
  <si>
    <t>Town</t>
  </si>
  <si>
    <t>Data</t>
  </si>
  <si>
    <t>Capex</t>
  </si>
  <si>
    <t>SHORT TERM FINANCING</t>
  </si>
  <si>
    <t>Loan</t>
  </si>
  <si>
    <t>Equity</t>
  </si>
  <si>
    <t>FINANCING 5 YEARS</t>
  </si>
  <si>
    <t>Long term</t>
  </si>
  <si>
    <t>Depreciable rate</t>
  </si>
  <si>
    <t>Inflation after 5 years</t>
  </si>
  <si>
    <t>Property fees</t>
  </si>
  <si>
    <t>Set-up costs Credit (notary, lawyers, ...)</t>
  </si>
  <si>
    <t>Capitalization rate</t>
  </si>
  <si>
    <t>Years</t>
  </si>
  <si>
    <t>Amortisation rate</t>
  </si>
  <si>
    <t>15 YEARS FINANCING</t>
  </si>
  <si>
    <t>Bullet rate</t>
  </si>
  <si>
    <t>Bullet</t>
  </si>
  <si>
    <t>Existing area</t>
  </si>
  <si>
    <t>Potential area</t>
  </si>
  <si>
    <t>Notary</t>
  </si>
  <si>
    <t>Agent commission</t>
  </si>
  <si>
    <t>CAPEX FINANCING</t>
  </si>
  <si>
    <t>Price per sqr</t>
  </si>
  <si>
    <t>Price per sqr / potential</t>
  </si>
  <si>
    <t>15 Years</t>
  </si>
  <si>
    <t>Renting</t>
  </si>
  <si>
    <t>Total area</t>
  </si>
  <si>
    <t>Hotel rent</t>
  </si>
  <si>
    <t>% inflation</t>
  </si>
  <si>
    <t>Financing set up</t>
  </si>
  <si>
    <t>Capex financing</t>
  </si>
  <si>
    <t>Operating revenue</t>
  </si>
  <si>
    <t>Acquisition price</t>
  </si>
  <si>
    <t>Audit and legal costs</t>
  </si>
  <si>
    <t>Notary fees</t>
  </si>
  <si>
    <t>Agent fees</t>
  </si>
  <si>
    <t>Asset management fees</t>
  </si>
  <si>
    <t>Mortgage fees</t>
  </si>
  <si>
    <t>Capital depreciation</t>
  </si>
  <si>
    <t>Debt service</t>
  </si>
  <si>
    <t>Bullet refund</t>
  </si>
  <si>
    <t>Total expenses</t>
  </si>
  <si>
    <t>Selling price</t>
  </si>
  <si>
    <t xml:space="preserve">Broker fees </t>
  </si>
  <si>
    <t>Selling fees</t>
  </si>
  <si>
    <t xml:space="preserve">Refund fees </t>
  </si>
  <si>
    <t>Free CF cumulated</t>
  </si>
  <si>
    <t xml:space="preserve">Free CF </t>
  </si>
  <si>
    <t>Area</t>
  </si>
  <si>
    <t>Price</t>
  </si>
  <si>
    <t xml:space="preserve">Summary </t>
  </si>
  <si>
    <t>Cost price</t>
  </si>
  <si>
    <t>Yield / cost price</t>
  </si>
  <si>
    <t>Acquisistion financing</t>
  </si>
  <si>
    <t>Length</t>
  </si>
  <si>
    <t xml:space="preserve">Amortisation </t>
  </si>
  <si>
    <t xml:space="preserve">Bullet </t>
  </si>
  <si>
    <t>Inflation rate &gt; 5y</t>
  </si>
  <si>
    <t>Inflation rate</t>
  </si>
  <si>
    <t>Expenses</t>
  </si>
  <si>
    <t>Activities</t>
  </si>
  <si>
    <t xml:space="preserve">Purchase price </t>
  </si>
  <si>
    <t xml:space="preserve">Acquisition &amp; Capex financing </t>
  </si>
  <si>
    <t>Capitalisation rate</t>
  </si>
  <si>
    <t>15 years</t>
  </si>
  <si>
    <t>ADR</t>
  </si>
  <si>
    <t>ADR/Filling rate sensivity</t>
  </si>
  <si>
    <t>Capitalization rate/purchase price sensivity</t>
  </si>
  <si>
    <t xml:space="preserve">Hotel : 1st view </t>
  </si>
  <si>
    <t xml:space="preserve">NB: 1.5 people per appt, 50% of whom have breakfast at a charge of Eur 10 </t>
  </si>
  <si>
    <t>8% of accommodation revenue. Bkg 22% and 15%</t>
  </si>
  <si>
    <t xml:space="preserve">NB: 50% </t>
  </si>
  <si>
    <t>NB: assume 50% of the cost in France:  Avg EUR 22 per night rented (industry standard)</t>
  </si>
  <si>
    <t>NB:50% estimate</t>
  </si>
  <si>
    <t xml:space="preserve">Assume 50% of the cost in France. Based on EUR 9 per night rented </t>
  </si>
  <si>
    <t>NB: assume 25% of the cost in France</t>
  </si>
  <si>
    <t>60% av in France</t>
  </si>
  <si>
    <t xml:space="preserve">NB: assume 60% </t>
  </si>
  <si>
    <t>NB: assumed 60%</t>
  </si>
  <si>
    <t xml:space="preserve">NB: assumed 60% </t>
  </si>
  <si>
    <t>Rent paid by Hotel Service</t>
  </si>
  <si>
    <t>Paris</t>
  </si>
  <si>
    <t xml:space="preserve">NB: assume 60%  Coffee machines, gym equip, tvs, phones, equipment.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</si>
</sst>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4" formatCode="_-* #,##0.00\ &quot;€&quot;_-;\-* #,##0.00\ &quot;€&quot;_-;_-* &quot;-&quot;??\ &quot;€&quot;_-;_-@_-"/>
    <numFmt numFmtId="164" formatCode="_ * #,##0.00_)\ &quot;€&quot;_ ;_ * \(#,##0.00\)\ &quot;€&quot;_ ;_ * &quot;-&quot;??_)\ &quot;€&quot;_ ;_ @_ "/>
    <numFmt numFmtId="165" formatCode="_-* #,##0.00\ _€_-;\-* #,##0.00\ _€_-;_-* &quot;-&quot;??\ _€_-;_-@_-"/>
    <numFmt numFmtId="166" formatCode="#,##0&quot; m²&quot;"/>
    <numFmt numFmtId="167" formatCode="#,##0&quot; €/m²&quot;"/>
    <numFmt numFmtId="168" formatCode="#,##0&quot; €/u&quot;"/>
    <numFmt numFmtId="169" formatCode="#,##0&quot; €&quot;"/>
    <numFmt numFmtId="170" formatCode="&quot;Y&quot;General"/>
    <numFmt numFmtId="171" formatCode="0.0%"/>
    <numFmt numFmtId="172" formatCode="_-* #,##0\ _€_-;\-* #,##0\ _€_-;_-* &quot;-&quot;??\ _€_-;_-@_-"/>
    <numFmt numFmtId="173" formatCode="_-* #,##0\ &quot;€&quot;_-;\-* #,##0\ &quot;€&quot;_-;_-* &quot;-&quot;??\ &quot;€&quot;_-;_-@_-"/>
    <numFmt numFmtId="174" formatCode="#,##0.00;\-#,##0.00;\-\ "/>
    <numFmt numFmtId="175" formatCode="#,##0.00;\-#,##0.00;&quot;&quot;"/>
    <numFmt numFmtId="176" formatCode="#,##0.00;\-#,##0.00;\-"/>
    <numFmt numFmtId="177" formatCode="_-* #,##0.00\ _F_-;\-* #,##0.00\ _F_-;_-* &quot;-&quot;??\ _F_-;_-@_-"/>
    <numFmt numFmtId="178" formatCode="_-* #,##0.00\ &quot;F&quot;_-;\-* #,##0.00\ &quot;F&quot;_-;_-* &quot;-&quot;??\ &quot;F&quot;_-;_-@_-"/>
    <numFmt numFmtId="179" formatCode="_(&quot;€&quot;* #,##0.00_);_(&quot;€&quot;* \(#,##0.00\);_(&quot;€&quot;* &quot;-&quot;??_);_(@_)"/>
    <numFmt numFmtId="180" formatCode="_ * #,##0.00_ \ [$€-1]_ ;_ * \-#,##0.00\ \ [$€-1]_ ;_ * &quot;-&quot;??_ \ [$€-1]_ ;_ @_ "/>
    <numFmt numFmtId="181" formatCode="0.00\ %"/>
    <numFmt numFmtId="182" formatCode="_-* #,##0.00\ [$€-1]_-;\-* #,##0.00\ [$€-1]_-;_-* &quot;-&quot;??\ [$€-1]_-;_-@_-"/>
    <numFmt numFmtId="183" formatCode="#,##0.000"/>
    <numFmt numFmtId="184" formatCode="#,##0,\k\ &quot;€&quot;_);[Red]\(#,##0,\k\ &quot;€&quot;\)"/>
    <numFmt numFmtId="185" formatCode="#,##0_ ;\-#,##0\ "/>
    <numFmt numFmtId="186" formatCode="_ * #,##0_ \ [$€-1]_ ;_ * \-#,##0\ \ [$€-1]_ ;_ * &quot;-&quot;??_ \ [$€-1]_ ;_ @_ "/>
    <numFmt numFmtId="187" formatCode="_-* #,##0&quot; m2&quot;\ _€_-;\-* #,##0.00\ _€_-;_-* &quot;-&quot;??\ _€_-;_-@_-"/>
    <numFmt numFmtId="188" formatCode="#,##0\ &quot;€&quot;"/>
    <numFmt numFmtId="189" formatCode="0.0&quot; x&quot;"/>
    <numFmt numFmtId="190" formatCode="0.000%"/>
    <numFmt numFmtId="191" formatCode="#,##0,\k&quot;€&quot;"/>
    <numFmt numFmtId="192" formatCode="_ * #,##0_)\ &quot;€&quot;_ ;_ * \(#,##0\)\ &quot;€&quot;_ ;_ * &quot;-&quot;??_)\ &quot;€&quot;_ ;_ @_ "/>
  </numFmts>
  <fonts count="50">
    <font>
      <sz val="10"/>
      <name val="Arial"/>
    </font>
    <font>
      <sz val="12"/>
      <color theme="1"/>
      <name val="Calibri"/>
      <family val="2"/>
      <scheme val="minor"/>
    </font>
    <font>
      <sz val="10"/>
      <name val="Arial"/>
      <family val="2"/>
    </font>
    <font>
      <sz val="8"/>
      <name val="Arial"/>
      <family val="2"/>
    </font>
    <font>
      <sz val="12"/>
      <name val="Calibri"/>
      <family val="2"/>
    </font>
    <font>
      <b/>
      <sz val="12"/>
      <color indexed="9"/>
      <name val="Calibri"/>
      <family val="2"/>
    </font>
    <font>
      <b/>
      <sz val="12"/>
      <name val="Calibri"/>
      <family val="2"/>
    </font>
    <font>
      <b/>
      <u/>
      <sz val="12"/>
      <name val="Calibri"/>
      <family val="2"/>
    </font>
    <font>
      <sz val="12"/>
      <color indexed="10"/>
      <name val="Calibri"/>
      <family val="2"/>
    </font>
    <font>
      <sz val="10"/>
      <name val="Arial"/>
      <family val="2"/>
    </font>
    <font>
      <sz val="10"/>
      <color indexed="9"/>
      <name val="Arial"/>
      <family val="2"/>
    </font>
    <font>
      <sz val="12"/>
      <color indexed="8"/>
      <name val="Calibri"/>
      <family val="2"/>
    </font>
    <font>
      <sz val="10"/>
      <name val="Helv"/>
    </font>
    <font>
      <i/>
      <sz val="12"/>
      <name val="Calibri"/>
      <family val="2"/>
    </font>
    <font>
      <sz val="11"/>
      <color indexed="8"/>
      <name val="Calibri"/>
      <family val="2"/>
    </font>
    <font>
      <sz val="22"/>
      <color indexed="9"/>
      <name val="Arial"/>
      <family val="2"/>
    </font>
    <font>
      <sz val="9"/>
      <color indexed="23"/>
      <name val="Geneva"/>
      <family val="2"/>
    </font>
    <font>
      <sz val="10"/>
      <color indexed="23"/>
      <name val="Arial"/>
      <family val="2"/>
    </font>
    <font>
      <sz val="12"/>
      <color theme="1"/>
      <name val="Calibri"/>
      <family val="2"/>
      <scheme val="minor"/>
    </font>
    <font>
      <b/>
      <sz val="12"/>
      <color theme="1"/>
      <name val="Calibri"/>
      <family val="2"/>
      <scheme val="minor"/>
    </font>
    <font>
      <sz val="11"/>
      <name val="Calibri"/>
      <family val="2"/>
      <scheme val="minor"/>
    </font>
    <font>
      <b/>
      <sz val="12"/>
      <color theme="1"/>
      <name val="Calibri"/>
      <family val="2"/>
    </font>
    <font>
      <b/>
      <sz val="12"/>
      <name val="Calibri"/>
      <family val="2"/>
      <scheme val="minor"/>
    </font>
    <font>
      <i/>
      <sz val="12"/>
      <color theme="1"/>
      <name val="Calibri"/>
      <family val="2"/>
      <scheme val="minor"/>
    </font>
    <font>
      <b/>
      <sz val="12"/>
      <color theme="0"/>
      <name val="Calibri"/>
      <family val="2"/>
      <scheme val="minor"/>
    </font>
    <font>
      <b/>
      <sz val="12"/>
      <color rgb="FFFF0000"/>
      <name val="Calibri"/>
      <family val="2"/>
    </font>
    <font>
      <sz val="12"/>
      <color rgb="FFFF0000"/>
      <name val="Calibri"/>
      <family val="2"/>
    </font>
    <font>
      <sz val="12"/>
      <color theme="0"/>
      <name val="Calibri"/>
      <family val="2"/>
      <scheme val="minor"/>
    </font>
    <font>
      <sz val="12"/>
      <color indexed="9"/>
      <name val="Calibri"/>
      <family val="2"/>
    </font>
    <font>
      <sz val="11"/>
      <color theme="1"/>
      <name val="Calibri"/>
      <family val="2"/>
      <scheme val="minor"/>
    </font>
    <font>
      <i/>
      <sz val="11"/>
      <name val="Calibri"/>
      <family val="2"/>
      <scheme val="minor"/>
    </font>
    <font>
      <i/>
      <sz val="12"/>
      <name val="Calibri"/>
      <family val="2"/>
      <scheme val="minor"/>
    </font>
    <font>
      <sz val="10"/>
      <name val="Calibri"/>
      <family val="2"/>
      <scheme val="minor"/>
    </font>
    <font>
      <sz val="12"/>
      <name val="Calibri"/>
      <family val="2"/>
      <scheme val="minor"/>
    </font>
    <font>
      <b/>
      <i/>
      <sz val="12"/>
      <name val="Calibri"/>
      <family val="2"/>
      <scheme val="minor"/>
    </font>
    <font>
      <i/>
      <sz val="11"/>
      <color theme="1"/>
      <name val="Calibri"/>
      <family val="2"/>
      <scheme val="minor"/>
    </font>
    <font>
      <b/>
      <sz val="11"/>
      <color theme="1"/>
      <name val="Calibri"/>
      <family val="2"/>
      <scheme val="minor"/>
    </font>
    <font>
      <u/>
      <sz val="10"/>
      <color indexed="12"/>
      <name val="Arial"/>
      <family val="2"/>
    </font>
    <font>
      <sz val="10"/>
      <color theme="0"/>
      <name val="Arial"/>
      <family val="2"/>
    </font>
    <font>
      <sz val="9"/>
      <color theme="0"/>
      <name val="Geneva"/>
      <family val="2"/>
    </font>
    <font>
      <b/>
      <sz val="10"/>
      <color theme="0"/>
      <name val="Arial"/>
      <family val="2"/>
    </font>
    <font>
      <sz val="12"/>
      <color rgb="FF000000"/>
      <name val="Calibri"/>
      <family val="2"/>
      <scheme val="minor"/>
    </font>
    <font>
      <sz val="12"/>
      <color theme="1"/>
      <name val="Calibri"/>
      <family val="2"/>
    </font>
    <font>
      <b/>
      <i/>
      <sz val="12"/>
      <name val="Calibri"/>
      <family val="2"/>
    </font>
    <font>
      <sz val="12"/>
      <color indexed="14"/>
      <name val="Calibri"/>
      <family val="2"/>
    </font>
    <font>
      <i/>
      <sz val="12"/>
      <color theme="1"/>
      <name val="Calibri"/>
      <family val="2"/>
    </font>
    <font>
      <sz val="10"/>
      <name val="Arial"/>
      <family val="2"/>
    </font>
    <font>
      <i/>
      <sz val="10"/>
      <name val="Arial"/>
      <family val="2"/>
    </font>
    <font>
      <i/>
      <sz val="9"/>
      <name val="Arial"/>
      <family val="2"/>
    </font>
    <font>
      <b/>
      <sz val="14"/>
      <name val="Arial"/>
      <family val="2"/>
    </font>
  </fonts>
  <fills count="22">
    <fill>
      <patternFill patternType="none"/>
    </fill>
    <fill>
      <patternFill patternType="gray125"/>
    </fill>
    <fill>
      <patternFill patternType="solid">
        <fgColor indexed="24"/>
        <bgColor indexed="64"/>
      </patternFill>
    </fill>
    <fill>
      <patternFill patternType="solid">
        <fgColor indexed="42"/>
        <bgColor indexed="64"/>
      </patternFill>
    </fill>
    <fill>
      <patternFill patternType="solid">
        <fgColor indexed="21"/>
        <bgColor indexed="64"/>
      </patternFill>
    </fill>
    <fill>
      <patternFill patternType="solid">
        <fgColor indexed="61"/>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theme="0"/>
        <bgColor theme="4" tint="0.79998168889431442"/>
      </patternFill>
    </fill>
    <fill>
      <patternFill patternType="solid">
        <fgColor theme="3"/>
        <bgColor indexed="64"/>
      </patternFill>
    </fill>
    <fill>
      <patternFill patternType="solid">
        <fgColor theme="2"/>
        <bgColor indexed="64"/>
      </patternFill>
    </fill>
    <fill>
      <patternFill patternType="solid">
        <fgColor indexed="13"/>
        <bgColor indexed="64"/>
      </patternFill>
    </fill>
    <fill>
      <patternFill patternType="solid">
        <fgColor rgb="FFFFFFFF"/>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6"/>
        <bgColor indexed="64"/>
      </patternFill>
    </fill>
    <fill>
      <patternFill patternType="solid">
        <fgColor theme="8"/>
        <bgColor indexed="64"/>
      </patternFill>
    </fill>
    <fill>
      <patternFill patternType="solid">
        <fgColor theme="7"/>
        <bgColor indexed="64"/>
      </patternFill>
    </fill>
    <fill>
      <patternFill patternType="solid">
        <fgColor theme="6" tint="0.39997558519241921"/>
        <bgColor indexed="64"/>
      </patternFill>
    </fill>
  </fills>
  <borders count="52">
    <border>
      <left/>
      <right/>
      <top/>
      <bottom/>
      <diagonal/>
    </border>
    <border>
      <left/>
      <right/>
      <top style="medium">
        <color indexed="24"/>
      </top>
      <bottom style="medium">
        <color indexed="24"/>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top/>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auto="1"/>
      </left>
      <right/>
      <top style="medium">
        <color auto="1"/>
      </top>
      <bottom style="medium">
        <color auto="1"/>
      </bottom>
      <diagonal/>
    </border>
    <border>
      <left/>
      <right style="medium">
        <color indexed="64"/>
      </right>
      <top style="medium">
        <color indexed="64"/>
      </top>
      <bottom style="medium">
        <color indexed="64"/>
      </bottom>
      <diagonal/>
    </border>
    <border>
      <left/>
      <right/>
      <top style="medium">
        <color auto="1"/>
      </top>
      <bottom style="medium">
        <color auto="1"/>
      </bottom>
      <diagonal/>
    </border>
    <border>
      <left/>
      <right style="medium">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medium">
        <color auto="1"/>
      </top>
      <bottom style="thin">
        <color auto="1"/>
      </bottom>
      <diagonal/>
    </border>
    <border>
      <left style="medium">
        <color indexed="64"/>
      </left>
      <right style="medium">
        <color indexed="64"/>
      </right>
      <top style="medium">
        <color indexed="64"/>
      </top>
      <bottom style="thin">
        <color indexed="64"/>
      </bottom>
      <diagonal/>
    </border>
    <border>
      <left style="thin">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thin">
        <color auto="1"/>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auto="1"/>
      </left>
      <right/>
      <top style="medium">
        <color auto="1"/>
      </top>
      <bottom style="medium">
        <color auto="1"/>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43">
    <xf numFmtId="0" fontId="0" fillId="0" borderId="0"/>
    <xf numFmtId="175" fontId="10" fillId="2" borderId="1" applyFont="0" applyFill="0" applyBorder="0" applyAlignment="0" applyProtection="0">
      <alignment wrapText="1"/>
    </xf>
    <xf numFmtId="176" fontId="10" fillId="2" borderId="1" applyFont="0" applyFill="0" applyBorder="0" applyAlignment="0" applyProtection="0">
      <alignment wrapText="1"/>
    </xf>
    <xf numFmtId="165" fontId="2" fillId="0" borderId="0" applyFont="0" applyFill="0" applyBorder="0" applyAlignment="0" applyProtection="0"/>
    <xf numFmtId="44" fontId="2" fillId="0" borderId="0" applyFont="0" applyFill="0" applyBorder="0" applyAlignment="0" applyProtection="0"/>
    <xf numFmtId="174" fontId="9" fillId="0" borderId="0" applyFont="0" applyFill="0" applyBorder="0" applyAlignment="0" applyProtection="0"/>
    <xf numFmtId="165" fontId="9" fillId="0" borderId="0" applyFont="0" applyFill="0" applyBorder="0" applyAlignment="0" applyProtection="0"/>
    <xf numFmtId="177" fontId="9" fillId="0" borderId="0" applyFont="0" applyFill="0" applyBorder="0" applyAlignment="0" applyProtection="0"/>
    <xf numFmtId="165" fontId="18" fillId="0" borderId="0" applyFont="0" applyFill="0" applyBorder="0" applyAlignment="0" applyProtection="0"/>
    <xf numFmtId="44" fontId="9" fillId="0" borderId="0" applyFont="0" applyFill="0" applyBorder="0" applyAlignment="0" applyProtection="0"/>
    <xf numFmtId="178" fontId="9" fillId="0" borderId="0" applyFont="0" applyFill="0" applyBorder="0" applyAlignment="0" applyProtection="0"/>
    <xf numFmtId="44" fontId="11" fillId="0" borderId="0" applyFont="0" applyFill="0" applyBorder="0" applyAlignment="0" applyProtection="0"/>
    <xf numFmtId="44" fontId="18" fillId="0" borderId="0" applyFont="0" applyFill="0" applyBorder="0" applyAlignment="0" applyProtection="0"/>
    <xf numFmtId="179" fontId="14" fillId="0" borderId="0" applyFont="0" applyFill="0" applyBorder="0" applyAlignment="0" applyProtection="0"/>
    <xf numFmtId="0" fontId="9" fillId="0" borderId="0"/>
    <xf numFmtId="0" fontId="9" fillId="0" borderId="0" applyNumberFormat="0" applyFont="0" applyFill="0" applyBorder="0" applyAlignment="0" applyProtection="0">
      <alignment vertical="top"/>
    </xf>
    <xf numFmtId="0" fontId="18" fillId="0" borderId="0"/>
    <xf numFmtId="0" fontId="12" fillId="0" borderId="0"/>
    <xf numFmtId="0" fontId="14" fillId="0" borderId="0"/>
    <xf numFmtId="9" fontId="2" fillId="0" borderId="0" applyFont="0" applyFill="0" applyBorder="0" applyAlignment="0" applyProtection="0"/>
    <xf numFmtId="9" fontId="9" fillId="0" borderId="0" applyFont="0" applyFill="0" applyBorder="0" applyAlignment="0" applyProtection="0"/>
    <xf numFmtId="9" fontId="11" fillId="0" borderId="0" applyFont="0" applyFill="0" applyBorder="0" applyAlignment="0" applyProtection="0"/>
    <xf numFmtId="0" fontId="29" fillId="0" borderId="0"/>
    <xf numFmtId="0" fontId="2" fillId="0" borderId="0" applyNumberFormat="0" applyFont="0" applyFill="0" applyBorder="0" applyAlignment="0" applyProtection="0">
      <alignment vertical="top"/>
    </xf>
    <xf numFmtId="9" fontId="2" fillId="0" borderId="0" applyFont="0" applyFill="0" applyBorder="0" applyAlignment="0" applyProtection="0"/>
    <xf numFmtId="9" fontId="29" fillId="0" borderId="0" applyFont="0" applyFill="0" applyBorder="0" applyAlignment="0" applyProtection="0"/>
    <xf numFmtId="0" fontId="1" fillId="0" borderId="0"/>
    <xf numFmtId="165" fontId="2"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0" fontId="2" fillId="0" borderId="0"/>
    <xf numFmtId="44" fontId="29" fillId="0" borderId="0" applyFont="0" applyFill="0" applyBorder="0" applyAlignment="0" applyProtection="0"/>
    <xf numFmtId="9" fontId="1" fillId="0" borderId="0" applyFont="0" applyFill="0" applyBorder="0" applyAlignment="0" applyProtection="0"/>
    <xf numFmtId="165" fontId="29" fillId="0" borderId="0" applyFont="0" applyFill="0" applyBorder="0" applyAlignment="0" applyProtection="0"/>
    <xf numFmtId="0" fontId="2" fillId="0" borderId="0"/>
    <xf numFmtId="0" fontId="37" fillId="0" borderId="0" applyNumberFormat="0" applyFill="0" applyBorder="0" applyAlignment="0" applyProtection="0">
      <alignment vertical="top"/>
      <protection locked="0"/>
    </xf>
    <xf numFmtId="176" fontId="10" fillId="2" borderId="1" applyFont="0" applyFill="0" applyBorder="0" applyAlignment="0" applyProtection="0">
      <alignment wrapText="1"/>
    </xf>
    <xf numFmtId="174" fontId="2" fillId="0" borderId="0" applyFont="0" applyFill="0" applyBorder="0" applyAlignment="0" applyProtection="0"/>
    <xf numFmtId="175" fontId="10" fillId="2" borderId="1" applyFont="0" applyFill="0" applyBorder="0" applyAlignment="0" applyProtection="0">
      <alignment wrapText="1"/>
    </xf>
    <xf numFmtId="9"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4" fontId="46" fillId="0" borderId="0" applyFont="0" applyFill="0" applyBorder="0" applyAlignment="0" applyProtection="0"/>
  </cellStyleXfs>
  <cellXfs count="552">
    <xf numFmtId="0" fontId="0" fillId="0" borderId="0" xfId="0"/>
    <xf numFmtId="0" fontId="0" fillId="10" borderId="0" xfId="0" applyFill="1" applyBorder="1"/>
    <xf numFmtId="0" fontId="19" fillId="10" borderId="5" xfId="16" applyFont="1" applyFill="1" applyBorder="1" applyAlignment="1">
      <alignment horizontal="center" vertical="center"/>
    </xf>
    <xf numFmtId="184" fontId="19" fillId="10" borderId="2" xfId="16" applyNumberFormat="1" applyFont="1" applyFill="1" applyBorder="1" applyAlignment="1">
      <alignment horizontal="right" vertical="center"/>
    </xf>
    <xf numFmtId="0" fontId="19" fillId="10" borderId="0" xfId="16" applyFont="1" applyFill="1" applyBorder="1" applyAlignment="1">
      <alignment horizontal="center" vertical="center" textRotation="90"/>
    </xf>
    <xf numFmtId="184" fontId="19" fillId="10" borderId="0" xfId="16" applyNumberFormat="1" applyFont="1" applyFill="1" applyBorder="1" applyAlignment="1">
      <alignment horizontal="right" vertical="center"/>
    </xf>
    <xf numFmtId="184" fontId="19" fillId="10" borderId="0" xfId="19" applyNumberFormat="1" applyFont="1" applyFill="1" applyBorder="1" applyAlignment="1">
      <alignment horizontal="right" vertical="center"/>
    </xf>
    <xf numFmtId="0" fontId="19" fillId="10" borderId="0" xfId="16" applyFont="1" applyFill="1" applyBorder="1" applyAlignment="1">
      <alignment horizontal="center" vertical="center"/>
    </xf>
    <xf numFmtId="0" fontId="19" fillId="10" borderId="0" xfId="16" applyFont="1" applyFill="1"/>
    <xf numFmtId="184" fontId="19" fillId="10" borderId="15" xfId="16" applyNumberFormat="1" applyFont="1" applyFill="1" applyBorder="1" applyAlignment="1">
      <alignment horizontal="right" vertical="center"/>
    </xf>
    <xf numFmtId="184" fontId="19" fillId="10" borderId="19" xfId="16" applyNumberFormat="1" applyFont="1" applyFill="1" applyBorder="1" applyAlignment="1">
      <alignment horizontal="right" vertical="center"/>
    </xf>
    <xf numFmtId="184" fontId="19" fillId="10" borderId="9" xfId="16" applyNumberFormat="1" applyFont="1" applyFill="1" applyBorder="1" applyAlignment="1">
      <alignment horizontal="right" vertical="center"/>
    </xf>
    <xf numFmtId="184" fontId="19" fillId="10" borderId="11" xfId="16" applyNumberFormat="1" applyFont="1" applyFill="1" applyBorder="1" applyAlignment="1">
      <alignment horizontal="right" vertical="center"/>
    </xf>
    <xf numFmtId="184" fontId="19" fillId="10" borderId="12" xfId="16" applyNumberFormat="1" applyFont="1" applyFill="1" applyBorder="1" applyAlignment="1">
      <alignment horizontal="right" vertical="center"/>
    </xf>
    <xf numFmtId="9" fontId="19" fillId="10" borderId="16" xfId="19" applyNumberFormat="1" applyFont="1" applyFill="1" applyBorder="1" applyAlignment="1">
      <alignment horizontal="right" vertical="center"/>
    </xf>
    <xf numFmtId="0" fontId="1" fillId="10" borderId="16" xfId="16" applyFont="1" applyFill="1" applyBorder="1"/>
    <xf numFmtId="0" fontId="1" fillId="10" borderId="0" xfId="16" applyFont="1" applyFill="1"/>
    <xf numFmtId="3" fontId="1" fillId="10" borderId="8" xfId="16" applyNumberFormat="1" applyFont="1" applyFill="1" applyBorder="1" applyAlignment="1">
      <alignment horizontal="right" vertical="center"/>
    </xf>
    <xf numFmtId="10" fontId="1" fillId="10" borderId="5" xfId="16" applyNumberFormat="1" applyFont="1" applyFill="1" applyBorder="1"/>
    <xf numFmtId="172" fontId="1" fillId="10" borderId="0" xfId="3" applyNumberFormat="1" applyFont="1" applyFill="1" applyBorder="1"/>
    <xf numFmtId="184" fontId="1" fillId="10" borderId="3" xfId="16" applyNumberFormat="1" applyFont="1" applyFill="1" applyBorder="1" applyAlignment="1">
      <alignment horizontal="right" vertical="center"/>
    </xf>
    <xf numFmtId="0" fontId="1" fillId="10" borderId="0" xfId="16" applyFont="1" applyFill="1" applyBorder="1"/>
    <xf numFmtId="184" fontId="1" fillId="10" borderId="18" xfId="16" applyNumberFormat="1" applyFont="1" applyFill="1" applyBorder="1" applyAlignment="1">
      <alignment horizontal="right" vertical="center"/>
    </xf>
    <xf numFmtId="184" fontId="1" fillId="10" borderId="17" xfId="16" applyNumberFormat="1" applyFont="1" applyFill="1" applyBorder="1" applyAlignment="1">
      <alignment horizontal="right" vertical="center"/>
    </xf>
    <xf numFmtId="184" fontId="1" fillId="10" borderId="4" xfId="16" applyNumberFormat="1" applyFont="1" applyFill="1" applyBorder="1" applyAlignment="1">
      <alignment horizontal="right" vertical="center"/>
    </xf>
    <xf numFmtId="184" fontId="1" fillId="10" borderId="4" xfId="3" applyNumberFormat="1" applyFont="1" applyFill="1" applyBorder="1" applyAlignment="1">
      <alignment horizontal="right" vertical="center"/>
    </xf>
    <xf numFmtId="184" fontId="1" fillId="10" borderId="3" xfId="3" applyNumberFormat="1" applyFont="1" applyFill="1" applyBorder="1" applyAlignment="1">
      <alignment horizontal="right" vertical="center"/>
    </xf>
    <xf numFmtId="184" fontId="1" fillId="10" borderId="11" xfId="16" applyNumberFormat="1" applyFont="1" applyFill="1" applyBorder="1" applyAlignment="1">
      <alignment horizontal="right" vertical="center"/>
    </xf>
    <xf numFmtId="184" fontId="1" fillId="10" borderId="9" xfId="16" applyNumberFormat="1" applyFont="1" applyFill="1" applyBorder="1" applyAlignment="1">
      <alignment horizontal="right" vertical="center"/>
    </xf>
    <xf numFmtId="184" fontId="1" fillId="10" borderId="0" xfId="16" applyNumberFormat="1" applyFont="1" applyFill="1" applyBorder="1" applyAlignment="1">
      <alignment horizontal="right" vertical="center"/>
    </xf>
    <xf numFmtId="184" fontId="1" fillId="10" borderId="16" xfId="16" applyNumberFormat="1" applyFont="1" applyFill="1" applyBorder="1" applyAlignment="1">
      <alignment horizontal="right" vertical="center"/>
    </xf>
    <xf numFmtId="173" fontId="33" fillId="10" borderId="14" xfId="12" applyNumberFormat="1" applyFont="1" applyFill="1" applyBorder="1" applyAlignment="1">
      <alignment horizontal="right" vertical="center"/>
    </xf>
    <xf numFmtId="3" fontId="33" fillId="10" borderId="3" xfId="0" applyNumberFormat="1" applyFont="1" applyFill="1" applyBorder="1" applyAlignment="1" applyProtection="1">
      <alignment horizontal="left" vertical="center"/>
    </xf>
    <xf numFmtId="3" fontId="34" fillId="10" borderId="3" xfId="0" applyNumberFormat="1" applyFont="1" applyFill="1" applyBorder="1" applyAlignment="1">
      <alignment horizontal="left" vertical="center"/>
    </xf>
    <xf numFmtId="0" fontId="19" fillId="10" borderId="9" xfId="26" applyFont="1" applyFill="1" applyBorder="1" applyAlignment="1">
      <alignment horizontal="left" vertical="center"/>
    </xf>
    <xf numFmtId="172" fontId="20" fillId="10" borderId="0" xfId="8" applyNumberFormat="1" applyFont="1" applyFill="1" applyBorder="1"/>
    <xf numFmtId="0" fontId="29" fillId="10" borderId="0" xfId="16" applyFont="1" applyFill="1"/>
    <xf numFmtId="9" fontId="35" fillId="10" borderId="0" xfId="16" applyNumberFormat="1" applyFont="1" applyFill="1" applyBorder="1"/>
    <xf numFmtId="0" fontId="35" fillId="10" borderId="0" xfId="16" applyFont="1" applyFill="1"/>
    <xf numFmtId="173" fontId="30" fillId="10" borderId="0" xfId="12" applyNumberFormat="1" applyFont="1" applyFill="1" applyBorder="1"/>
    <xf numFmtId="3" fontId="29" fillId="10" borderId="0" xfId="16" applyNumberFormat="1" applyFont="1" applyFill="1" applyBorder="1"/>
    <xf numFmtId="9" fontId="29" fillId="10" borderId="0" xfId="16" applyNumberFormat="1" applyFont="1" applyFill="1"/>
    <xf numFmtId="3" fontId="36" fillId="10" borderId="0" xfId="16" applyNumberFormat="1" applyFont="1" applyFill="1" applyBorder="1"/>
    <xf numFmtId="0" fontId="29" fillId="10" borderId="0" xfId="16" applyFont="1" applyFill="1" applyBorder="1"/>
    <xf numFmtId="10" fontId="36" fillId="10" borderId="0" xfId="19" applyNumberFormat="1" applyFont="1" applyFill="1" applyBorder="1"/>
    <xf numFmtId="183" fontId="35" fillId="10" borderId="0" xfId="16" applyNumberFormat="1" applyFont="1" applyFill="1" applyBorder="1"/>
    <xf numFmtId="0" fontId="30" fillId="10" borderId="0" xfId="0" applyFont="1" applyFill="1"/>
    <xf numFmtId="0" fontId="1" fillId="10" borderId="3" xfId="16" applyFont="1" applyFill="1" applyBorder="1" applyAlignment="1">
      <alignment horizontal="left" vertical="center"/>
    </xf>
    <xf numFmtId="0" fontId="1" fillId="10" borderId="14" xfId="16" applyFont="1" applyFill="1" applyBorder="1" applyAlignment="1">
      <alignment horizontal="left" vertical="center"/>
    </xf>
    <xf numFmtId="0" fontId="19" fillId="10" borderId="2" xfId="16" applyFont="1" applyFill="1" applyBorder="1" applyAlignment="1">
      <alignment horizontal="left" vertical="center"/>
    </xf>
    <xf numFmtId="0" fontId="33" fillId="10" borderId="3" xfId="0" applyFont="1" applyFill="1" applyBorder="1" applyAlignment="1">
      <alignment horizontal="left" vertical="center"/>
    </xf>
    <xf numFmtId="0" fontId="19" fillId="10" borderId="0" xfId="16" applyFont="1" applyFill="1" applyBorder="1" applyAlignment="1">
      <alignment horizontal="left" vertical="center"/>
    </xf>
    <xf numFmtId="0" fontId="19" fillId="10" borderId="16" xfId="16" applyFont="1" applyFill="1" applyBorder="1" applyAlignment="1">
      <alignment horizontal="left" vertical="center"/>
    </xf>
    <xf numFmtId="0" fontId="1" fillId="10" borderId="4" xfId="16" applyFont="1" applyFill="1" applyBorder="1" applyAlignment="1">
      <alignment horizontal="left" vertical="center"/>
    </xf>
    <xf numFmtId="0" fontId="19" fillId="10" borderId="11" xfId="16" applyFont="1" applyFill="1" applyBorder="1" applyAlignment="1">
      <alignment horizontal="left" vertical="center"/>
    </xf>
    <xf numFmtId="0" fontId="1" fillId="10" borderId="0" xfId="16" applyFont="1" applyFill="1" applyBorder="1" applyAlignment="1">
      <alignment horizontal="left" vertical="center"/>
    </xf>
    <xf numFmtId="0" fontId="1" fillId="10" borderId="7" xfId="16" applyFont="1" applyFill="1" applyBorder="1" applyAlignment="1">
      <alignment horizontal="left" vertical="center"/>
    </xf>
    <xf numFmtId="0" fontId="1" fillId="10" borderId="16" xfId="16" applyFont="1" applyFill="1" applyBorder="1" applyAlignment="1">
      <alignment horizontal="left" vertical="center"/>
    </xf>
    <xf numFmtId="0" fontId="19" fillId="8" borderId="16" xfId="16" applyFont="1" applyFill="1" applyBorder="1"/>
    <xf numFmtId="0" fontId="19" fillId="8" borderId="16" xfId="16" applyFont="1" applyFill="1" applyBorder="1" applyAlignment="1">
      <alignment horizontal="left" vertical="center"/>
    </xf>
    <xf numFmtId="184" fontId="19" fillId="8" borderId="16" xfId="16" applyNumberFormat="1" applyFont="1" applyFill="1" applyBorder="1" applyAlignment="1">
      <alignment horizontal="right" vertical="center"/>
    </xf>
    <xf numFmtId="0" fontId="24" fillId="12" borderId="2" xfId="16" applyFont="1" applyFill="1" applyBorder="1" applyAlignment="1">
      <alignment horizontal="center" vertical="center"/>
    </xf>
    <xf numFmtId="0" fontId="24" fillId="12" borderId="2" xfId="16" applyNumberFormat="1" applyFont="1" applyFill="1" applyBorder="1" applyAlignment="1">
      <alignment horizontal="center" vertical="center"/>
    </xf>
    <xf numFmtId="0" fontId="1" fillId="10" borderId="9" xfId="16" applyFont="1" applyFill="1" applyBorder="1" applyAlignment="1">
      <alignment horizontal="left" vertical="center"/>
    </xf>
    <xf numFmtId="173" fontId="33" fillId="10" borderId="9" xfId="12" applyNumberFormat="1" applyFont="1" applyFill="1" applyBorder="1" applyAlignment="1">
      <alignment horizontal="right" vertical="center"/>
    </xf>
    <xf numFmtId="3" fontId="1" fillId="10" borderId="3" xfId="16" applyNumberFormat="1" applyFont="1" applyFill="1" applyBorder="1" applyAlignment="1">
      <alignment horizontal="right" vertical="center"/>
    </xf>
    <xf numFmtId="10" fontId="1" fillId="10" borderId="0" xfId="16" applyNumberFormat="1" applyFont="1" applyFill="1" applyBorder="1"/>
    <xf numFmtId="9" fontId="35" fillId="10" borderId="3" xfId="16" applyNumberFormat="1" applyFont="1" applyFill="1" applyBorder="1" applyAlignment="1">
      <alignment horizontal="right" vertical="center"/>
    </xf>
    <xf numFmtId="0" fontId="2" fillId="0" borderId="0" xfId="18" applyFont="1" applyProtection="1"/>
    <xf numFmtId="0" fontId="2" fillId="0" borderId="0" xfId="18" quotePrefix="1" applyFont="1" applyProtection="1"/>
    <xf numFmtId="0" fontId="2" fillId="0" borderId="0" xfId="18" applyFont="1" applyAlignment="1" applyProtection="1">
      <alignment horizontal="center"/>
    </xf>
    <xf numFmtId="0" fontId="38" fillId="0" borderId="0" xfId="18" applyFont="1" applyAlignment="1" applyProtection="1">
      <alignment horizontal="center"/>
    </xf>
    <xf numFmtId="0" fontId="2" fillId="10" borderId="0" xfId="18" applyFont="1" applyFill="1" applyAlignment="1" applyProtection="1">
      <alignment horizontal="center"/>
    </xf>
    <xf numFmtId="180" fontId="2" fillId="10" borderId="26" xfId="13" applyNumberFormat="1" applyFont="1" applyFill="1" applyBorder="1" applyAlignment="1" applyProtection="1">
      <protection locked="0"/>
    </xf>
    <xf numFmtId="181" fontId="2" fillId="10" borderId="29" xfId="18" applyNumberFormat="1" applyFont="1" applyFill="1" applyBorder="1" applyAlignment="1" applyProtection="1">
      <protection locked="0"/>
    </xf>
    <xf numFmtId="0" fontId="2" fillId="10" borderId="0" xfId="18" applyFont="1" applyFill="1" applyBorder="1" applyProtection="1"/>
    <xf numFmtId="1" fontId="2" fillId="10" borderId="26" xfId="18" applyNumberFormat="1" applyFont="1" applyFill="1" applyBorder="1" applyProtection="1">
      <protection locked="0"/>
    </xf>
    <xf numFmtId="0" fontId="2" fillId="10" borderId="32" xfId="18" applyFont="1" applyFill="1" applyBorder="1" applyProtection="1">
      <protection locked="0"/>
    </xf>
    <xf numFmtId="0" fontId="2" fillId="10" borderId="29" xfId="18" applyFont="1" applyFill="1" applyBorder="1" applyProtection="1"/>
    <xf numFmtId="180" fontId="2" fillId="10" borderId="34" xfId="13" applyNumberFormat="1" applyFont="1" applyFill="1" applyBorder="1" applyAlignment="1" applyProtection="1"/>
    <xf numFmtId="180" fontId="2" fillId="0" borderId="0" xfId="18" applyNumberFormat="1" applyFont="1" applyProtection="1"/>
    <xf numFmtId="180" fontId="2" fillId="10" borderId="36" xfId="18" applyNumberFormat="1" applyFont="1" applyFill="1" applyBorder="1" applyAlignment="1" applyProtection="1"/>
    <xf numFmtId="180" fontId="2" fillId="10" borderId="14" xfId="18" applyNumberFormat="1" applyFont="1" applyFill="1" applyBorder="1" applyAlignment="1" applyProtection="1"/>
    <xf numFmtId="0" fontId="2" fillId="10" borderId="0" xfId="18" applyFont="1" applyFill="1" applyProtection="1"/>
    <xf numFmtId="182" fontId="2" fillId="0" borderId="0" xfId="18" applyNumberFormat="1" applyFont="1" applyProtection="1"/>
    <xf numFmtId="0" fontId="40" fillId="4" borderId="24" xfId="18" applyFont="1" applyFill="1" applyBorder="1" applyAlignment="1" applyProtection="1">
      <alignment horizontal="center" vertical="center" wrapText="1"/>
    </xf>
    <xf numFmtId="0" fontId="40" fillId="4" borderId="25" xfId="18" applyFont="1" applyFill="1" applyBorder="1" applyAlignment="1" applyProtection="1">
      <alignment horizontal="center" vertical="center" wrapText="1"/>
    </xf>
    <xf numFmtId="0" fontId="40" fillId="4" borderId="26" xfId="18" applyFont="1" applyFill="1" applyBorder="1" applyAlignment="1" applyProtection="1">
      <alignment horizontal="center" vertical="center" wrapText="1"/>
    </xf>
    <xf numFmtId="0" fontId="2" fillId="10" borderId="30" xfId="18" applyFont="1" applyFill="1" applyBorder="1" applyAlignment="1" applyProtection="1">
      <alignment horizontal="center"/>
    </xf>
    <xf numFmtId="180" fontId="2" fillId="10" borderId="31" xfId="18" applyNumberFormat="1" applyFont="1" applyFill="1" applyBorder="1" applyProtection="1"/>
    <xf numFmtId="180" fontId="2" fillId="10" borderId="32" xfId="18" applyNumberFormat="1" applyFont="1" applyFill="1" applyBorder="1" applyProtection="1"/>
    <xf numFmtId="0" fontId="2" fillId="3" borderId="30" xfId="18" applyFont="1" applyFill="1" applyBorder="1" applyAlignment="1" applyProtection="1">
      <alignment horizontal="center"/>
    </xf>
    <xf numFmtId="180" fontId="2" fillId="3" borderId="31" xfId="18" applyNumberFormat="1" applyFont="1" applyFill="1" applyBorder="1" applyProtection="1"/>
    <xf numFmtId="180" fontId="2" fillId="3" borderId="32" xfId="18" applyNumberFormat="1" applyFont="1" applyFill="1" applyBorder="1" applyProtection="1"/>
    <xf numFmtId="0" fontId="2" fillId="3" borderId="27" xfId="18" applyFont="1" applyFill="1" applyBorder="1" applyAlignment="1" applyProtection="1">
      <alignment horizontal="center"/>
    </xf>
    <xf numFmtId="180" fontId="2" fillId="3" borderId="28" xfId="18" applyNumberFormat="1" applyFont="1" applyFill="1" applyBorder="1" applyProtection="1"/>
    <xf numFmtId="180" fontId="2" fillId="3" borderId="29" xfId="18" applyNumberFormat="1" applyFont="1" applyFill="1" applyBorder="1" applyProtection="1"/>
    <xf numFmtId="0" fontId="29" fillId="18" borderId="0" xfId="22" applyFill="1"/>
    <xf numFmtId="0" fontId="0" fillId="19" borderId="0" xfId="0" applyFill="1"/>
    <xf numFmtId="0" fontId="29" fillId="20" borderId="0" xfId="22" applyFill="1"/>
    <xf numFmtId="0" fontId="19" fillId="10" borderId="0" xfId="16" applyFont="1" applyFill="1" applyBorder="1" applyAlignment="1">
      <alignment horizontal="center" vertical="center" wrapText="1"/>
    </xf>
    <xf numFmtId="14" fontId="19" fillId="10" borderId="16" xfId="16" applyNumberFormat="1" applyFont="1" applyFill="1" applyBorder="1" applyAlignment="1">
      <alignment horizontal="center" vertical="center"/>
    </xf>
    <xf numFmtId="0" fontId="1" fillId="10" borderId="0" xfId="16" applyFont="1" applyFill="1" applyAlignment="1">
      <alignment horizontal="right"/>
    </xf>
    <xf numFmtId="10" fontId="1" fillId="10" borderId="0" xfId="19" applyNumberFormat="1" applyFont="1" applyFill="1"/>
    <xf numFmtId="171" fontId="1" fillId="10" borderId="0" xfId="19" applyNumberFormat="1" applyFont="1" applyFill="1"/>
    <xf numFmtId="0" fontId="32" fillId="10" borderId="0" xfId="0" applyFont="1" applyFill="1" applyAlignment="1">
      <alignment vertical="center" wrapText="1"/>
    </xf>
    <xf numFmtId="0" fontId="41" fillId="10" borderId="0" xfId="0" applyFont="1" applyFill="1" applyAlignment="1">
      <alignment vertical="center" wrapText="1"/>
    </xf>
    <xf numFmtId="184" fontId="1" fillId="10" borderId="0" xfId="16" applyNumberFormat="1" applyFont="1" applyFill="1" applyAlignment="1">
      <alignment horizontal="right"/>
    </xf>
    <xf numFmtId="184" fontId="1" fillId="10" borderId="0" xfId="16" applyNumberFormat="1" applyFont="1" applyFill="1"/>
    <xf numFmtId="3" fontId="1" fillId="10" borderId="0" xfId="16" applyNumberFormat="1" applyFont="1" applyFill="1" applyAlignment="1">
      <alignment horizontal="right"/>
    </xf>
    <xf numFmtId="172" fontId="1" fillId="10" borderId="0" xfId="3" applyNumberFormat="1" applyFont="1" applyFill="1" applyAlignment="1">
      <alignment horizontal="right"/>
    </xf>
    <xf numFmtId="10" fontId="1" fillId="10" borderId="0" xfId="16" applyNumberFormat="1" applyFont="1" applyFill="1" applyAlignment="1">
      <alignment horizontal="right"/>
    </xf>
    <xf numFmtId="0" fontId="1" fillId="0" borderId="0" xfId="22" applyFont="1"/>
    <xf numFmtId="0" fontId="22" fillId="0" borderId="20" xfId="22" applyFont="1" applyBorder="1"/>
    <xf numFmtId="0" fontId="22" fillId="13" borderId="20" xfId="22" applyFont="1" applyFill="1" applyBorder="1"/>
    <xf numFmtId="0" fontId="1" fillId="13" borderId="21" xfId="22" applyFont="1" applyFill="1" applyBorder="1"/>
    <xf numFmtId="0" fontId="1" fillId="10" borderId="22" xfId="22" applyFont="1" applyFill="1" applyBorder="1"/>
    <xf numFmtId="0" fontId="1" fillId="0" borderId="22" xfId="22" applyFont="1" applyBorder="1"/>
    <xf numFmtId="14" fontId="19" fillId="0" borderId="22" xfId="22" applyNumberFormat="1" applyFont="1" applyBorder="1"/>
    <xf numFmtId="185" fontId="1" fillId="0" borderId="22" xfId="22" applyNumberFormat="1" applyFont="1" applyFill="1" applyBorder="1"/>
    <xf numFmtId="0" fontId="1" fillId="0" borderId="21" xfId="22" applyFont="1" applyBorder="1"/>
    <xf numFmtId="0" fontId="1" fillId="0" borderId="18" xfId="22" applyFont="1" applyBorder="1" applyAlignment="1">
      <alignment horizontal="center" vertical="center" wrapText="1"/>
    </xf>
    <xf numFmtId="0" fontId="19" fillId="0" borderId="15" xfId="22" applyFont="1" applyBorder="1" applyAlignment="1">
      <alignment horizontal="center" vertical="center" wrapText="1"/>
    </xf>
    <xf numFmtId="0" fontId="1" fillId="0" borderId="15" xfId="22" applyFont="1" applyBorder="1" applyAlignment="1">
      <alignment horizontal="center" vertical="center" wrapText="1"/>
    </xf>
    <xf numFmtId="186" fontId="1" fillId="0" borderId="19" xfId="22" applyNumberFormat="1" applyFont="1" applyBorder="1" applyAlignment="1">
      <alignment horizontal="center" vertical="center" wrapText="1"/>
    </xf>
    <xf numFmtId="0" fontId="1" fillId="0" borderId="0" xfId="22" applyFont="1" applyAlignment="1">
      <alignment horizontal="center" vertical="center" wrapText="1"/>
    </xf>
    <xf numFmtId="0" fontId="22" fillId="0" borderId="4" xfId="22" applyFont="1" applyBorder="1"/>
    <xf numFmtId="166" fontId="33" fillId="11" borderId="0" xfId="22" applyNumberFormat="1" applyFont="1" applyFill="1" applyBorder="1" applyAlignment="1">
      <alignment horizontal="center" vertical="center"/>
    </xf>
    <xf numFmtId="187" fontId="1" fillId="0" borderId="0" xfId="22" applyNumberFormat="1" applyFont="1" applyBorder="1" applyAlignment="1">
      <alignment horizontal="center" vertical="center"/>
    </xf>
    <xf numFmtId="0" fontId="1" fillId="0" borderId="0" xfId="22" applyFont="1" applyBorder="1"/>
    <xf numFmtId="184" fontId="1" fillId="8" borderId="0" xfId="22" applyNumberFormat="1" applyFont="1" applyFill="1" applyBorder="1" applyAlignment="1">
      <alignment horizontal="right"/>
    </xf>
    <xf numFmtId="188" fontId="1" fillId="0" borderId="0" xfId="22" applyNumberFormat="1" applyFont="1" applyBorder="1" applyAlignment="1">
      <alignment horizontal="right"/>
    </xf>
    <xf numFmtId="188" fontId="1" fillId="0" borderId="6" xfId="22" applyNumberFormat="1" applyFont="1" applyBorder="1" applyAlignment="1">
      <alignment horizontal="right"/>
    </xf>
    <xf numFmtId="184" fontId="1" fillId="0" borderId="0" xfId="22" applyNumberFormat="1" applyFont="1" applyBorder="1" applyAlignment="1">
      <alignment horizontal="right"/>
    </xf>
    <xf numFmtId="0" fontId="1" fillId="0" borderId="4" xfId="22" applyFont="1" applyBorder="1"/>
    <xf numFmtId="9" fontId="1" fillId="0" borderId="0" xfId="25" applyFont="1" applyFill="1" applyBorder="1"/>
    <xf numFmtId="10" fontId="1" fillId="0" borderId="0" xfId="22" applyNumberFormat="1" applyFont="1" applyBorder="1"/>
    <xf numFmtId="184" fontId="1" fillId="0" borderId="0" xfId="22" applyNumberFormat="1" applyFont="1" applyFill="1" applyBorder="1" applyAlignment="1">
      <alignment horizontal="right"/>
    </xf>
    <xf numFmtId="0" fontId="1" fillId="0" borderId="20" xfId="22" applyFont="1" applyBorder="1"/>
    <xf numFmtId="10" fontId="1" fillId="0" borderId="22" xfId="22" applyNumberFormat="1" applyFont="1" applyBorder="1"/>
    <xf numFmtId="184" fontId="1" fillId="0" borderId="22" xfId="22" applyNumberFormat="1" applyFont="1" applyBorder="1" applyAlignment="1">
      <alignment horizontal="right"/>
    </xf>
    <xf numFmtId="188" fontId="1" fillId="0" borderId="22" xfId="22" applyNumberFormat="1" applyFont="1" applyBorder="1" applyAlignment="1">
      <alignment horizontal="right"/>
    </xf>
    <xf numFmtId="188" fontId="1" fillId="0" borderId="21" xfId="22" applyNumberFormat="1" applyFont="1" applyBorder="1" applyAlignment="1">
      <alignment horizontal="right" vertical="center"/>
    </xf>
    <xf numFmtId="0" fontId="22" fillId="0" borderId="0" xfId="22" applyFont="1"/>
    <xf numFmtId="186" fontId="1" fillId="0" borderId="0" xfId="22" applyNumberFormat="1" applyFont="1" applyBorder="1"/>
    <xf numFmtId="186" fontId="1" fillId="0" borderId="0" xfId="22" applyNumberFormat="1" applyFont="1"/>
    <xf numFmtId="0" fontId="22" fillId="6" borderId="20" xfId="22" applyFont="1" applyFill="1" applyBorder="1"/>
    <xf numFmtId="0" fontId="1" fillId="6" borderId="22" xfId="22" applyFont="1" applyFill="1" applyBorder="1"/>
    <xf numFmtId="0" fontId="1" fillId="6" borderId="21" xfId="22" applyFont="1" applyFill="1" applyBorder="1"/>
    <xf numFmtId="0" fontId="19" fillId="6" borderId="18" xfId="22" applyFont="1" applyFill="1" applyBorder="1"/>
    <xf numFmtId="0" fontId="22" fillId="0" borderId="18" xfId="22" applyFont="1" applyBorder="1"/>
    <xf numFmtId="0" fontId="1" fillId="0" borderId="10" xfId="22" applyFont="1" applyBorder="1"/>
    <xf numFmtId="0" fontId="1" fillId="0" borderId="19" xfId="22" applyFont="1" applyBorder="1"/>
    <xf numFmtId="0" fontId="1" fillId="0" borderId="19" xfId="22" applyFont="1" applyBorder="1" applyAlignment="1">
      <alignment horizontal="right"/>
    </xf>
    <xf numFmtId="184" fontId="1" fillId="0" borderId="6" xfId="22" applyNumberFormat="1" applyFont="1" applyBorder="1" applyAlignment="1">
      <alignment horizontal="right" vertical="center"/>
    </xf>
    <xf numFmtId="0" fontId="1" fillId="0" borderId="6" xfId="22" applyFont="1" applyBorder="1" applyAlignment="1">
      <alignment horizontal="right"/>
    </xf>
    <xf numFmtId="0" fontId="19" fillId="0" borderId="0" xfId="22" applyFont="1" applyBorder="1"/>
    <xf numFmtId="9" fontId="22" fillId="14" borderId="18" xfId="25" applyFont="1" applyFill="1" applyBorder="1"/>
    <xf numFmtId="184" fontId="1" fillId="0" borderId="19" xfId="22" applyNumberFormat="1" applyFont="1" applyBorder="1" applyAlignment="1">
      <alignment horizontal="right" vertical="center"/>
    </xf>
    <xf numFmtId="184" fontId="1" fillId="0" borderId="19" xfId="22" applyNumberFormat="1" applyFont="1" applyBorder="1" applyAlignment="1">
      <alignment horizontal="right"/>
    </xf>
    <xf numFmtId="10" fontId="19" fillId="0" borderId="0" xfId="22" applyNumberFormat="1" applyFont="1" applyBorder="1"/>
    <xf numFmtId="0" fontId="1" fillId="0" borderId="11" xfId="22" applyFont="1" applyBorder="1"/>
    <xf numFmtId="9" fontId="1" fillId="0" borderId="11" xfId="25" applyFont="1" applyBorder="1"/>
    <xf numFmtId="184" fontId="22" fillId="0" borderId="13" xfId="22" applyNumberFormat="1" applyFont="1" applyBorder="1" applyAlignment="1">
      <alignment horizontal="right" vertical="center"/>
    </xf>
    <xf numFmtId="186" fontId="22" fillId="0" borderId="0" xfId="22" applyNumberFormat="1" applyFont="1" applyBorder="1"/>
    <xf numFmtId="9" fontId="1" fillId="0" borderId="0" xfId="22" applyNumberFormat="1" applyFont="1" applyBorder="1"/>
    <xf numFmtId="184" fontId="1" fillId="0" borderId="13" xfId="22" applyNumberFormat="1" applyFont="1" applyBorder="1" applyAlignment="1">
      <alignment horizontal="right"/>
    </xf>
    <xf numFmtId="186" fontId="1" fillId="0" borderId="0" xfId="25" applyNumberFormat="1" applyFont="1" applyBorder="1" applyAlignment="1">
      <alignment horizontal="center" vertical="center"/>
    </xf>
    <xf numFmtId="0" fontId="22" fillId="7" borderId="20" xfId="22" applyFont="1" applyFill="1" applyBorder="1"/>
    <xf numFmtId="0" fontId="1" fillId="7" borderId="22" xfId="22" applyFont="1" applyFill="1" applyBorder="1"/>
    <xf numFmtId="0" fontId="1" fillId="7" borderId="21" xfId="22" applyFont="1" applyFill="1" applyBorder="1" applyAlignment="1">
      <alignment horizontal="right" vertical="center"/>
    </xf>
    <xf numFmtId="0" fontId="22" fillId="0" borderId="0" xfId="22" applyFont="1" applyFill="1" applyBorder="1"/>
    <xf numFmtId="0" fontId="1" fillId="0" borderId="18" xfId="22" applyFont="1" applyBorder="1"/>
    <xf numFmtId="0" fontId="1" fillId="0" borderId="15" xfId="22" applyFont="1" applyBorder="1"/>
    <xf numFmtId="9" fontId="1" fillId="0" borderId="19" xfId="22" applyNumberFormat="1" applyFont="1" applyBorder="1" applyAlignment="1">
      <alignment horizontal="right" vertical="center"/>
    </xf>
    <xf numFmtId="0" fontId="1" fillId="10" borderId="6" xfId="22" applyFont="1" applyFill="1" applyBorder="1" applyAlignment="1">
      <alignment horizontal="right" vertical="center"/>
    </xf>
    <xf numFmtId="173" fontId="1" fillId="0" borderId="0" xfId="31" applyNumberFormat="1" applyFont="1" applyBorder="1"/>
    <xf numFmtId="173" fontId="22" fillId="0" borderId="0" xfId="22" applyNumberFormat="1" applyFont="1" applyBorder="1"/>
    <xf numFmtId="0" fontId="1" fillId="0" borderId="0" xfId="22" applyFont="1" applyFill="1" applyBorder="1"/>
    <xf numFmtId="10" fontId="1" fillId="0" borderId="0" xfId="25" applyNumberFormat="1" applyFont="1" applyBorder="1" applyAlignment="1">
      <alignment horizontal="center" vertical="center"/>
    </xf>
    <xf numFmtId="9" fontId="1" fillId="0" borderId="0" xfId="22" applyNumberFormat="1" applyFont="1" applyFill="1" applyBorder="1"/>
    <xf numFmtId="184" fontId="22" fillId="0" borderId="0" xfId="22" applyNumberFormat="1" applyFont="1" applyFill="1" applyBorder="1" applyAlignment="1">
      <alignment horizontal="right"/>
    </xf>
    <xf numFmtId="9" fontId="22" fillId="0" borderId="0" xfId="22" applyNumberFormat="1" applyFont="1" applyFill="1" applyBorder="1"/>
    <xf numFmtId="0" fontId="1" fillId="7" borderId="21" xfId="22" applyFont="1" applyFill="1" applyBorder="1" applyAlignment="1">
      <alignment horizontal="right"/>
    </xf>
    <xf numFmtId="0" fontId="1" fillId="0" borderId="4" xfId="22" applyFont="1" applyFill="1" applyBorder="1"/>
    <xf numFmtId="171" fontId="33" fillId="8" borderId="6" xfId="25" applyNumberFormat="1" applyFont="1" applyFill="1" applyBorder="1" applyAlignment="1">
      <alignment horizontal="right" vertical="center"/>
    </xf>
    <xf numFmtId="9" fontId="1" fillId="0" borderId="6" xfId="22" applyNumberFormat="1" applyFont="1" applyBorder="1" applyAlignment="1">
      <alignment horizontal="right"/>
    </xf>
    <xf numFmtId="186" fontId="1" fillId="0" borderId="0" xfId="22" applyNumberFormat="1" applyFont="1" applyFill="1" applyBorder="1"/>
    <xf numFmtId="0" fontId="33" fillId="0" borderId="4" xfId="22" applyFont="1" applyBorder="1"/>
    <xf numFmtId="171" fontId="22" fillId="8" borderId="6" xfId="22" applyNumberFormat="1" applyFont="1" applyFill="1" applyBorder="1" applyAlignment="1">
      <alignment horizontal="right"/>
    </xf>
    <xf numFmtId="0" fontId="33" fillId="0" borderId="4" xfId="22" applyFont="1" applyFill="1" applyBorder="1"/>
    <xf numFmtId="0" fontId="1" fillId="0" borderId="12" xfId="22" applyFont="1" applyBorder="1"/>
    <xf numFmtId="9" fontId="22" fillId="8" borderId="13" xfId="22" applyNumberFormat="1" applyFont="1" applyFill="1" applyBorder="1" applyAlignment="1">
      <alignment horizontal="right"/>
    </xf>
    <xf numFmtId="171" fontId="33" fillId="0" borderId="0" xfId="25" applyNumberFormat="1" applyFont="1" applyFill="1" applyBorder="1"/>
    <xf numFmtId="0" fontId="1" fillId="0" borderId="0" xfId="22" applyFont="1" applyFill="1"/>
    <xf numFmtId="0" fontId="24" fillId="0" borderId="0" xfId="22" applyFont="1" applyFill="1" applyBorder="1" applyAlignment="1">
      <alignment horizontal="left"/>
    </xf>
    <xf numFmtId="0" fontId="27" fillId="0" borderId="0" xfId="22" applyFont="1" applyFill="1" applyBorder="1"/>
    <xf numFmtId="0" fontId="24" fillId="0" borderId="0" xfId="22" applyFont="1" applyFill="1" applyBorder="1" applyAlignment="1">
      <alignment horizontal="right"/>
    </xf>
    <xf numFmtId="0" fontId="1" fillId="0" borderId="0" xfId="22" applyFont="1" applyAlignment="1">
      <alignment horizontal="right"/>
    </xf>
    <xf numFmtId="0" fontId="1" fillId="6" borderId="0" xfId="22" applyFont="1" applyFill="1"/>
    <xf numFmtId="166" fontId="33" fillId="6" borderId="0" xfId="22" applyNumberFormat="1" applyFont="1" applyFill="1" applyBorder="1" applyAlignment="1" applyProtection="1">
      <alignment horizontal="right" vertical="center"/>
    </xf>
    <xf numFmtId="184" fontId="33" fillId="8" borderId="0" xfId="31" applyNumberFormat="1" applyFont="1" applyFill="1" applyBorder="1" applyAlignment="1" applyProtection="1">
      <alignment horizontal="right" vertical="center"/>
    </xf>
    <xf numFmtId="184" fontId="1" fillId="6" borderId="0" xfId="22" applyNumberFormat="1" applyFont="1" applyFill="1" applyBorder="1" applyAlignment="1">
      <alignment horizontal="right"/>
    </xf>
    <xf numFmtId="0" fontId="1" fillId="0" borderId="11" xfId="22" applyFont="1" applyFill="1" applyBorder="1"/>
    <xf numFmtId="0" fontId="1" fillId="0" borderId="12" xfId="22" applyFont="1" applyFill="1" applyBorder="1"/>
    <xf numFmtId="171" fontId="33" fillId="8" borderId="13" xfId="25" applyNumberFormat="1" applyFont="1" applyFill="1" applyBorder="1" applyAlignment="1">
      <alignment horizontal="right" vertical="center"/>
    </xf>
    <xf numFmtId="166" fontId="1" fillId="0" borderId="0" xfId="22" applyNumberFormat="1" applyFont="1" applyBorder="1" applyAlignment="1">
      <alignment horizontal="right"/>
    </xf>
    <xf numFmtId="0" fontId="1" fillId="10" borderId="0" xfId="22" applyFont="1" applyFill="1" applyBorder="1"/>
    <xf numFmtId="166" fontId="1" fillId="10" borderId="0" xfId="22" applyNumberFormat="1" applyFont="1" applyFill="1" applyBorder="1" applyAlignment="1">
      <alignment horizontal="right"/>
    </xf>
    <xf numFmtId="184" fontId="1" fillId="10" borderId="0" xfId="22" applyNumberFormat="1" applyFont="1" applyFill="1" applyBorder="1" applyAlignment="1">
      <alignment horizontal="right"/>
    </xf>
    <xf numFmtId="0" fontId="33" fillId="0" borderId="0" xfId="22" applyFont="1" applyFill="1" applyBorder="1" applyAlignment="1" applyProtection="1">
      <alignment vertical="center"/>
    </xf>
    <xf numFmtId="0" fontId="1" fillId="0" borderId="0" xfId="22" applyFont="1" applyFill="1" applyBorder="1" applyAlignment="1">
      <alignment horizontal="right"/>
    </xf>
    <xf numFmtId="171" fontId="33" fillId="0" borderId="0" xfId="25" applyNumberFormat="1" applyFont="1" applyFill="1" applyBorder="1" applyAlignment="1">
      <alignment horizontal="right"/>
    </xf>
    <xf numFmtId="186" fontId="1" fillId="0" borderId="0" xfId="22" applyNumberFormat="1" applyFont="1" applyFill="1"/>
    <xf numFmtId="190" fontId="1" fillId="0" borderId="0" xfId="25" applyNumberFormat="1" applyFont="1"/>
    <xf numFmtId="0" fontId="22" fillId="0" borderId="4" xfId="22" applyFont="1" applyFill="1" applyBorder="1"/>
    <xf numFmtId="189" fontId="1" fillId="10" borderId="13" xfId="22" applyNumberFormat="1" applyFont="1" applyFill="1" applyBorder="1" applyAlignment="1" applyProtection="1">
      <alignment horizontal="right" vertical="center"/>
    </xf>
    <xf numFmtId="0" fontId="19" fillId="0" borderId="11" xfId="22" applyFont="1" applyFill="1" applyBorder="1"/>
    <xf numFmtId="0" fontId="6" fillId="10" borderId="0" xfId="22" applyFont="1" applyFill="1" applyAlignment="1" applyProtection="1">
      <alignment vertical="center"/>
    </xf>
    <xf numFmtId="0" fontId="42" fillId="10" borderId="0" xfId="22" applyFont="1" applyFill="1" applyAlignment="1" applyProtection="1">
      <alignment vertical="center"/>
    </xf>
    <xf numFmtId="0" fontId="4" fillId="10" borderId="0" xfId="22" applyFont="1" applyFill="1" applyAlignment="1" applyProtection="1">
      <alignment vertical="center"/>
    </xf>
    <xf numFmtId="0" fontId="43" fillId="10" borderId="0" xfId="22" applyFont="1" applyFill="1" applyAlignment="1" applyProtection="1">
      <alignment vertical="center"/>
    </xf>
    <xf numFmtId="14" fontId="4" fillId="10" borderId="0" xfId="22" applyNumberFormat="1" applyFont="1" applyFill="1" applyAlignment="1" applyProtection="1">
      <alignment vertical="center"/>
    </xf>
    <xf numFmtId="0" fontId="42" fillId="0" borderId="0" xfId="22" applyFont="1" applyFill="1" applyAlignment="1" applyProtection="1">
      <alignment vertical="center"/>
    </xf>
    <xf numFmtId="0" fontId="6" fillId="10" borderId="0" xfId="22" applyFont="1" applyFill="1" applyBorder="1" applyAlignment="1" applyProtection="1">
      <alignment horizontal="left" vertical="center"/>
    </xf>
    <xf numFmtId="14" fontId="4" fillId="10" borderId="0" xfId="22" applyNumberFormat="1" applyFont="1" applyFill="1" applyBorder="1" applyAlignment="1" applyProtection="1">
      <alignment vertical="center"/>
    </xf>
    <xf numFmtId="0" fontId="6" fillId="10" borderId="18" xfId="22" applyFont="1" applyFill="1" applyBorder="1" applyAlignment="1" applyProtection="1">
      <alignment horizontal="left" vertical="center"/>
    </xf>
    <xf numFmtId="0" fontId="4" fillId="10" borderId="10" xfId="22" applyFont="1" applyFill="1" applyBorder="1" applyAlignment="1" applyProtection="1">
      <alignment vertical="center"/>
    </xf>
    <xf numFmtId="0" fontId="6" fillId="10" borderId="10" xfId="22" applyFont="1" applyFill="1" applyBorder="1" applyAlignment="1" applyProtection="1">
      <alignment horizontal="left" vertical="center"/>
    </xf>
    <xf numFmtId="0" fontId="6" fillId="10" borderId="19" xfId="22" applyFont="1" applyFill="1" applyBorder="1" applyAlignment="1" applyProtection="1">
      <alignment horizontal="left" vertical="center"/>
    </xf>
    <xf numFmtId="0" fontId="4" fillId="10" borderId="0" xfId="22" applyFont="1" applyFill="1" applyBorder="1" applyAlignment="1" applyProtection="1">
      <alignment vertical="center"/>
    </xf>
    <xf numFmtId="0" fontId="6" fillId="10" borderId="4" xfId="22" applyFont="1" applyFill="1" applyBorder="1" applyAlignment="1" applyProtection="1">
      <alignment horizontal="left" vertical="center"/>
    </xf>
    <xf numFmtId="0" fontId="6" fillId="10" borderId="6" xfId="22" applyFont="1" applyFill="1" applyBorder="1" applyAlignment="1" applyProtection="1">
      <alignment horizontal="left" vertical="center"/>
    </xf>
    <xf numFmtId="0" fontId="4" fillId="10" borderId="11" xfId="22" applyFont="1" applyFill="1" applyBorder="1" applyAlignment="1" applyProtection="1">
      <alignment vertical="center"/>
    </xf>
    <xf numFmtId="0" fontId="4" fillId="10" borderId="12" xfId="22" applyFont="1" applyFill="1" applyBorder="1" applyAlignment="1" applyProtection="1">
      <alignment vertical="center"/>
    </xf>
    <xf numFmtId="0" fontId="4" fillId="10" borderId="12" xfId="22" applyFont="1" applyFill="1" applyBorder="1" applyAlignment="1" applyProtection="1">
      <alignment horizontal="center" vertical="center"/>
    </xf>
    <xf numFmtId="0" fontId="4" fillId="10" borderId="13" xfId="22" applyFont="1" applyFill="1" applyBorder="1" applyAlignment="1" applyProtection="1">
      <alignment horizontal="center" vertical="center"/>
    </xf>
    <xf numFmtId="0" fontId="6" fillId="10" borderId="0" xfId="22" applyFont="1" applyFill="1" applyBorder="1" applyAlignment="1" applyProtection="1">
      <alignment vertical="center"/>
    </xf>
    <xf numFmtId="0" fontId="6" fillId="10" borderId="9" xfId="22" applyFont="1" applyFill="1" applyBorder="1" applyAlignment="1" applyProtection="1">
      <alignment vertical="center"/>
    </xf>
    <xf numFmtId="0" fontId="6" fillId="10" borderId="12" xfId="22" applyFont="1" applyFill="1" applyBorder="1" applyAlignment="1" applyProtection="1">
      <alignment horizontal="center" vertical="center"/>
    </xf>
    <xf numFmtId="0" fontId="6" fillId="10" borderId="16" xfId="22" applyFont="1" applyFill="1" applyBorder="1" applyAlignment="1" applyProtection="1">
      <alignment horizontal="center" vertical="center"/>
    </xf>
    <xf numFmtId="0" fontId="6" fillId="10" borderId="11" xfId="22" applyFont="1" applyFill="1" applyBorder="1" applyAlignment="1" applyProtection="1">
      <alignment horizontal="left" vertical="center"/>
    </xf>
    <xf numFmtId="0" fontId="6" fillId="10" borderId="12" xfId="22" applyFont="1" applyFill="1" applyBorder="1" applyAlignment="1" applyProtection="1">
      <alignment vertical="center"/>
    </xf>
    <xf numFmtId="0" fontId="6" fillId="10" borderId="13" xfId="22" applyFont="1" applyFill="1" applyBorder="1" applyAlignment="1" applyProtection="1">
      <alignment vertical="center"/>
    </xf>
    <xf numFmtId="0" fontId="6" fillId="10" borderId="0" xfId="22" applyFont="1" applyFill="1" applyBorder="1" applyAlignment="1" applyProtection="1">
      <alignment horizontal="center" vertical="center"/>
    </xf>
    <xf numFmtId="0" fontId="6" fillId="10" borderId="6" xfId="22" applyFont="1" applyFill="1" applyBorder="1" applyAlignment="1" applyProtection="1">
      <alignment horizontal="center" vertical="center"/>
    </xf>
    <xf numFmtId="9" fontId="4" fillId="10" borderId="0" xfId="22" applyNumberFormat="1" applyFont="1" applyFill="1" applyBorder="1" applyAlignment="1" applyProtection="1">
      <alignment horizontal="center" vertical="center"/>
    </xf>
    <xf numFmtId="0" fontId="4" fillId="10" borderId="17" xfId="22" applyFont="1" applyFill="1" applyBorder="1" applyAlignment="1" applyProtection="1">
      <alignment vertical="top"/>
    </xf>
    <xf numFmtId="166" fontId="4" fillId="0" borderId="18" xfId="22" applyNumberFormat="1" applyFont="1" applyFill="1" applyBorder="1" applyAlignment="1" applyProtection="1">
      <alignment horizontal="right" vertical="center"/>
    </xf>
    <xf numFmtId="169" fontId="4" fillId="10" borderId="17" xfId="22" applyNumberFormat="1" applyFont="1" applyFill="1" applyBorder="1" applyAlignment="1" applyProtection="1">
      <alignment horizontal="right" vertical="center"/>
    </xf>
    <xf numFmtId="173" fontId="4" fillId="10" borderId="0" xfId="31" applyNumberFormat="1" applyFont="1" applyFill="1" applyBorder="1" applyAlignment="1" applyProtection="1">
      <alignment vertical="center"/>
    </xf>
    <xf numFmtId="184" fontId="4" fillId="0" borderId="0" xfId="31" applyNumberFormat="1" applyFont="1" applyFill="1" applyBorder="1" applyAlignment="1" applyProtection="1">
      <alignment horizontal="right"/>
    </xf>
    <xf numFmtId="173" fontId="4" fillId="10" borderId="0" xfId="22" applyNumberFormat="1" applyFont="1" applyFill="1" applyBorder="1" applyAlignment="1" applyProtection="1">
      <alignment horizontal="right"/>
    </xf>
    <xf numFmtId="0" fontId="7" fillId="10" borderId="0" xfId="22" applyFont="1" applyFill="1" applyBorder="1" applyAlignment="1" applyProtection="1">
      <alignment horizontal="center" vertical="center"/>
    </xf>
    <xf numFmtId="0" fontId="4" fillId="10" borderId="18" xfId="22" applyFont="1" applyFill="1" applyBorder="1" applyAlignment="1" applyProtection="1">
      <alignment horizontal="left" vertical="center"/>
    </xf>
    <xf numFmtId="0" fontId="42" fillId="10" borderId="19" xfId="22" applyFont="1" applyFill="1" applyBorder="1" applyAlignment="1" applyProtection="1">
      <alignment vertical="center"/>
    </xf>
    <xf numFmtId="0" fontId="4" fillId="10" borderId="3" xfId="22" applyFont="1" applyFill="1" applyBorder="1" applyAlignment="1" applyProtection="1">
      <alignment vertical="top"/>
    </xf>
    <xf numFmtId="166" fontId="4" fillId="10" borderId="4" xfId="22" applyNumberFormat="1" applyFont="1" applyFill="1" applyBorder="1" applyAlignment="1" applyProtection="1">
      <alignment horizontal="right" vertical="center"/>
    </xf>
    <xf numFmtId="167" fontId="8" fillId="10" borderId="3" xfId="22" applyNumberFormat="1" applyFont="1" applyFill="1" applyBorder="1" applyAlignment="1" applyProtection="1">
      <alignment horizontal="right" vertical="center"/>
    </xf>
    <xf numFmtId="173" fontId="4" fillId="10" borderId="0" xfId="31" applyNumberFormat="1" applyFont="1" applyFill="1" applyBorder="1" applyAlignment="1" applyProtection="1">
      <alignment horizontal="left" vertical="center"/>
    </xf>
    <xf numFmtId="10" fontId="6" fillId="10" borderId="0" xfId="25" applyNumberFormat="1" applyFont="1" applyFill="1" applyBorder="1" applyAlignment="1" applyProtection="1">
      <alignment horizontal="center" vertical="center"/>
    </xf>
    <xf numFmtId="0" fontId="4" fillId="10" borderId="4" xfId="22" applyFont="1" applyFill="1" applyBorder="1" applyAlignment="1" applyProtection="1">
      <alignment horizontal="left" vertical="center"/>
    </xf>
    <xf numFmtId="167" fontId="4" fillId="10" borderId="0" xfId="22" applyNumberFormat="1" applyFont="1" applyFill="1" applyBorder="1" applyAlignment="1" applyProtection="1">
      <alignment horizontal="left" vertical="center"/>
    </xf>
    <xf numFmtId="167" fontId="8" fillId="10" borderId="3" xfId="22" applyNumberFormat="1" applyFont="1" applyFill="1" applyBorder="1" applyAlignment="1" applyProtection="1">
      <alignment horizontal="center" vertical="center"/>
    </xf>
    <xf numFmtId="0" fontId="4" fillId="10" borderId="0" xfId="22" applyFont="1" applyFill="1" applyBorder="1" applyAlignment="1" applyProtection="1">
      <alignment vertical="top"/>
    </xf>
    <xf numFmtId="0" fontId="4" fillId="10" borderId="0" xfId="22" applyFont="1" applyFill="1" applyBorder="1" applyAlignment="1" applyProtection="1">
      <alignment horizontal="left" vertical="center"/>
    </xf>
    <xf numFmtId="167" fontId="8" fillId="10" borderId="6" xfId="22" applyNumberFormat="1" applyFont="1" applyFill="1" applyBorder="1" applyAlignment="1" applyProtection="1">
      <alignment horizontal="center" vertical="center"/>
    </xf>
    <xf numFmtId="173" fontId="4" fillId="0" borderId="0" xfId="31" applyNumberFormat="1" applyFont="1" applyFill="1" applyBorder="1" applyAlignment="1" applyProtection="1">
      <alignment vertical="center"/>
    </xf>
    <xf numFmtId="0" fontId="6" fillId="10" borderId="3" xfId="22" applyFont="1" applyFill="1" applyBorder="1" applyAlignment="1" applyProtection="1">
      <alignment vertical="top"/>
    </xf>
    <xf numFmtId="167" fontId="4" fillId="10" borderId="6" xfId="22" applyNumberFormat="1" applyFont="1" applyFill="1" applyBorder="1" applyAlignment="1" applyProtection="1">
      <alignment horizontal="center" vertical="center"/>
    </xf>
    <xf numFmtId="167" fontId="4" fillId="10" borderId="3" xfId="22" applyNumberFormat="1" applyFont="1" applyFill="1" applyBorder="1" applyAlignment="1" applyProtection="1">
      <alignment horizontal="center" vertical="center"/>
    </xf>
    <xf numFmtId="173" fontId="4" fillId="10" borderId="0" xfId="31" applyNumberFormat="1" applyFont="1" applyFill="1" applyBorder="1" applyAlignment="1" applyProtection="1">
      <alignment horizontal="center" vertical="center"/>
    </xf>
    <xf numFmtId="184" fontId="4" fillId="10" borderId="0" xfId="22" applyNumberFormat="1" applyFont="1" applyFill="1" applyBorder="1" applyAlignment="1" applyProtection="1">
      <alignment horizontal="right" vertical="center"/>
    </xf>
    <xf numFmtId="168" fontId="8" fillId="10" borderId="6" xfId="22" applyNumberFormat="1" applyFont="1" applyFill="1" applyBorder="1" applyAlignment="1" applyProtection="1">
      <alignment horizontal="center" vertical="center"/>
    </xf>
    <xf numFmtId="169" fontId="4" fillId="10" borderId="3" xfId="22" applyNumberFormat="1" applyFont="1" applyFill="1" applyBorder="1" applyAlignment="1" applyProtection="1">
      <alignment horizontal="center" vertical="center"/>
    </xf>
    <xf numFmtId="0" fontId="6" fillId="10" borderId="20" xfId="22" applyFont="1" applyFill="1" applyBorder="1" applyAlignment="1" applyProtection="1">
      <alignment vertical="center"/>
    </xf>
    <xf numFmtId="0" fontId="6" fillId="10" borderId="22" xfId="22" applyFont="1" applyFill="1" applyBorder="1" applyAlignment="1" applyProtection="1">
      <alignment vertical="center"/>
    </xf>
    <xf numFmtId="173" fontId="6" fillId="10" borderId="22" xfId="31" applyNumberFormat="1" applyFont="1" applyFill="1" applyBorder="1" applyAlignment="1" applyProtection="1">
      <alignment vertical="center"/>
    </xf>
    <xf numFmtId="173" fontId="6" fillId="10" borderId="22" xfId="31" applyNumberFormat="1" applyFont="1" applyFill="1" applyBorder="1" applyAlignment="1" applyProtection="1">
      <alignment horizontal="center" vertical="center"/>
    </xf>
    <xf numFmtId="184" fontId="4" fillId="0" borderId="21" xfId="31" applyNumberFormat="1" applyFont="1" applyFill="1" applyBorder="1" applyAlignment="1" applyProtection="1">
      <alignment horizontal="right"/>
    </xf>
    <xf numFmtId="10" fontId="4" fillId="10" borderId="0" xfId="25" applyNumberFormat="1" applyFont="1" applyFill="1" applyBorder="1" applyAlignment="1" applyProtection="1">
      <alignment horizontal="center" vertical="center"/>
    </xf>
    <xf numFmtId="167" fontId="6" fillId="10" borderId="6" xfId="22" applyNumberFormat="1" applyFont="1" applyFill="1" applyBorder="1" applyAlignment="1" applyProtection="1">
      <alignment horizontal="center" vertical="center"/>
    </xf>
    <xf numFmtId="184" fontId="4" fillId="0" borderId="3" xfId="31" applyNumberFormat="1" applyFont="1" applyFill="1" applyBorder="1" applyAlignment="1" applyProtection="1">
      <alignment horizontal="right"/>
    </xf>
    <xf numFmtId="169" fontId="8" fillId="10" borderId="0" xfId="22" applyNumberFormat="1" applyFont="1" applyFill="1" applyBorder="1" applyAlignment="1" applyProtection="1">
      <alignment vertical="center"/>
    </xf>
    <xf numFmtId="169" fontId="8" fillId="10" borderId="0" xfId="22" applyNumberFormat="1" applyFont="1" applyFill="1" applyBorder="1" applyAlignment="1" applyProtection="1">
      <alignment horizontal="center" vertical="center"/>
    </xf>
    <xf numFmtId="10" fontId="4" fillId="10" borderId="0" xfId="25" applyNumberFormat="1" applyFont="1" applyFill="1" applyBorder="1" applyAlignment="1" applyProtection="1">
      <alignment horizontal="right"/>
    </xf>
    <xf numFmtId="167" fontId="4" fillId="10" borderId="0" xfId="22" applyNumberFormat="1" applyFont="1" applyFill="1" applyBorder="1" applyAlignment="1" applyProtection="1">
      <alignment horizontal="right"/>
    </xf>
    <xf numFmtId="9" fontId="4" fillId="10" borderId="0" xfId="25" applyFont="1" applyFill="1" applyBorder="1" applyAlignment="1" applyProtection="1">
      <alignment horizontal="center" vertical="center"/>
    </xf>
    <xf numFmtId="0" fontId="42" fillId="0" borderId="6" xfId="22" applyFont="1" applyFill="1" applyBorder="1" applyAlignment="1" applyProtection="1">
      <alignment horizontal="center" vertical="center"/>
    </xf>
    <xf numFmtId="0" fontId="4" fillId="10" borderId="9" xfId="22" applyFont="1" applyFill="1" applyBorder="1" applyAlignment="1" applyProtection="1">
      <alignment vertical="top"/>
    </xf>
    <xf numFmtId="168" fontId="4" fillId="10" borderId="9" xfId="22" applyNumberFormat="1" applyFont="1" applyFill="1" applyBorder="1" applyAlignment="1" applyProtection="1">
      <alignment horizontal="center" vertical="center"/>
    </xf>
    <xf numFmtId="166" fontId="8" fillId="10" borderId="0" xfId="22" applyNumberFormat="1" applyFont="1" applyFill="1" applyBorder="1" applyAlignment="1" applyProtection="1">
      <alignment vertical="center"/>
    </xf>
    <xf numFmtId="0" fontId="4" fillId="10" borderId="0" xfId="22" applyFont="1" applyFill="1" applyBorder="1" applyAlignment="1" applyProtection="1">
      <alignment horizontal="center" vertical="center"/>
    </xf>
    <xf numFmtId="0" fontId="42" fillId="0" borderId="0" xfId="22" applyFont="1" applyBorder="1"/>
    <xf numFmtId="0" fontId="42" fillId="10" borderId="13" xfId="22" applyFont="1" applyFill="1" applyBorder="1" applyAlignment="1" applyProtection="1">
      <alignment horizontal="center" vertical="center"/>
    </xf>
    <xf numFmtId="0" fontId="42" fillId="10" borderId="16" xfId="22" applyFont="1" applyFill="1" applyBorder="1" applyAlignment="1" applyProtection="1">
      <alignment vertical="top"/>
    </xf>
    <xf numFmtId="170" fontId="21" fillId="10" borderId="16" xfId="22" applyNumberFormat="1" applyFont="1" applyFill="1" applyBorder="1" applyAlignment="1" applyProtection="1">
      <alignment horizontal="center" vertical="center"/>
    </xf>
    <xf numFmtId="170" fontId="21" fillId="10" borderId="0" xfId="22" applyNumberFormat="1" applyFont="1" applyFill="1" applyBorder="1" applyAlignment="1" applyProtection="1">
      <alignment horizontal="center" vertical="center"/>
    </xf>
    <xf numFmtId="0" fontId="4" fillId="6" borderId="17" xfId="22" applyFont="1" applyFill="1" applyBorder="1" applyAlignment="1" applyProtection="1">
      <alignment horizontal="center" vertical="center"/>
    </xf>
    <xf numFmtId="49" fontId="4" fillId="10" borderId="19" xfId="22" applyNumberFormat="1" applyFont="1" applyFill="1" applyBorder="1" applyAlignment="1" applyProtection="1">
      <alignment vertical="top"/>
    </xf>
    <xf numFmtId="188" fontId="4" fillId="10" borderId="17" xfId="22" applyNumberFormat="1" applyFont="1" applyFill="1" applyBorder="1" applyAlignment="1" applyProtection="1">
      <alignment horizontal="right" vertical="center"/>
    </xf>
    <xf numFmtId="172" fontId="6" fillId="10" borderId="0" xfId="33" applyNumberFormat="1" applyFont="1" applyFill="1" applyBorder="1" applyAlignment="1" applyProtection="1">
      <alignment horizontal="center" vertical="center"/>
    </xf>
    <xf numFmtId="3" fontId="6" fillId="10" borderId="0" xfId="22" applyNumberFormat="1" applyFont="1" applyFill="1" applyBorder="1" applyAlignment="1" applyProtection="1">
      <alignment horizontal="center" vertical="center"/>
    </xf>
    <xf numFmtId="10" fontId="25" fillId="6" borderId="3" xfId="22" applyNumberFormat="1" applyFont="1" applyFill="1" applyBorder="1" applyAlignment="1" applyProtection="1">
      <alignment horizontal="center" vertical="center"/>
    </xf>
    <xf numFmtId="0" fontId="13" fillId="10" borderId="6" xfId="22" applyFont="1" applyFill="1" applyBorder="1" applyAlignment="1" applyProtection="1">
      <alignment vertical="top"/>
    </xf>
    <xf numFmtId="184" fontId="13" fillId="10" borderId="3" xfId="22" applyNumberFormat="1" applyFont="1" applyFill="1" applyBorder="1" applyAlignment="1" applyProtection="1">
      <alignment horizontal="right" vertical="center"/>
    </xf>
    <xf numFmtId="191" fontId="4" fillId="0" borderId="6" xfId="31" applyNumberFormat="1" applyFont="1" applyFill="1" applyBorder="1" applyAlignment="1" applyProtection="1">
      <alignment horizontal="right" vertical="center"/>
    </xf>
    <xf numFmtId="10" fontId="13" fillId="10" borderId="0" xfId="25" applyNumberFormat="1" applyFont="1" applyFill="1" applyBorder="1" applyAlignment="1" applyProtection="1">
      <alignment horizontal="center" vertical="center"/>
    </xf>
    <xf numFmtId="10" fontId="26" fillId="6" borderId="3" xfId="25" applyNumberFormat="1" applyFont="1" applyFill="1" applyBorder="1" applyAlignment="1" applyProtection="1">
      <alignment horizontal="center" vertical="center"/>
    </xf>
    <xf numFmtId="0" fontId="4" fillId="10" borderId="6" xfId="22" applyFont="1" applyFill="1" applyBorder="1" applyAlignment="1" applyProtection="1">
      <alignment vertical="top"/>
    </xf>
    <xf numFmtId="184" fontId="4" fillId="0" borderId="3" xfId="31" applyNumberFormat="1" applyFont="1" applyFill="1" applyBorder="1" applyAlignment="1" applyProtection="1">
      <alignment horizontal="right" vertical="center"/>
    </xf>
    <xf numFmtId="184" fontId="4" fillId="10" borderId="6" xfId="34" applyNumberFormat="1" applyFont="1" applyFill="1" applyBorder="1" applyAlignment="1">
      <alignment horizontal="right" vertical="center"/>
    </xf>
    <xf numFmtId="2" fontId="25" fillId="6" borderId="3" xfId="22" applyNumberFormat="1" applyFont="1" applyFill="1" applyBorder="1" applyAlignment="1" applyProtection="1">
      <alignment horizontal="center" vertical="center"/>
    </xf>
    <xf numFmtId="0" fontId="4" fillId="6" borderId="3" xfId="22" applyFont="1" applyFill="1" applyBorder="1" applyAlignment="1" applyProtection="1">
      <alignment horizontal="center" vertical="center"/>
    </xf>
    <xf numFmtId="184" fontId="6" fillId="0" borderId="16" xfId="31" applyNumberFormat="1" applyFont="1" applyFill="1" applyBorder="1" applyAlignment="1" applyProtection="1">
      <alignment horizontal="right" vertical="center"/>
    </xf>
    <xf numFmtId="184" fontId="6" fillId="10" borderId="21" xfId="34" applyNumberFormat="1" applyFont="1" applyFill="1" applyBorder="1" applyAlignment="1">
      <alignment horizontal="right" vertical="center"/>
    </xf>
    <xf numFmtId="10" fontId="42" fillId="6" borderId="3" xfId="25" applyNumberFormat="1" applyFont="1" applyFill="1" applyBorder="1" applyAlignment="1" applyProtection="1">
      <alignment horizontal="center" vertical="center"/>
    </xf>
    <xf numFmtId="0" fontId="4" fillId="10" borderId="0" xfId="22" applyFont="1" applyFill="1" applyBorder="1" applyAlignment="1" applyProtection="1">
      <alignment vertical="top" wrapText="1"/>
    </xf>
    <xf numFmtId="184" fontId="26" fillId="0" borderId="17" xfId="31" applyNumberFormat="1" applyFont="1" applyFill="1" applyBorder="1" applyAlignment="1" applyProtection="1">
      <alignment horizontal="right" vertical="center"/>
    </xf>
    <xf numFmtId="184" fontId="26" fillId="10" borderId="6" xfId="34" applyNumberFormat="1" applyFont="1" applyFill="1" applyBorder="1" applyAlignment="1">
      <alignment horizontal="right" vertical="center"/>
    </xf>
    <xf numFmtId="184" fontId="26" fillId="0" borderId="3" xfId="31" applyNumberFormat="1" applyFont="1" applyFill="1" applyBorder="1" applyAlignment="1" applyProtection="1">
      <alignment horizontal="right" vertical="center"/>
    </xf>
    <xf numFmtId="0" fontId="42" fillId="0" borderId="0" xfId="22" applyFont="1" applyFill="1" applyBorder="1"/>
    <xf numFmtId="173" fontId="26" fillId="10" borderId="0" xfId="31" applyNumberFormat="1" applyFont="1" applyFill="1" applyBorder="1" applyAlignment="1" applyProtection="1">
      <alignment horizontal="center" vertical="center"/>
    </xf>
    <xf numFmtId="0" fontId="4" fillId="10" borderId="0" xfId="22" applyFont="1" applyFill="1" applyBorder="1" applyAlignment="1" applyProtection="1">
      <alignment horizontal="right" vertical="center"/>
    </xf>
    <xf numFmtId="0" fontId="6" fillId="0" borderId="0" xfId="22" applyFont="1" applyFill="1" applyBorder="1" applyAlignment="1" applyProtection="1">
      <alignment vertical="top"/>
    </xf>
    <xf numFmtId="10" fontId="4" fillId="6" borderId="3" xfId="25" applyNumberFormat="1" applyFont="1" applyFill="1" applyBorder="1" applyAlignment="1" applyProtection="1">
      <alignment horizontal="center" vertical="center"/>
    </xf>
    <xf numFmtId="0" fontId="7" fillId="0" borderId="0" xfId="22" applyFont="1" applyFill="1" applyBorder="1" applyAlignment="1" applyProtection="1">
      <alignment vertical="top"/>
    </xf>
    <xf numFmtId="0" fontId="42" fillId="0" borderId="6" xfId="34" applyFont="1" applyFill="1" applyBorder="1" applyAlignment="1">
      <alignment horizontal="left" vertical="center"/>
    </xf>
    <xf numFmtId="184" fontId="26" fillId="0" borderId="0" xfId="31" applyNumberFormat="1" applyFont="1" applyFill="1" applyBorder="1" applyAlignment="1" applyProtection="1">
      <alignment horizontal="right" vertical="center"/>
    </xf>
    <xf numFmtId="0" fontId="4" fillId="0" borderId="0" xfId="22" applyFont="1" applyFill="1" applyBorder="1" applyAlignment="1" applyProtection="1">
      <alignment vertical="top"/>
    </xf>
    <xf numFmtId="184" fontId="26" fillId="10" borderId="3" xfId="22" applyNumberFormat="1" applyFont="1" applyFill="1" applyBorder="1" applyAlignment="1" applyProtection="1">
      <alignment horizontal="right" vertical="center"/>
    </xf>
    <xf numFmtId="188" fontId="4" fillId="6" borderId="3" xfId="25" applyNumberFormat="1" applyFont="1" applyFill="1" applyBorder="1" applyAlignment="1" applyProtection="1">
      <alignment horizontal="center" vertical="center"/>
    </xf>
    <xf numFmtId="188" fontId="4" fillId="0" borderId="0" xfId="22" applyNumberFormat="1" applyFont="1" applyFill="1" applyBorder="1" applyAlignment="1">
      <alignment vertical="top"/>
    </xf>
    <xf numFmtId="184" fontId="4" fillId="10" borderId="3" xfId="22" applyNumberFormat="1" applyFont="1" applyFill="1" applyBorder="1" applyAlignment="1" applyProtection="1">
      <alignment horizontal="right" vertical="center"/>
    </xf>
    <xf numFmtId="188" fontId="4" fillId="10" borderId="0" xfId="22" applyNumberFormat="1" applyFont="1" applyFill="1" applyBorder="1" applyAlignment="1" applyProtection="1">
      <alignment horizontal="center" vertical="center"/>
    </xf>
    <xf numFmtId="0" fontId="4" fillId="10" borderId="0" xfId="22" applyFont="1" applyFill="1" applyAlignment="1" applyProtection="1">
      <alignment horizontal="center" vertical="center"/>
    </xf>
    <xf numFmtId="188" fontId="4" fillId="10" borderId="0" xfId="22" applyNumberFormat="1" applyFont="1" applyFill="1" applyAlignment="1" applyProtection="1">
      <alignment vertical="center"/>
    </xf>
    <xf numFmtId="184" fontId="42" fillId="10" borderId="3" xfId="22" applyNumberFormat="1" applyFont="1" applyFill="1" applyBorder="1" applyAlignment="1" applyProtection="1">
      <alignment horizontal="right" vertical="center"/>
    </xf>
    <xf numFmtId="188" fontId="4" fillId="10" borderId="0" xfId="22" applyNumberFormat="1" applyFont="1" applyFill="1" applyBorder="1" applyAlignment="1" applyProtection="1">
      <alignment vertical="center"/>
    </xf>
    <xf numFmtId="10" fontId="4" fillId="6" borderId="3" xfId="25" applyNumberFormat="1" applyFont="1" applyFill="1" applyBorder="1" applyAlignment="1" applyProtection="1">
      <alignment horizontal="center" vertical="top"/>
    </xf>
    <xf numFmtId="184" fontId="4" fillId="10" borderId="9" xfId="22" applyNumberFormat="1" applyFont="1" applyFill="1" applyBorder="1" applyAlignment="1" applyProtection="1">
      <alignment horizontal="right" vertical="center"/>
    </xf>
    <xf numFmtId="0" fontId="21" fillId="17" borderId="22" xfId="22" applyFont="1" applyFill="1" applyBorder="1" applyAlignment="1" applyProtection="1">
      <alignment vertical="top"/>
    </xf>
    <xf numFmtId="184" fontId="6" fillId="10" borderId="11" xfId="22" applyNumberFormat="1" applyFont="1" applyFill="1" applyBorder="1" applyAlignment="1" applyProtection="1">
      <alignment horizontal="right" vertical="center"/>
    </xf>
    <xf numFmtId="184" fontId="25" fillId="10" borderId="21" xfId="34" applyNumberFormat="1" applyFont="1" applyFill="1" applyBorder="1" applyAlignment="1">
      <alignment horizontal="right" vertical="center"/>
    </xf>
    <xf numFmtId="173" fontId="42" fillId="10" borderId="0" xfId="22" applyNumberFormat="1" applyFont="1" applyFill="1" applyBorder="1" applyAlignment="1" applyProtection="1">
      <alignment horizontal="center" vertical="center"/>
    </xf>
    <xf numFmtId="184" fontId="4" fillId="10" borderId="4" xfId="22" applyNumberFormat="1" applyFont="1" applyFill="1" applyBorder="1" applyAlignment="1" applyProtection="1">
      <alignment horizontal="right" vertical="center"/>
    </xf>
    <xf numFmtId="192" fontId="42" fillId="10" borderId="0" xfId="22" applyNumberFormat="1" applyFont="1" applyFill="1" applyBorder="1" applyAlignment="1" applyProtection="1">
      <alignment horizontal="center" vertical="center"/>
    </xf>
    <xf numFmtId="0" fontId="6" fillId="10" borderId="22" xfId="22" applyFont="1" applyFill="1" applyBorder="1" applyAlignment="1" applyProtection="1">
      <alignment vertical="top"/>
    </xf>
    <xf numFmtId="184" fontId="25" fillId="10" borderId="20" xfId="34" applyNumberFormat="1" applyFont="1" applyFill="1" applyBorder="1" applyAlignment="1">
      <alignment horizontal="right" vertical="center"/>
    </xf>
    <xf numFmtId="173" fontId="25" fillId="10" borderId="0" xfId="31" applyNumberFormat="1" applyFont="1" applyFill="1" applyBorder="1" applyAlignment="1" applyProtection="1">
      <alignment horizontal="center" vertical="center"/>
    </xf>
    <xf numFmtId="0" fontId="42" fillId="10" borderId="0" xfId="22" applyFont="1" applyFill="1" applyBorder="1" applyAlignment="1" applyProtection="1">
      <alignment vertical="top"/>
    </xf>
    <xf numFmtId="184" fontId="6" fillId="10" borderId="15" xfId="34" applyNumberFormat="1" applyFont="1" applyFill="1" applyBorder="1" applyAlignment="1">
      <alignment horizontal="right" vertical="center"/>
    </xf>
    <xf numFmtId="173" fontId="42" fillId="10" borderId="0" xfId="31" applyNumberFormat="1" applyFont="1" applyFill="1" applyBorder="1" applyAlignment="1" applyProtection="1">
      <alignment horizontal="center" vertical="center"/>
    </xf>
    <xf numFmtId="173" fontId="21" fillId="10" borderId="0" xfId="31" applyNumberFormat="1" applyFont="1" applyFill="1" applyBorder="1" applyAlignment="1" applyProtection="1">
      <alignment horizontal="center" vertical="center"/>
    </xf>
    <xf numFmtId="10" fontId="4" fillId="6" borderId="3" xfId="22" applyNumberFormat="1" applyFont="1" applyFill="1" applyBorder="1" applyAlignment="1" applyProtection="1">
      <alignment horizontal="center" vertical="center"/>
    </xf>
    <xf numFmtId="184" fontId="6" fillId="10" borderId="0" xfId="34" applyNumberFormat="1" applyFont="1" applyFill="1" applyBorder="1" applyAlignment="1">
      <alignment horizontal="right" vertical="center"/>
    </xf>
    <xf numFmtId="184" fontId="6" fillId="10" borderId="0" xfId="34" applyNumberFormat="1" applyFont="1" applyFill="1" applyBorder="1" applyAlignment="1">
      <alignment horizontal="right"/>
    </xf>
    <xf numFmtId="10" fontId="4" fillId="6" borderId="3" xfId="0" applyNumberFormat="1" applyFont="1" applyFill="1" applyBorder="1" applyAlignment="1" applyProtection="1">
      <alignment horizontal="center" vertical="center"/>
    </xf>
    <xf numFmtId="0" fontId="4" fillId="10" borderId="0" xfId="0" applyFont="1" applyFill="1" applyBorder="1" applyAlignment="1" applyProtection="1">
      <alignment vertical="top"/>
    </xf>
    <xf numFmtId="0" fontId="42" fillId="10" borderId="0" xfId="0" applyFont="1" applyFill="1" applyBorder="1" applyAlignment="1" applyProtection="1">
      <alignment vertical="top"/>
    </xf>
    <xf numFmtId="0" fontId="4" fillId="6" borderId="9" xfId="22" applyFont="1" applyFill="1" applyBorder="1" applyAlignment="1" applyProtection="1">
      <alignment horizontal="center" vertical="center"/>
    </xf>
    <xf numFmtId="184" fontId="13" fillId="10" borderId="6" xfId="34" applyNumberFormat="1" applyFont="1" applyFill="1" applyBorder="1" applyAlignment="1">
      <alignment horizontal="right" vertical="center"/>
    </xf>
    <xf numFmtId="38" fontId="4" fillId="10" borderId="0" xfId="22" applyNumberFormat="1" applyFont="1" applyFill="1" applyBorder="1" applyAlignment="1" applyProtection="1">
      <alignment horizontal="center" vertical="center"/>
    </xf>
    <xf numFmtId="38" fontId="6" fillId="10" borderId="20" xfId="22" applyNumberFormat="1" applyFont="1" applyFill="1" applyBorder="1" applyAlignment="1" applyProtection="1">
      <alignment vertical="top"/>
    </xf>
    <xf numFmtId="184" fontId="21" fillId="10" borderId="20" xfId="34" applyNumberFormat="1" applyFont="1" applyFill="1" applyBorder="1" applyAlignment="1">
      <alignment horizontal="right" vertical="center"/>
    </xf>
    <xf numFmtId="184" fontId="21" fillId="10" borderId="22" xfId="34" applyNumberFormat="1" applyFont="1" applyFill="1" applyBorder="1" applyAlignment="1">
      <alignment horizontal="right" vertical="center"/>
    </xf>
    <xf numFmtId="184" fontId="21" fillId="10" borderId="21" xfId="34" applyNumberFormat="1" applyFont="1" applyFill="1" applyBorder="1" applyAlignment="1">
      <alignment horizontal="right" vertical="center"/>
    </xf>
    <xf numFmtId="38" fontId="21" fillId="10" borderId="0" xfId="22" applyNumberFormat="1" applyFont="1" applyFill="1" applyBorder="1" applyAlignment="1" applyProtection="1">
      <alignment horizontal="center" vertical="center"/>
    </xf>
    <xf numFmtId="38" fontId="6" fillId="10" borderId="0" xfId="22" applyNumberFormat="1" applyFont="1" applyFill="1" applyBorder="1" applyAlignment="1" applyProtection="1">
      <alignment horizontal="center" vertical="center"/>
    </xf>
    <xf numFmtId="38" fontId="4" fillId="10" borderId="0" xfId="22" applyNumberFormat="1" applyFont="1" applyFill="1" applyBorder="1" applyAlignment="1" applyProtection="1">
      <alignment vertical="center"/>
    </xf>
    <xf numFmtId="38" fontId="4" fillId="10" borderId="0" xfId="22" applyNumberFormat="1" applyFont="1" applyFill="1" applyAlignment="1" applyProtection="1">
      <alignment vertical="center"/>
    </xf>
    <xf numFmtId="40" fontId="4" fillId="10" borderId="0" xfId="22" applyNumberFormat="1" applyFont="1" applyFill="1" applyBorder="1" applyAlignment="1" applyProtection="1">
      <alignment vertical="center"/>
    </xf>
    <xf numFmtId="40" fontId="6" fillId="10" borderId="11" xfId="22" applyNumberFormat="1" applyFont="1" applyFill="1" applyBorder="1" applyAlignment="1" applyProtection="1">
      <alignment vertical="top"/>
    </xf>
    <xf numFmtId="184" fontId="21" fillId="10" borderId="11" xfId="34" applyNumberFormat="1" applyFont="1" applyFill="1" applyBorder="1" applyAlignment="1">
      <alignment horizontal="right" vertical="center"/>
    </xf>
    <xf numFmtId="184" fontId="21" fillId="10" borderId="12" xfId="34" applyNumberFormat="1" applyFont="1" applyFill="1" applyBorder="1" applyAlignment="1">
      <alignment horizontal="right" vertical="center"/>
    </xf>
    <xf numFmtId="184" fontId="21" fillId="10" borderId="13" xfId="34" applyNumberFormat="1" applyFont="1" applyFill="1" applyBorder="1" applyAlignment="1">
      <alignment horizontal="right" vertical="center"/>
    </xf>
    <xf numFmtId="40" fontId="6" fillId="10" borderId="0" xfId="22" applyNumberFormat="1" applyFont="1" applyFill="1" applyBorder="1" applyAlignment="1" applyProtection="1">
      <alignment horizontal="center" vertical="center"/>
    </xf>
    <xf numFmtId="40" fontId="4" fillId="10" borderId="0" xfId="22" applyNumberFormat="1" applyFont="1" applyFill="1" applyAlignment="1" applyProtection="1">
      <alignment vertical="center"/>
    </xf>
    <xf numFmtId="0" fontId="4" fillId="10" borderId="18" xfId="22" applyFont="1" applyFill="1" applyBorder="1" applyAlignment="1" applyProtection="1">
      <alignment vertical="top"/>
    </xf>
    <xf numFmtId="172" fontId="4" fillId="10" borderId="15" xfId="33" applyNumberFormat="1" applyFont="1" applyFill="1" applyBorder="1" applyAlignment="1" applyProtection="1">
      <alignment horizontal="right" vertical="center"/>
    </xf>
    <xf numFmtId="9" fontId="4" fillId="10" borderId="15" xfId="25" applyFont="1" applyFill="1" applyBorder="1" applyAlignment="1" applyProtection="1">
      <alignment horizontal="right" vertical="center"/>
    </xf>
    <xf numFmtId="9" fontId="4" fillId="10" borderId="19" xfId="25" applyFont="1" applyFill="1" applyBorder="1" applyAlignment="1" applyProtection="1">
      <alignment horizontal="right" vertical="center"/>
    </xf>
    <xf numFmtId="191" fontId="6" fillId="0" borderId="0" xfId="31" applyNumberFormat="1" applyFont="1" applyFill="1" applyBorder="1" applyAlignment="1" applyProtection="1">
      <alignment horizontal="right"/>
    </xf>
    <xf numFmtId="0" fontId="4" fillId="10" borderId="4" xfId="22" applyFont="1" applyFill="1" applyBorder="1" applyAlignment="1" applyProtection="1">
      <alignment vertical="top"/>
    </xf>
    <xf numFmtId="172" fontId="4" fillId="10" borderId="0" xfId="33" applyNumberFormat="1" applyFont="1" applyFill="1" applyBorder="1" applyAlignment="1" applyProtection="1">
      <alignment horizontal="center" vertical="center"/>
    </xf>
    <xf numFmtId="3" fontId="4" fillId="10" borderId="0" xfId="22" applyNumberFormat="1" applyFont="1" applyFill="1" applyBorder="1" applyAlignment="1" applyProtection="1">
      <alignment horizontal="center" vertical="center"/>
    </xf>
    <xf numFmtId="0" fontId="4" fillId="10" borderId="6" xfId="22" applyFont="1" applyFill="1" applyBorder="1" applyAlignment="1" applyProtection="1">
      <alignment horizontal="center" vertical="center"/>
    </xf>
    <xf numFmtId="1" fontId="6" fillId="10" borderId="0" xfId="22" applyNumberFormat="1" applyFont="1" applyFill="1" applyAlignment="1" applyProtection="1">
      <alignment vertical="center"/>
    </xf>
    <xf numFmtId="0" fontId="21" fillId="10" borderId="18" xfId="22" applyFont="1" applyFill="1" applyBorder="1" applyAlignment="1" applyProtection="1">
      <alignment vertical="top"/>
    </xf>
    <xf numFmtId="171" fontId="44" fillId="10" borderId="0" xfId="22" applyNumberFormat="1" applyFont="1" applyFill="1" applyBorder="1" applyAlignment="1" applyProtection="1">
      <alignment horizontal="center" vertical="center"/>
    </xf>
    <xf numFmtId="171" fontId="4" fillId="10" borderId="0" xfId="22" applyNumberFormat="1" applyFont="1" applyFill="1" applyBorder="1" applyAlignment="1" applyProtection="1">
      <alignment horizontal="center" vertical="center"/>
    </xf>
    <xf numFmtId="0" fontId="28" fillId="10" borderId="4" xfId="22" applyFont="1" applyFill="1" applyBorder="1" applyAlignment="1" applyProtection="1">
      <alignment vertical="top"/>
    </xf>
    <xf numFmtId="3" fontId="44" fillId="10" borderId="0" xfId="22" applyNumberFormat="1" applyFont="1" applyFill="1" applyBorder="1" applyAlignment="1" applyProtection="1">
      <alignment horizontal="center" vertical="center"/>
    </xf>
    <xf numFmtId="0" fontId="6" fillId="0" borderId="11" xfId="34" applyFont="1" applyFill="1" applyBorder="1" applyAlignment="1">
      <alignment vertical="center"/>
    </xf>
    <xf numFmtId="189" fontId="44" fillId="10" borderId="12" xfId="22" applyNumberFormat="1" applyFont="1" applyFill="1" applyBorder="1" applyAlignment="1" applyProtection="1">
      <alignment horizontal="center" vertical="center"/>
    </xf>
    <xf numFmtId="0" fontId="5" fillId="10" borderId="0" xfId="22" applyFont="1" applyFill="1" applyBorder="1" applyAlignment="1" applyProtection="1">
      <alignment vertical="center"/>
    </xf>
    <xf numFmtId="171" fontId="5" fillId="10" borderId="0" xfId="25" applyNumberFormat="1" applyFont="1" applyFill="1" applyBorder="1" applyAlignment="1" applyProtection="1">
      <alignment horizontal="center" vertical="center"/>
    </xf>
    <xf numFmtId="171" fontId="5" fillId="10" borderId="0" xfId="22" applyNumberFormat="1" applyFont="1" applyFill="1" applyBorder="1" applyAlignment="1" applyProtection="1">
      <alignment horizontal="center" vertical="center"/>
    </xf>
    <xf numFmtId="0" fontId="6" fillId="10" borderId="16" xfId="22" applyFont="1" applyFill="1" applyBorder="1" applyAlignment="1" applyProtection="1">
      <alignment vertical="top"/>
    </xf>
    <xf numFmtId="0" fontId="4" fillId="10" borderId="15" xfId="22" applyFont="1" applyFill="1" applyBorder="1" applyAlignment="1" applyProtection="1">
      <alignment horizontal="center" vertical="center"/>
    </xf>
    <xf numFmtId="0" fontId="4" fillId="10" borderId="15" xfId="22" applyFont="1" applyFill="1" applyBorder="1" applyAlignment="1" applyProtection="1">
      <alignment vertical="center"/>
    </xf>
    <xf numFmtId="0" fontId="4" fillId="10" borderId="15" xfId="22" applyFont="1" applyFill="1" applyBorder="1" applyAlignment="1" applyProtection="1">
      <alignment horizontal="left" vertical="center"/>
    </xf>
    <xf numFmtId="0" fontId="42" fillId="0" borderId="11" xfId="22" applyFont="1" applyBorder="1"/>
    <xf numFmtId="184" fontId="4" fillId="0" borderId="12" xfId="31" applyNumberFormat="1" applyFont="1" applyFill="1" applyBorder="1" applyAlignment="1" applyProtection="1">
      <alignment horizontal="right"/>
    </xf>
    <xf numFmtId="170" fontId="13" fillId="0" borderId="15" xfId="22" applyNumberFormat="1" applyFont="1" applyFill="1" applyBorder="1" applyAlignment="1" applyProtection="1">
      <alignment horizontal="right" vertical="center"/>
    </xf>
    <xf numFmtId="9" fontId="13" fillId="10" borderId="0" xfId="22" applyNumberFormat="1" applyFont="1" applyFill="1" applyBorder="1" applyAlignment="1" applyProtection="1">
      <alignment horizontal="right" vertical="center"/>
    </xf>
    <xf numFmtId="1" fontId="13" fillId="15" borderId="0" xfId="22" applyNumberFormat="1" applyFont="1" applyFill="1" applyBorder="1" applyAlignment="1">
      <alignment horizontal="right" vertical="center"/>
    </xf>
    <xf numFmtId="10" fontId="13" fillId="0" borderId="0" xfId="25" applyNumberFormat="1" applyFont="1" applyFill="1" applyBorder="1" applyAlignment="1" applyProtection="1">
      <alignment horizontal="right" vertical="center"/>
    </xf>
    <xf numFmtId="9" fontId="13" fillId="10" borderId="12" xfId="22" applyNumberFormat="1" applyFont="1" applyFill="1" applyBorder="1" applyAlignment="1" applyProtection="1">
      <alignment horizontal="right" vertical="center"/>
    </xf>
    <xf numFmtId="10" fontId="45" fillId="10" borderId="6" xfId="25" applyNumberFormat="1" applyFont="1" applyFill="1" applyBorder="1" applyAlignment="1" applyProtection="1">
      <alignment horizontal="right" vertical="center"/>
    </xf>
    <xf numFmtId="0" fontId="45" fillId="10" borderId="6" xfId="22" applyFont="1" applyFill="1" applyBorder="1" applyAlignment="1" applyProtection="1">
      <alignment horizontal="right" vertical="center"/>
    </xf>
    <xf numFmtId="167" fontId="13" fillId="10" borderId="6" xfId="22" applyNumberFormat="1" applyFont="1" applyFill="1" applyBorder="1" applyAlignment="1" applyProtection="1">
      <alignment horizontal="right" vertical="center"/>
    </xf>
    <xf numFmtId="171" fontId="45" fillId="10" borderId="6" xfId="25" applyNumberFormat="1" applyFont="1" applyFill="1" applyBorder="1" applyAlignment="1" applyProtection="1">
      <alignment horizontal="right" vertical="center"/>
    </xf>
    <xf numFmtId="10" fontId="13" fillId="10" borderId="0" xfId="25" applyNumberFormat="1" applyFont="1" applyFill="1" applyBorder="1" applyAlignment="1" applyProtection="1">
      <alignment horizontal="right" vertical="center"/>
    </xf>
    <xf numFmtId="10" fontId="13" fillId="10" borderId="6" xfId="25" applyNumberFormat="1" applyFont="1" applyFill="1" applyBorder="1" applyAlignment="1" applyProtection="1">
      <alignment horizontal="right" vertical="center"/>
    </xf>
    <xf numFmtId="184" fontId="4" fillId="0" borderId="0" xfId="31" applyNumberFormat="1" applyFont="1" applyFill="1" applyBorder="1" applyAlignment="1" applyProtection="1">
      <alignment horizontal="right" vertical="center"/>
    </xf>
    <xf numFmtId="184" fontId="4" fillId="0" borderId="6" xfId="31" applyNumberFormat="1" applyFont="1" applyFill="1" applyBorder="1" applyAlignment="1" applyProtection="1">
      <alignment horizontal="right" vertical="center"/>
    </xf>
    <xf numFmtId="184" fontId="6" fillId="0" borderId="22" xfId="31" applyNumberFormat="1" applyFont="1" applyFill="1" applyBorder="1" applyAlignment="1" applyProtection="1">
      <alignment horizontal="right" vertical="center"/>
    </xf>
    <xf numFmtId="184" fontId="6" fillId="0" borderId="21" xfId="31" applyNumberFormat="1" applyFont="1" applyFill="1" applyBorder="1" applyAlignment="1" applyProtection="1">
      <alignment horizontal="right" vertical="center"/>
    </xf>
    <xf numFmtId="184" fontId="26" fillId="0" borderId="15" xfId="31" applyNumberFormat="1" applyFont="1" applyFill="1" applyBorder="1" applyAlignment="1" applyProtection="1">
      <alignment horizontal="right" vertical="center"/>
    </xf>
    <xf numFmtId="184" fontId="26" fillId="0" borderId="19" xfId="31" applyNumberFormat="1" applyFont="1" applyFill="1" applyBorder="1" applyAlignment="1" applyProtection="1">
      <alignment horizontal="right" vertical="center"/>
    </xf>
    <xf numFmtId="184" fontId="26" fillId="0" borderId="6" xfId="31" applyNumberFormat="1" applyFont="1" applyFill="1" applyBorder="1" applyAlignment="1" applyProtection="1">
      <alignment horizontal="right" vertical="center"/>
    </xf>
    <xf numFmtId="184" fontId="26" fillId="10" borderId="0" xfId="22" applyNumberFormat="1" applyFont="1" applyFill="1" applyBorder="1" applyAlignment="1" applyProtection="1">
      <alignment horizontal="right" vertical="center"/>
    </xf>
    <xf numFmtId="184" fontId="26" fillId="10" borderId="6" xfId="22" applyNumberFormat="1" applyFont="1" applyFill="1" applyBorder="1" applyAlignment="1" applyProtection="1">
      <alignment horizontal="right" vertical="center"/>
    </xf>
    <xf numFmtId="184" fontId="26" fillId="9" borderId="38" xfId="22" applyNumberFormat="1" applyFont="1" applyFill="1" applyBorder="1" applyAlignment="1" applyProtection="1">
      <alignment horizontal="right" vertical="center"/>
    </xf>
    <xf numFmtId="184" fontId="26" fillId="9" borderId="23" xfId="22" applyNumberFormat="1" applyFont="1" applyFill="1" applyBorder="1" applyAlignment="1" applyProtection="1">
      <alignment horizontal="right" vertical="center"/>
    </xf>
    <xf numFmtId="184" fontId="26" fillId="16" borderId="38" xfId="22" applyNumberFormat="1" applyFont="1" applyFill="1" applyBorder="1" applyAlignment="1" applyProtection="1">
      <alignment horizontal="right" vertical="center"/>
    </xf>
    <xf numFmtId="184" fontId="26" fillId="16" borderId="23" xfId="22" applyNumberFormat="1" applyFont="1" applyFill="1" applyBorder="1" applyAlignment="1" applyProtection="1">
      <alignment horizontal="right" vertical="center"/>
    </xf>
    <xf numFmtId="184" fontId="26" fillId="10" borderId="39" xfId="31" applyNumberFormat="1" applyFont="1" applyFill="1" applyBorder="1" applyAlignment="1" applyProtection="1">
      <alignment horizontal="right" vertical="center"/>
    </xf>
    <xf numFmtId="184" fontId="26" fillId="10" borderId="40" xfId="31" applyNumberFormat="1" applyFont="1" applyFill="1" applyBorder="1" applyAlignment="1" applyProtection="1">
      <alignment horizontal="right" vertical="center"/>
    </xf>
    <xf numFmtId="184" fontId="26" fillId="10" borderId="41" xfId="31" applyNumberFormat="1" applyFont="1" applyFill="1" applyBorder="1" applyAlignment="1" applyProtection="1">
      <alignment horizontal="right" vertical="center"/>
    </xf>
    <xf numFmtId="184" fontId="25" fillId="10" borderId="20" xfId="22" applyNumberFormat="1" applyFont="1" applyFill="1" applyBorder="1" applyAlignment="1" applyProtection="1">
      <alignment horizontal="right" vertical="center"/>
    </xf>
    <xf numFmtId="184" fontId="25" fillId="10" borderId="22" xfId="22" applyNumberFormat="1" applyFont="1" applyFill="1" applyBorder="1" applyAlignment="1" applyProtection="1">
      <alignment horizontal="right" vertical="center"/>
    </xf>
    <xf numFmtId="184" fontId="25" fillId="10" borderId="21" xfId="22" applyNumberFormat="1" applyFont="1" applyFill="1" applyBorder="1" applyAlignment="1" applyProtection="1">
      <alignment horizontal="right" vertical="center"/>
    </xf>
    <xf numFmtId="184" fontId="25" fillId="10" borderId="18" xfId="22" applyNumberFormat="1" applyFont="1" applyFill="1" applyBorder="1" applyAlignment="1" applyProtection="1">
      <alignment horizontal="right" vertical="center"/>
    </xf>
    <xf numFmtId="184" fontId="25" fillId="10" borderId="15" xfId="22" applyNumberFormat="1" applyFont="1" applyFill="1" applyBorder="1" applyAlignment="1" applyProtection="1">
      <alignment horizontal="right" vertical="center"/>
    </xf>
    <xf numFmtId="184" fontId="25" fillId="10" borderId="19" xfId="22" applyNumberFormat="1" applyFont="1" applyFill="1" applyBorder="1" applyAlignment="1" applyProtection="1">
      <alignment horizontal="right" vertical="center"/>
    </xf>
    <xf numFmtId="184" fontId="25" fillId="10" borderId="22" xfId="34" applyNumberFormat="1" applyFont="1" applyFill="1" applyBorder="1" applyAlignment="1">
      <alignment horizontal="right" vertical="center"/>
    </xf>
    <xf numFmtId="184" fontId="6" fillId="10" borderId="19" xfId="34" applyNumberFormat="1" applyFont="1" applyFill="1" applyBorder="1" applyAlignment="1">
      <alignment horizontal="right" vertical="center"/>
    </xf>
    <xf numFmtId="0" fontId="2" fillId="10" borderId="0" xfId="0" applyFont="1" applyFill="1" applyBorder="1"/>
    <xf numFmtId="9" fontId="33" fillId="8" borderId="6" xfId="22" applyNumberFormat="1" applyFont="1" applyFill="1" applyBorder="1" applyAlignment="1">
      <alignment horizontal="right" vertical="center"/>
    </xf>
    <xf numFmtId="171" fontId="33" fillId="8" borderId="6" xfId="22" applyNumberFormat="1" applyFont="1" applyFill="1" applyBorder="1" applyAlignment="1">
      <alignment horizontal="right" vertical="center"/>
    </xf>
    <xf numFmtId="1" fontId="33" fillId="10" borderId="3" xfId="8" applyNumberFormat="1" applyFont="1" applyFill="1" applyBorder="1" applyAlignment="1">
      <alignment horizontal="right"/>
    </xf>
    <xf numFmtId="1" fontId="33" fillId="10" borderId="3" xfId="8" applyNumberFormat="1" applyFont="1" applyFill="1" applyBorder="1" applyAlignment="1">
      <alignment horizontal="right" vertical="center"/>
    </xf>
    <xf numFmtId="0" fontId="0" fillId="10" borderId="0" xfId="0" applyFill="1"/>
    <xf numFmtId="0" fontId="2" fillId="10" borderId="0" xfId="0" applyFont="1" applyFill="1"/>
    <xf numFmtId="10" fontId="0" fillId="10" borderId="3" xfId="19" applyNumberFormat="1" applyFont="1" applyFill="1" applyBorder="1"/>
    <xf numFmtId="10" fontId="0" fillId="10" borderId="44" xfId="19" applyNumberFormat="1" applyFont="1" applyFill="1" applyBorder="1"/>
    <xf numFmtId="10" fontId="0" fillId="10" borderId="42" xfId="19" applyNumberFormat="1" applyFont="1" applyFill="1" applyBorder="1"/>
    <xf numFmtId="10" fontId="0" fillId="10" borderId="43" xfId="19" applyNumberFormat="1" applyFont="1" applyFill="1" applyBorder="1"/>
    <xf numFmtId="10" fontId="0" fillId="10" borderId="9" xfId="19" applyNumberFormat="1" applyFont="1" applyFill="1" applyBorder="1"/>
    <xf numFmtId="0" fontId="0" fillId="21" borderId="0" xfId="0" applyFill="1"/>
    <xf numFmtId="0" fontId="2" fillId="21" borderId="0" xfId="0" applyFont="1" applyFill="1"/>
    <xf numFmtId="184" fontId="0" fillId="10" borderId="44" xfId="0" applyNumberFormat="1" applyFill="1" applyBorder="1"/>
    <xf numFmtId="184" fontId="0" fillId="10" borderId="42" xfId="0" applyNumberFormat="1" applyFill="1" applyBorder="1"/>
    <xf numFmtId="184" fontId="0" fillId="10" borderId="43" xfId="0" applyNumberFormat="1" applyFill="1" applyBorder="1"/>
    <xf numFmtId="10" fontId="0" fillId="10" borderId="42" xfId="0" applyNumberFormat="1" applyFill="1" applyBorder="1"/>
    <xf numFmtId="10" fontId="0" fillId="10" borderId="3" xfId="0" applyNumberFormat="1" applyFill="1" applyBorder="1"/>
    <xf numFmtId="10" fontId="0" fillId="10" borderId="9" xfId="0" applyNumberFormat="1" applyFill="1" applyBorder="1"/>
    <xf numFmtId="10" fontId="0" fillId="10" borderId="0" xfId="19" applyNumberFormat="1" applyFont="1" applyFill="1" applyBorder="1"/>
    <xf numFmtId="10" fontId="0" fillId="10" borderId="6" xfId="19" applyNumberFormat="1" applyFont="1" applyFill="1" applyBorder="1"/>
    <xf numFmtId="10" fontId="0" fillId="10" borderId="12" xfId="19" applyNumberFormat="1" applyFont="1" applyFill="1" applyBorder="1"/>
    <xf numFmtId="10" fontId="0" fillId="10" borderId="13" xfId="19" applyNumberFormat="1" applyFont="1" applyFill="1" applyBorder="1"/>
    <xf numFmtId="10" fontId="47" fillId="10" borderId="42" xfId="0" applyNumberFormat="1" applyFont="1" applyFill="1" applyBorder="1"/>
    <xf numFmtId="0" fontId="47" fillId="10" borderId="0" xfId="0" applyFont="1" applyFill="1"/>
    <xf numFmtId="10" fontId="47" fillId="10" borderId="0" xfId="0" applyNumberFormat="1" applyFont="1" applyFill="1"/>
    <xf numFmtId="0" fontId="0" fillId="10" borderId="42" xfId="0" applyFill="1" applyBorder="1"/>
    <xf numFmtId="0" fontId="0" fillId="10" borderId="3" xfId="0" applyFill="1" applyBorder="1"/>
    <xf numFmtId="0" fontId="0" fillId="10" borderId="9" xfId="0" applyFill="1" applyBorder="1"/>
    <xf numFmtId="9" fontId="47" fillId="10" borderId="0" xfId="19" applyFont="1" applyFill="1"/>
    <xf numFmtId="9" fontId="0" fillId="10" borderId="44" xfId="19" applyFont="1" applyFill="1" applyBorder="1"/>
    <xf numFmtId="9" fontId="0" fillId="10" borderId="42" xfId="19" applyFont="1" applyFill="1" applyBorder="1"/>
    <xf numFmtId="9" fontId="0" fillId="10" borderId="43" xfId="19" applyFont="1" applyFill="1" applyBorder="1"/>
    <xf numFmtId="184" fontId="47" fillId="10" borderId="0" xfId="0" applyNumberFormat="1" applyFont="1" applyFill="1"/>
    <xf numFmtId="0" fontId="48" fillId="10" borderId="0" xfId="0" applyFont="1" applyFill="1" applyAlignment="1">
      <alignment horizontal="right"/>
    </xf>
    <xf numFmtId="10" fontId="21" fillId="10" borderId="19" xfId="25" applyNumberFormat="1" applyFont="1" applyFill="1" applyBorder="1" applyAlignment="1" applyProtection="1">
      <alignment horizontal="left" vertical="top"/>
    </xf>
    <xf numFmtId="184" fontId="21" fillId="0" borderId="6" xfId="31" applyNumberFormat="1" applyFont="1" applyFill="1" applyBorder="1" applyAlignment="1" applyProtection="1">
      <alignment horizontal="left" vertical="top"/>
    </xf>
    <xf numFmtId="189" fontId="21" fillId="10" borderId="13" xfId="22" applyNumberFormat="1" applyFont="1" applyFill="1" applyBorder="1" applyAlignment="1" applyProtection="1">
      <alignment horizontal="left" vertical="top"/>
    </xf>
    <xf numFmtId="0" fontId="49" fillId="10" borderId="0" xfId="0" applyFont="1" applyFill="1" applyBorder="1" applyAlignment="1">
      <alignment horizontal="left" vertical="center"/>
    </xf>
    <xf numFmtId="0" fontId="0" fillId="10" borderId="0" xfId="0" applyFill="1" applyBorder="1" applyAlignment="1">
      <alignment horizontal="left" vertical="center"/>
    </xf>
    <xf numFmtId="0" fontId="49" fillId="10" borderId="0" xfId="0" applyFont="1" applyFill="1" applyBorder="1"/>
    <xf numFmtId="1" fontId="47" fillId="10" borderId="0" xfId="42" applyNumberFormat="1" applyFont="1" applyFill="1" applyBorder="1"/>
    <xf numFmtId="10" fontId="47" fillId="10" borderId="0" xfId="0" applyNumberFormat="1" applyFont="1" applyFill="1" applyBorder="1"/>
    <xf numFmtId="0" fontId="48" fillId="10" borderId="0" xfId="0" applyFont="1" applyFill="1" applyBorder="1" applyAlignment="1">
      <alignment horizontal="right"/>
    </xf>
    <xf numFmtId="9" fontId="0" fillId="10" borderId="0" xfId="19" applyFont="1" applyFill="1" applyBorder="1"/>
    <xf numFmtId="10" fontId="47" fillId="10" borderId="0" xfId="19" applyNumberFormat="1" applyFont="1" applyFill="1" applyBorder="1"/>
    <xf numFmtId="184" fontId="0" fillId="10" borderId="0" xfId="0" applyNumberFormat="1" applyFill="1" applyBorder="1"/>
    <xf numFmtId="10" fontId="0" fillId="10" borderId="0" xfId="0" applyNumberFormat="1" applyFill="1" applyBorder="1"/>
    <xf numFmtId="0" fontId="6" fillId="10" borderId="50" xfId="22" applyFont="1" applyFill="1" applyBorder="1" applyAlignment="1" applyProtection="1">
      <alignment horizontal="center" vertical="center"/>
    </xf>
    <xf numFmtId="184" fontId="4" fillId="0" borderId="48" xfId="31" applyNumberFormat="1" applyFont="1" applyFill="1" applyBorder="1" applyAlignment="1" applyProtection="1">
      <alignment horizontal="right" vertical="center"/>
    </xf>
    <xf numFmtId="14" fontId="21" fillId="10" borderId="49" xfId="22" applyNumberFormat="1" applyFont="1" applyFill="1" applyBorder="1" applyAlignment="1" applyProtection="1">
      <alignment horizontal="center" vertical="center"/>
    </xf>
    <xf numFmtId="14" fontId="21" fillId="10" borderId="51" xfId="22" applyNumberFormat="1" applyFont="1" applyFill="1" applyBorder="1" applyAlignment="1" applyProtection="1">
      <alignment horizontal="center" vertical="center"/>
    </xf>
    <xf numFmtId="14" fontId="21" fillId="10" borderId="50" xfId="22" applyNumberFormat="1" applyFont="1" applyFill="1" applyBorder="1" applyAlignment="1" applyProtection="1">
      <alignment horizontal="center" vertical="center"/>
    </xf>
    <xf numFmtId="184" fontId="4" fillId="0" borderId="45" xfId="31" applyNumberFormat="1" applyFont="1" applyFill="1" applyBorder="1" applyAlignment="1" applyProtection="1">
      <alignment horizontal="right" vertical="center"/>
    </xf>
    <xf numFmtId="184" fontId="4" fillId="0" borderId="46" xfId="31" applyNumberFormat="1" applyFont="1" applyFill="1" applyBorder="1" applyAlignment="1" applyProtection="1">
      <alignment horizontal="right" vertical="center"/>
    </xf>
    <xf numFmtId="10" fontId="13" fillId="10" borderId="4" xfId="25" applyNumberFormat="1" applyFont="1" applyFill="1" applyBorder="1" applyAlignment="1" applyProtection="1">
      <alignment horizontal="right" vertical="center"/>
    </xf>
    <xf numFmtId="184" fontId="4" fillId="0" borderId="4" xfId="31" applyNumberFormat="1" applyFont="1" applyFill="1" applyBorder="1" applyAlignment="1" applyProtection="1">
      <alignment horizontal="right" vertical="center"/>
    </xf>
    <xf numFmtId="184" fontId="4" fillId="0" borderId="11" xfId="31" applyNumberFormat="1" applyFont="1" applyFill="1" applyBorder="1" applyAlignment="1" applyProtection="1">
      <alignment horizontal="right" vertical="center"/>
    </xf>
    <xf numFmtId="184" fontId="4" fillId="0" borderId="12" xfId="31" applyNumberFormat="1" applyFont="1" applyFill="1" applyBorder="1" applyAlignment="1" applyProtection="1">
      <alignment horizontal="right" vertical="center"/>
    </xf>
    <xf numFmtId="184" fontId="4" fillId="0" borderId="13" xfId="31" applyNumberFormat="1" applyFont="1" applyFill="1" applyBorder="1" applyAlignment="1" applyProtection="1">
      <alignment horizontal="right" vertical="center"/>
    </xf>
    <xf numFmtId="184" fontId="19" fillId="0" borderId="0" xfId="22" applyNumberFormat="1" applyFont="1" applyFill="1" applyBorder="1" applyAlignment="1">
      <alignment horizontal="center"/>
    </xf>
    <xf numFmtId="10" fontId="1" fillId="0" borderId="0" xfId="32" applyNumberFormat="1" applyFont="1" applyFill="1" applyBorder="1" applyAlignment="1">
      <alignment horizontal="right"/>
    </xf>
    <xf numFmtId="189" fontId="1" fillId="10" borderId="0" xfId="22" applyNumberFormat="1" applyFont="1" applyFill="1" applyBorder="1" applyAlignment="1" applyProtection="1">
      <alignment horizontal="right" vertical="center"/>
    </xf>
    <xf numFmtId="0" fontId="1" fillId="0" borderId="45" xfId="22" applyFont="1" applyBorder="1"/>
    <xf numFmtId="10" fontId="1" fillId="0" borderId="6" xfId="22" applyNumberFormat="1" applyFont="1" applyFill="1" applyBorder="1"/>
    <xf numFmtId="9" fontId="19" fillId="0" borderId="47" xfId="25" applyFont="1" applyFill="1" applyBorder="1" applyAlignment="1">
      <alignment horizontal="center"/>
    </xf>
    <xf numFmtId="9" fontId="45" fillId="10" borderId="0" xfId="19" applyFont="1" applyFill="1" applyBorder="1" applyAlignment="1" applyProtection="1">
      <alignment horizontal="right" vertical="center"/>
    </xf>
    <xf numFmtId="1" fontId="13" fillId="8" borderId="0" xfId="22" applyNumberFormat="1" applyFont="1" applyFill="1" applyBorder="1" applyAlignment="1" applyProtection="1">
      <alignment horizontal="right" vertical="center"/>
    </xf>
    <xf numFmtId="0" fontId="19" fillId="10" borderId="17" xfId="16" applyFont="1" applyFill="1" applyBorder="1" applyAlignment="1">
      <alignment horizontal="center" vertical="center" textRotation="90" wrapText="1"/>
    </xf>
    <xf numFmtId="0" fontId="19" fillId="10" borderId="3" xfId="16" applyFont="1" applyFill="1" applyBorder="1" applyAlignment="1">
      <alignment horizontal="center" vertical="center" textRotation="90" wrapText="1"/>
    </xf>
    <xf numFmtId="0" fontId="19" fillId="10" borderId="9" xfId="16" applyFont="1" applyFill="1" applyBorder="1" applyAlignment="1">
      <alignment horizontal="center" vertical="center" textRotation="90" wrapText="1"/>
    </xf>
    <xf numFmtId="0" fontId="35" fillId="10" borderId="0" xfId="16" applyFont="1" applyFill="1" applyBorder="1" applyAlignment="1">
      <alignment wrapText="1"/>
    </xf>
    <xf numFmtId="0" fontId="30" fillId="10" borderId="0" xfId="0" applyFont="1" applyFill="1" applyAlignment="1">
      <alignment wrapText="1"/>
    </xf>
    <xf numFmtId="0" fontId="19" fillId="10" borderId="17" xfId="16" applyFont="1" applyFill="1" applyBorder="1" applyAlignment="1">
      <alignment horizontal="center" vertical="center" textRotation="90"/>
    </xf>
    <xf numFmtId="0" fontId="19" fillId="10" borderId="3" xfId="16" applyFont="1" applyFill="1" applyBorder="1" applyAlignment="1">
      <alignment horizontal="center" vertical="center" textRotation="90"/>
    </xf>
    <xf numFmtId="0" fontId="19" fillId="10" borderId="9" xfId="16" applyFont="1" applyFill="1" applyBorder="1" applyAlignment="1">
      <alignment horizontal="center" vertical="center" textRotation="90"/>
    </xf>
    <xf numFmtId="0" fontId="19" fillId="10" borderId="19" xfId="16" applyFont="1" applyFill="1" applyBorder="1" applyAlignment="1">
      <alignment horizontal="center" vertical="center" textRotation="90"/>
    </xf>
    <xf numFmtId="0" fontId="19" fillId="10" borderId="6" xfId="16" applyFont="1" applyFill="1" applyBorder="1" applyAlignment="1">
      <alignment horizontal="center" vertical="center" textRotation="90"/>
    </xf>
    <xf numFmtId="0" fontId="19" fillId="10" borderId="13" xfId="16" applyFont="1" applyFill="1" applyBorder="1" applyAlignment="1">
      <alignment horizontal="center" vertical="center" textRotation="90"/>
    </xf>
    <xf numFmtId="0" fontId="30" fillId="10" borderId="0" xfId="0" applyFont="1" applyFill="1" applyBorder="1" applyAlignment="1">
      <alignment horizontal="left" wrapText="1"/>
    </xf>
    <xf numFmtId="0" fontId="35" fillId="10" borderId="0" xfId="16" applyFont="1" applyFill="1" applyBorder="1" applyAlignment="1">
      <alignment horizontal="left" wrapText="1"/>
    </xf>
    <xf numFmtId="0" fontId="35" fillId="10" borderId="0" xfId="16" applyFont="1" applyFill="1" applyAlignment="1">
      <alignment horizontal="left" wrapText="1"/>
    </xf>
    <xf numFmtId="0" fontId="41" fillId="10" borderId="0" xfId="0" applyFont="1" applyFill="1" applyAlignment="1">
      <alignment vertical="center" wrapText="1"/>
    </xf>
    <xf numFmtId="0" fontId="32" fillId="10" borderId="0" xfId="0" applyFont="1" applyFill="1" applyAlignment="1">
      <alignment vertical="center" wrapText="1"/>
    </xf>
    <xf numFmtId="0" fontId="41" fillId="10" borderId="0" xfId="0" applyFont="1" applyFill="1" applyAlignment="1">
      <alignment vertical="center"/>
    </xf>
    <xf numFmtId="0" fontId="35" fillId="10" borderId="0" xfId="16" applyFont="1" applyFill="1" applyBorder="1" applyAlignment="1">
      <alignment horizontal="left"/>
    </xf>
    <xf numFmtId="0" fontId="35" fillId="10" borderId="0" xfId="16" applyFont="1" applyFill="1" applyAlignment="1">
      <alignment horizontal="left"/>
    </xf>
    <xf numFmtId="0" fontId="29" fillId="10" borderId="0" xfId="16" applyFont="1" applyFill="1" applyBorder="1" applyAlignment="1">
      <alignment horizontal="left"/>
    </xf>
    <xf numFmtId="0" fontId="29" fillId="10" borderId="0" xfId="16" applyFont="1" applyFill="1" applyAlignment="1">
      <alignment horizontal="left"/>
    </xf>
    <xf numFmtId="0" fontId="23" fillId="10" borderId="0" xfId="16" applyFont="1" applyFill="1" applyAlignment="1">
      <alignment wrapText="1"/>
    </xf>
    <xf numFmtId="0" fontId="31" fillId="10" borderId="0" xfId="0" applyFont="1" applyFill="1" applyAlignment="1">
      <alignment wrapText="1"/>
    </xf>
    <xf numFmtId="0" fontId="30" fillId="10" borderId="0" xfId="0" applyFont="1" applyFill="1" applyAlignment="1">
      <alignment horizontal="left" wrapText="1"/>
    </xf>
    <xf numFmtId="0" fontId="30" fillId="10" borderId="0" xfId="0" applyFont="1" applyFill="1" applyAlignment="1">
      <alignment vertical="center" wrapText="1"/>
    </xf>
    <xf numFmtId="0" fontId="4" fillId="10" borderId="0" xfId="22" applyFont="1" applyFill="1" applyBorder="1" applyAlignment="1" applyProtection="1">
      <alignment vertical="center"/>
    </xf>
    <xf numFmtId="0" fontId="21" fillId="10" borderId="10" xfId="22" applyNumberFormat="1" applyFont="1" applyFill="1" applyBorder="1" applyAlignment="1" applyProtection="1">
      <alignment horizontal="left" vertical="center"/>
    </xf>
    <xf numFmtId="0" fontId="6" fillId="10" borderId="0" xfId="22" applyFont="1" applyFill="1" applyBorder="1" applyAlignment="1" applyProtection="1">
      <alignment horizontal="left" vertical="center"/>
    </xf>
    <xf numFmtId="0" fontId="4" fillId="10" borderId="0" xfId="22" applyFont="1" applyFill="1" applyBorder="1" applyAlignment="1" applyProtection="1">
      <alignment vertical="center" wrapText="1"/>
    </xf>
    <xf numFmtId="0" fontId="38" fillId="4" borderId="30" xfId="18" applyFont="1" applyFill="1" applyBorder="1" applyAlignment="1" applyProtection="1">
      <alignment horizontal="right"/>
    </xf>
    <xf numFmtId="0" fontId="39" fillId="4" borderId="35" xfId="18" applyFont="1" applyFill="1" applyBorder="1" applyAlignment="1" applyProtection="1"/>
    <xf numFmtId="0" fontId="38" fillId="4" borderId="27" xfId="18" applyFont="1" applyFill="1" applyBorder="1" applyAlignment="1" applyProtection="1">
      <alignment horizontal="right"/>
    </xf>
    <xf numFmtId="0" fontId="39" fillId="4" borderId="37" xfId="18" applyFont="1" applyFill="1" applyBorder="1" applyAlignment="1" applyProtection="1"/>
    <xf numFmtId="0" fontId="15" fillId="5" borderId="0" xfId="18" applyFont="1" applyFill="1" applyAlignment="1" applyProtection="1">
      <alignment horizontal="left" indent="1"/>
    </xf>
    <xf numFmtId="0" fontId="14" fillId="0" borderId="0" xfId="18" applyAlignment="1"/>
    <xf numFmtId="0" fontId="17" fillId="0" borderId="0" xfId="18" applyFont="1" applyBorder="1" applyAlignment="1" applyProtection="1">
      <alignment horizontal="left" vertical="top" wrapText="1"/>
    </xf>
    <xf numFmtId="0" fontId="16" fillId="0" borderId="0" xfId="18" applyFont="1" applyAlignment="1">
      <alignment horizontal="left" vertical="top"/>
    </xf>
    <xf numFmtId="0" fontId="38" fillId="4" borderId="24" xfId="18" applyFont="1" applyFill="1" applyBorder="1" applyAlignment="1" applyProtection="1">
      <alignment horizontal="right"/>
    </xf>
    <xf numFmtId="0" fontId="39" fillId="4" borderId="25" xfId="18" applyFont="1" applyFill="1" applyBorder="1" applyAlignment="1" applyProtection="1"/>
    <xf numFmtId="0" fontId="39" fillId="4" borderId="28" xfId="18" applyFont="1" applyFill="1" applyBorder="1" applyAlignment="1" applyProtection="1"/>
    <xf numFmtId="0" fontId="38" fillId="0" borderId="0" xfId="18" applyFont="1" applyBorder="1" applyAlignment="1" applyProtection="1">
      <alignment horizontal="right"/>
    </xf>
    <xf numFmtId="0" fontId="39" fillId="0" borderId="0" xfId="18" applyFont="1" applyBorder="1" applyAlignment="1" applyProtection="1"/>
    <xf numFmtId="0" fontId="39" fillId="4" borderId="31" xfId="18" applyFont="1" applyFill="1" applyBorder="1" applyAlignment="1" applyProtection="1"/>
    <xf numFmtId="0" fontId="39" fillId="4" borderId="33" xfId="18" applyFont="1" applyFill="1" applyBorder="1" applyAlignment="1" applyProtection="1"/>
  </cellXfs>
  <cellStyles count="43">
    <cellStyle name="cBMilliers" xfId="1" xr:uid="{00000000-0005-0000-0000-000000000000}"/>
    <cellStyle name="cBMilliers-" xfId="2" xr:uid="{00000000-0005-0000-0000-000001000000}"/>
    <cellStyle name="cBMilliers 2" xfId="38" xr:uid="{19E439FF-0730-C94D-A497-70E6B75DDCB6}"/>
    <cellStyle name="cBMilliers- 2" xfId="36" xr:uid="{1C223DAE-7879-A04C-87CF-0F928FA1B37F}"/>
    <cellStyle name="Euro" xfId="4" xr:uid="{00000000-0005-0000-0000-000002000000}"/>
    <cellStyle name="Lien hypertexte 2" xfId="35" xr:uid="{5EDF5F07-9C76-3449-B239-6268558B192B}"/>
    <cellStyle name="Milliers" xfId="3" builtinId="3"/>
    <cellStyle name="Milliers 2" xfId="5" xr:uid="{00000000-0005-0000-0000-000004000000}"/>
    <cellStyle name="Milliers 2 2" xfId="6" xr:uid="{00000000-0005-0000-0000-000005000000}"/>
    <cellStyle name="Milliers 2 3" xfId="27" xr:uid="{CC8E48A9-1320-A34A-87D6-17452D68545A}"/>
    <cellStyle name="Milliers 3" xfId="7" xr:uid="{00000000-0005-0000-0000-000006000000}"/>
    <cellStyle name="Milliers 3 2" xfId="33" xr:uid="{78D683EB-AE01-D543-A8CC-69A951DC157D}"/>
    <cellStyle name="Milliers 3 2 2" xfId="41" xr:uid="{4BC7F4BA-84C7-ED42-BC70-705A122A3FFF}"/>
    <cellStyle name="Milliers 4" xfId="8" xr:uid="{00000000-0005-0000-0000-000007000000}"/>
    <cellStyle name="Milliers 4 2" xfId="28" xr:uid="{67143848-A6ED-6C4B-A165-B303557CF144}"/>
    <cellStyle name="Milliers 5" xfId="37" xr:uid="{B8D8EFAD-BE22-2A46-8D3F-8316D6001C95}"/>
    <cellStyle name="Monétaire" xfId="42" builtinId="4"/>
    <cellStyle name="Monétaire 2" xfId="9" xr:uid="{00000000-0005-0000-0000-000009000000}"/>
    <cellStyle name="Monétaire 2 2" xfId="31" xr:uid="{D375D901-83DC-3640-9153-DC7D557B7073}"/>
    <cellStyle name="Monétaire 3" xfId="10" xr:uid="{00000000-0005-0000-0000-00000A000000}"/>
    <cellStyle name="Monétaire 3 2" xfId="40" xr:uid="{6C8F90A5-0333-FD47-95DD-AB4F7E49A2A2}"/>
    <cellStyle name="Monétaire 4" xfId="11" xr:uid="{00000000-0005-0000-0000-00000B000000}"/>
    <cellStyle name="Monétaire 5" xfId="12" xr:uid="{00000000-0005-0000-0000-00000C000000}"/>
    <cellStyle name="Monétaire 5 2" xfId="29" xr:uid="{FFB1224A-D097-394A-B4B5-E0A983AF9F29}"/>
    <cellStyle name="Monétaire 6" xfId="13" xr:uid="{00000000-0005-0000-0000-00000D000000}"/>
    <cellStyle name="Normal" xfId="0" builtinId="0"/>
    <cellStyle name="Normal 2" xfId="14" xr:uid="{00000000-0005-0000-0000-00000F000000}"/>
    <cellStyle name="Normal 2 2" xfId="22" xr:uid="{BE00D939-5B82-C949-A276-02443FDD1374}"/>
    <cellStyle name="Normal 2 2 2" xfId="30" xr:uid="{39CDC91E-DF7A-B640-AC82-384A410A2A72}"/>
    <cellStyle name="Normal 3" xfId="15" xr:uid="{00000000-0005-0000-0000-000010000000}"/>
    <cellStyle name="Normal 3 2" xfId="23" xr:uid="{81D5DBBF-C004-4343-93C8-2E80EC9119F7}"/>
    <cellStyle name="Normal 4" xfId="16" xr:uid="{00000000-0005-0000-0000-000011000000}"/>
    <cellStyle name="Normal 4 2" xfId="26" xr:uid="{61AD9F98-D546-254B-94F5-2A1F0DAD80AC}"/>
    <cellStyle name="Normal 5" xfId="17" xr:uid="{00000000-0005-0000-0000-000012000000}"/>
    <cellStyle name="Normal 6" xfId="18" xr:uid="{00000000-0005-0000-0000-000013000000}"/>
    <cellStyle name="Normal 8" xfId="34" xr:uid="{57AA6519-0623-F345-A9C8-86D0E03FFC7B}"/>
    <cellStyle name="Pourcentage" xfId="19" builtinId="5"/>
    <cellStyle name="Pourcentage 2" xfId="20" xr:uid="{00000000-0005-0000-0000-000015000000}"/>
    <cellStyle name="Pourcentage 2 2" xfId="24" xr:uid="{D7C8DADF-5625-454D-A1B7-246664E131E8}"/>
    <cellStyle name="Pourcentage 3" xfId="21" xr:uid="{00000000-0005-0000-0000-000016000000}"/>
    <cellStyle name="Pourcentage 3 2" xfId="25" xr:uid="{8D17D87B-EBB1-584A-BCA9-8A665AC4B41E}"/>
    <cellStyle name="Pourcentage 3 2 2" xfId="39" xr:uid="{DC85DF77-3342-3948-B65A-4DC81C9A9D91}"/>
    <cellStyle name="Pourcentage 4" xfId="32" xr:uid="{16534DCD-8210-8743-858E-E9E64B3B8B59}"/>
  </cellStyles>
  <dxfs count="33">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56"/>
      </font>
    </dxf>
    <dxf>
      <font>
        <condense val="0"/>
        <extend val="0"/>
        <color auto="1"/>
      </font>
    </dxf>
    <dxf>
      <font>
        <condense val="0"/>
        <extend val="0"/>
        <color auto="1"/>
      </font>
    </dxf>
    <dxf>
      <font>
        <condense val="0"/>
        <extend val="0"/>
        <color auto="1"/>
      </font>
    </dxf>
    <dxf>
      <font>
        <condense val="0"/>
        <extend val="0"/>
        <color auto="1"/>
      </font>
    </dxf>
    <dxf>
      <font>
        <condense val="0"/>
        <extend val="0"/>
        <color indexed="9"/>
      </font>
    </dxf>
    <dxf>
      <font>
        <strike val="0"/>
        <outline val="0"/>
        <shadow val="0"/>
        <u val="none"/>
        <vertAlign val="baseline"/>
        <sz val="12"/>
        <name val="Calibri"/>
        <family val="2"/>
        <scheme val="minor"/>
      </font>
      <numFmt numFmtId="184" formatCode="#,##0,\k\ &quot;€&quot;_);[Red]\(#,##0,\k\ &quot;€&quot;\)"/>
      <alignment horizontal="right" textRotation="0" wrapText="0" indent="0" justifyLastLine="0" shrinkToFit="0" readingOrder="0"/>
    </dxf>
    <dxf>
      <font>
        <strike val="0"/>
        <outline val="0"/>
        <shadow val="0"/>
        <u val="none"/>
        <vertAlign val="baseline"/>
        <sz val="12"/>
        <name val="Calibri"/>
        <family val="2"/>
        <scheme val="minor"/>
      </font>
      <numFmt numFmtId="184" formatCode="#,##0,\k\ &quot;€&quot;_);[Red]\(#,##0,\k\ &quot;€&quot;\)"/>
      <alignment horizontal="right" textRotation="0" wrapText="0" indent="0" justifyLastLine="0" shrinkToFit="0" readingOrder="0"/>
    </dxf>
    <dxf>
      <font>
        <strike val="0"/>
        <outline val="0"/>
        <shadow val="0"/>
        <u val="none"/>
        <vertAlign val="baseline"/>
        <sz val="12"/>
        <name val="Calibri"/>
        <family val="2"/>
        <scheme val="minor"/>
      </font>
      <numFmt numFmtId="166" formatCode="#,##0&quot; m²&quot;"/>
      <alignment horizontal="right" textRotation="0" wrapText="0" indent="0" justifyLastLine="0" shrinkToFit="0" readingOrder="0"/>
    </dxf>
    <dxf>
      <font>
        <strike val="0"/>
        <outline val="0"/>
        <shadow val="0"/>
        <u val="none"/>
        <vertAlign val="baseline"/>
        <sz val="12"/>
        <name val="Calibri"/>
        <family val="2"/>
        <scheme val="minor"/>
      </font>
    </dxf>
    <dxf>
      <font>
        <strike val="0"/>
        <outline val="0"/>
        <shadow val="0"/>
        <u val="none"/>
        <vertAlign val="baseline"/>
        <sz val="12"/>
        <name val="Calibri"/>
        <family val="2"/>
        <scheme val="minor"/>
      </font>
    </dxf>
    <dxf>
      <font>
        <strike val="0"/>
        <outline val="0"/>
        <shadow val="0"/>
        <u val="none"/>
        <vertAlign val="baseline"/>
        <sz val="12"/>
        <name val="Calibri"/>
        <family val="2"/>
        <scheme val="minor"/>
      </font>
    </dxf>
    <dxf>
      <font>
        <condense val="0"/>
        <extend val="0"/>
        <color auto="1"/>
      </font>
    </dxf>
    <dxf>
      <font>
        <condense val="0"/>
        <extend val="0"/>
        <color indexed="9"/>
      </font>
    </dxf>
    <dxf>
      <font>
        <condense val="0"/>
        <extend val="0"/>
        <color indexed="9"/>
      </font>
    </dxf>
    <dxf>
      <font>
        <condense val="0"/>
        <extend val="0"/>
        <color indexed="9"/>
      </font>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2F2F2"/>
      <rgbColor rgb="0000FFFF"/>
      <rgbColor rgb="00336699"/>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DDDDDD"/>
      <rgbColor rgb="00CCFFCC"/>
      <rgbColor rgb="00FFFF99"/>
      <rgbColor rgb="0099CCFF"/>
      <rgbColor rgb="00B42200"/>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dual_al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D:/Users/aniri.maguru/Desktop/Saint%20Martin%200606201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C:/var/folders/0d/6vypxqdj1zx2mws84gwpbpjw0000gp/T/com.microsoft.Outlook/Outlook%20Temp/GORALSKA/Budgets/Budget%20S&amp;S/Copie%20de%20budgetgoralskaresidenc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var/folders/0d/6vypxqdj1zx2mws84gwpbpjw0000gp/T/com.microsoft.Outlook/Outlook%20Temp/GORALSKA/Budgets/Budget%20S&amp;S/Copie%20de%20budgetgoralskaresidenc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C:/Users/Aniri%20Maguru/Dropbox%20(SIIFFA)/Immo/Marboeuf/Marboeuf%204.2%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al A"/>
      <sheetName val="Top Sheet"/>
      <sheetName val="Prelim Est"/>
      <sheetName val="AUM Detail"/>
      <sheetName val="Mapping table"/>
      <sheetName val="SAP Entry"/>
      <sheetName val="Waivers"/>
      <sheetName val="ExpRe"/>
      <sheetName val="Dual B"/>
      <sheetName val="Dual Y"/>
      <sheetName val="Dual C"/>
      <sheetName val="FSR Data"/>
      <sheetName val="AFS Data"/>
      <sheetName val="12b1"/>
      <sheetName val="Dual Closed"/>
      <sheetName val="Dual Pace"/>
      <sheetName val="Dual RMA"/>
      <sheetName val="Dual Series"/>
      <sheetName val="Dual Nonprop"/>
      <sheetName val="Offshore"/>
      <sheetName val="Breakdown"/>
      <sheetName val="Wavgbps"/>
      <sheetName val="Transfer"/>
      <sheetName val="transferinput"/>
      <sheetName val="Sub-advisSummary"/>
      <sheetName val="SubAdvis1"/>
      <sheetName val="UBS Fds"/>
      <sheetName val="Retail Est"/>
      <sheetName val="Out of Pocket"/>
      <sheetName val="Bills"/>
      <sheetName val="Gross BPs"/>
      <sheetName val="PACE ERISA"/>
      <sheetName val="DFP"/>
      <sheetName val="Dual D"/>
      <sheetName val="Brinson Fds"/>
      <sheetName val="Sub-Alliance"/>
      <sheetName val="SubAdvis2"/>
      <sheetName val="DSI Estimate"/>
      <sheetName val="CSC"/>
      <sheetName val="Monthly Cashflows"/>
      <sheetName val="Summa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QUISITION FINANCEMENT"/>
      <sheetName val="LOCATION"/>
      <sheetName val="TRI  ans CB BEST CASE"/>
      <sheetName val="CB"/>
      <sheetName val="TAM"/>
      <sheetName val="TAM 5ans"/>
      <sheetName val="Etat surface - évaluation trvx"/>
    </sheetNames>
    <sheetDataSet>
      <sheetData sheetId="0"/>
      <sheetData sheetId="1"/>
      <sheetData sheetId="2"/>
      <sheetData sheetId="3"/>
      <sheetData sheetId="4">
        <row r="5">
          <cell r="D5" t="e">
            <v>#REF!</v>
          </cell>
        </row>
        <row r="6">
          <cell r="I6" t="e">
            <v>#REF!</v>
          </cell>
        </row>
        <row r="8">
          <cell r="I8" t="e">
            <v>#REF!</v>
          </cell>
        </row>
        <row r="10">
          <cell r="I10">
            <v>1</v>
          </cell>
        </row>
        <row r="11">
          <cell r="I11" t="e">
            <v>#REF!</v>
          </cell>
        </row>
        <row r="13">
          <cell r="I13">
            <v>0</v>
          </cell>
        </row>
      </sheetData>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ORALSKA HOTEL"/>
      <sheetName val="GORALSKA HOTEL (2)"/>
      <sheetName val="ELEMENTS SALAIRES"/>
      <sheetName val="Feuil1"/>
      <sheetName val="Feuil2"/>
    </sheetNames>
    <sheetDataSet>
      <sheetData sheetId="0"/>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ORALSKA HOTEL"/>
      <sheetName val="GORALSKA HOTEL (2)"/>
      <sheetName val="ELEMENTS SALAIRES"/>
      <sheetName val="Feuil1"/>
      <sheetName val="Feuil2"/>
    </sheetNames>
    <sheetDataSet>
      <sheetData sheetId="0"/>
      <sheetData sheetId="1"/>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QUISITION FINANCEMENT"/>
      <sheetName val="Hotel"/>
      <sheetName val="CoWorking"/>
      <sheetName val="ETAT SURFACE - EVALUATION TRVX"/>
      <sheetName val="TRI "/>
      <sheetName val="TAM"/>
    </sheetNames>
    <sheetDataSet>
      <sheetData sheetId="0"/>
      <sheetData sheetId="1"/>
      <sheetData sheetId="2"/>
      <sheetData sheetId="3"/>
      <sheetData sheetId="4"/>
      <sheetData sheetId="5">
        <row r="334">
          <cell r="N334">
            <v>0</v>
          </cell>
        </row>
      </sheetData>
    </sheetDataSet>
  </externalBook>
</externalLink>
</file>

<file path=xl/persons/person.xml><?xml version="1.0" encoding="utf-8"?>
<personList xmlns="http://schemas.microsoft.com/office/spreadsheetml/2018/threadedcomments" xmlns:x="http://schemas.openxmlformats.org/spreadsheetml/2006/main">
  <person displayName="Aniri Maguru" id="{5FDD746D-A3A2-C84D-B79F-31C3B9775AFA}" userId="Aniri Maguru" providerId="Non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76A4113-3A75-0E4F-8A1A-986BA45454DD}" name="Tableau1" displayName="Tableau1" ref="G30:J33" totalsRowShown="0" headerRowDxfId="28" dataDxfId="27">
  <autoFilter ref="G30:J33" xr:uid="{6515E58E-2237-41EF-92A2-DEDD3C7409A7}"/>
  <tableColumns count="4">
    <tableColumn id="1" xr3:uid="{D0B3FC35-105D-FD43-8D03-ACE3489647EF}" name="Travaux " dataDxfId="26"/>
    <tableColumn id="2" xr3:uid="{B7265BF1-C3E4-6949-82F6-71A019AAC6F0}" name="m2" dataDxfId="25">
      <calculatedColumnFormula>C5</calculatedColumnFormula>
    </tableColumn>
    <tableColumn id="3" xr3:uid="{E8481866-868B-CB41-BACD-A70EBEF8A5A8}" name="cout m2" dataDxfId="24"/>
    <tableColumn id="4" xr3:uid="{C7F68572-5A08-DE4B-B375-6BAFAC911834}" name="total" dataDxfId="23"/>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03132-F5C9-584E-B984-F3E691DAB86E}">
  <sheetPr>
    <tabColor theme="9"/>
  </sheetPr>
  <dimension ref="R30"/>
  <sheetViews>
    <sheetView zoomScaleNormal="100" workbookViewId="0">
      <selection activeCell="N22" sqref="N22"/>
    </sheetView>
  </sheetViews>
  <sheetFormatPr baseColWidth="10" defaultColWidth="10.85546875" defaultRowHeight="12.75"/>
  <cols>
    <col min="1" max="16384" width="10.85546875" style="1"/>
  </cols>
  <sheetData>
    <row r="30" spans="18:18">
      <c r="R30" s="439"/>
    </row>
  </sheetData>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EBE2A-3A67-0D44-A208-7808193D75E7}">
  <sheetPr>
    <tabColor theme="7"/>
  </sheetPr>
  <dimension ref="A1"/>
  <sheetViews>
    <sheetView workbookViewId="0">
      <selection activeCell="H14" sqref="H14"/>
    </sheetView>
  </sheetViews>
  <sheetFormatPr baseColWidth="10" defaultColWidth="11.42578125" defaultRowHeight="15"/>
  <cols>
    <col min="1" max="16384" width="11.42578125" style="99"/>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tint="0.39997558519241921"/>
    <pageSetUpPr fitToPage="1"/>
  </sheetPr>
  <dimension ref="A3:Z61"/>
  <sheetViews>
    <sheetView zoomScaleNormal="153" zoomScaleSheetLayoutView="100" workbookViewId="0">
      <selection activeCell="B4" sqref="B4"/>
    </sheetView>
  </sheetViews>
  <sheetFormatPr baseColWidth="10" defaultColWidth="10.85546875" defaultRowHeight="15.75"/>
  <cols>
    <col min="1" max="1" width="35.7109375" style="16" bestFit="1" customWidth="1"/>
    <col min="2" max="2" width="33.7109375" style="16" bestFit="1" customWidth="1"/>
    <col min="3" max="3" width="14" style="102" customWidth="1"/>
    <col min="4" max="4" width="12.42578125" style="16" customWidth="1"/>
    <col min="5" max="5" width="12.28515625" style="16" customWidth="1"/>
    <col min="6" max="6" width="12" style="16" customWidth="1"/>
    <col min="7" max="7" width="11.140625" style="16" customWidth="1"/>
    <col min="8" max="8" width="11.42578125" style="16" customWidth="1"/>
    <col min="9" max="9" width="12.140625" style="16" bestFit="1" customWidth="1"/>
    <col min="10" max="10" width="11.85546875" style="16" bestFit="1" customWidth="1"/>
    <col min="11" max="12" width="10.85546875" style="16"/>
    <col min="13" max="13" width="44.28515625" style="16" customWidth="1"/>
    <col min="14" max="19" width="0" style="16" hidden="1" customWidth="1"/>
    <col min="20" max="16384" width="10.85546875" style="16"/>
  </cols>
  <sheetData>
    <row r="3" spans="1:14" ht="16.5" thickBot="1"/>
    <row r="4" spans="1:14" ht="16.5" thickBot="1">
      <c r="B4" s="61" t="s">
        <v>175</v>
      </c>
      <c r="C4" s="62" t="s">
        <v>24</v>
      </c>
      <c r="D4" s="61" t="s">
        <v>25</v>
      </c>
      <c r="E4" s="61" t="s">
        <v>26</v>
      </c>
      <c r="F4" s="61" t="s">
        <v>27</v>
      </c>
      <c r="G4" s="61" t="s">
        <v>28</v>
      </c>
      <c r="H4" s="2" t="s">
        <v>0</v>
      </c>
      <c r="I4" s="101">
        <f ca="1">TODAY()</f>
        <v>43612</v>
      </c>
      <c r="J4" s="100"/>
    </row>
    <row r="5" spans="1:14" ht="16.5" thickBot="1">
      <c r="A5" s="516" t="s">
        <v>1</v>
      </c>
      <c r="B5" s="47" t="s">
        <v>36</v>
      </c>
      <c r="C5" s="17">
        <v>20</v>
      </c>
      <c r="D5" s="17">
        <v>20</v>
      </c>
      <c r="E5" s="17">
        <v>20</v>
      </c>
      <c r="F5" s="17">
        <v>20</v>
      </c>
      <c r="G5" s="17">
        <v>20</v>
      </c>
      <c r="H5" s="18">
        <v>1.2E-2</v>
      </c>
      <c r="K5" s="19"/>
    </row>
    <row r="6" spans="1:14">
      <c r="A6" s="517"/>
      <c r="B6" s="47" t="s">
        <v>75</v>
      </c>
      <c r="C6" s="65">
        <f>C5*365</f>
        <v>7300</v>
      </c>
      <c r="D6" s="65">
        <f>D5*365</f>
        <v>7300</v>
      </c>
      <c r="E6" s="65">
        <f>E5*365</f>
        <v>7300</v>
      </c>
      <c r="F6" s="65">
        <f>F5*365</f>
        <v>7300</v>
      </c>
      <c r="G6" s="65">
        <f>G5*365</f>
        <v>7300</v>
      </c>
      <c r="H6" s="66"/>
      <c r="K6" s="19"/>
    </row>
    <row r="7" spans="1:14">
      <c r="A7" s="517"/>
      <c r="B7" s="47" t="s">
        <v>37</v>
      </c>
      <c r="C7" s="442">
        <f>+C5*365*C8</f>
        <v>5475</v>
      </c>
      <c r="D7" s="443">
        <f>+D5*365*D8</f>
        <v>5475</v>
      </c>
      <c r="E7" s="443">
        <f>+E5*365*E8</f>
        <v>5475</v>
      </c>
      <c r="F7" s="443">
        <f>+F5*365*F8</f>
        <v>5475</v>
      </c>
      <c r="G7" s="443">
        <f>+G5*365*G8</f>
        <v>5475</v>
      </c>
      <c r="H7" s="35"/>
      <c r="I7" s="36"/>
      <c r="J7" s="36"/>
      <c r="K7" s="36"/>
      <c r="L7" s="36"/>
      <c r="M7" s="36"/>
    </row>
    <row r="8" spans="1:14">
      <c r="A8" s="517"/>
      <c r="B8" s="47" t="s">
        <v>38</v>
      </c>
      <c r="C8" s="67">
        <f>'Sensivity '!B4</f>
        <v>0.75</v>
      </c>
      <c r="D8" s="67">
        <f>C8</f>
        <v>0.75</v>
      </c>
      <c r="E8" s="67">
        <f t="shared" ref="E8:G8" si="0">D8</f>
        <v>0.75</v>
      </c>
      <c r="F8" s="67">
        <f t="shared" si="0"/>
        <v>0.75</v>
      </c>
      <c r="G8" s="67">
        <f t="shared" si="0"/>
        <v>0.75</v>
      </c>
      <c r="H8" s="37" t="s">
        <v>33</v>
      </c>
      <c r="I8" s="38"/>
      <c r="J8" s="38"/>
      <c r="K8" s="38"/>
      <c r="L8" s="38"/>
      <c r="M8" s="38"/>
    </row>
    <row r="9" spans="1:14" ht="16.5" thickBot="1">
      <c r="A9" s="518"/>
      <c r="B9" s="48" t="s">
        <v>39</v>
      </c>
      <c r="C9" s="31">
        <f>'Sensivity '!B5</f>
        <v>300</v>
      </c>
      <c r="D9" s="31">
        <f>C9</f>
        <v>300</v>
      </c>
      <c r="E9" s="31">
        <f t="shared" ref="E9:G9" si="1">D9</f>
        <v>300</v>
      </c>
      <c r="F9" s="31">
        <f t="shared" si="1"/>
        <v>300</v>
      </c>
      <c r="G9" s="31">
        <f t="shared" si="1"/>
        <v>300</v>
      </c>
      <c r="H9" s="39" t="s">
        <v>34</v>
      </c>
      <c r="I9" s="38"/>
      <c r="J9" s="38"/>
      <c r="K9" s="38"/>
      <c r="L9" s="38"/>
      <c r="M9" s="38"/>
    </row>
    <row r="10" spans="1:14" ht="16.5" thickBot="1">
      <c r="A10" s="513" t="s">
        <v>65</v>
      </c>
      <c r="B10" s="63" t="s">
        <v>31</v>
      </c>
      <c r="C10" s="64">
        <f>C11/C6</f>
        <v>225</v>
      </c>
      <c r="D10" s="64">
        <f>D11/D6</f>
        <v>225</v>
      </c>
      <c r="E10" s="64">
        <f>E11/E6</f>
        <v>225</v>
      </c>
      <c r="F10" s="64">
        <f>F11/F6</f>
        <v>225</v>
      </c>
      <c r="G10" s="64">
        <f>G11/G6</f>
        <v>225</v>
      </c>
      <c r="H10" s="39"/>
      <c r="I10" s="38"/>
      <c r="J10" s="38"/>
      <c r="K10" s="38"/>
      <c r="L10" s="38"/>
      <c r="M10" s="38"/>
    </row>
    <row r="11" spans="1:14" ht="16.5" thickBot="1">
      <c r="A11" s="514"/>
      <c r="B11" s="49" t="s">
        <v>40</v>
      </c>
      <c r="C11" s="3">
        <f>+C9*C7</f>
        <v>1642500</v>
      </c>
      <c r="D11" s="3">
        <f>+D9*D7</f>
        <v>1642500</v>
      </c>
      <c r="E11" s="3">
        <f>+E9*E7</f>
        <v>1642500</v>
      </c>
      <c r="F11" s="3">
        <f>+F9*F7</f>
        <v>1642500</v>
      </c>
      <c r="G11" s="3">
        <f>+G9*G7</f>
        <v>1642500</v>
      </c>
      <c r="H11" s="38"/>
      <c r="I11" s="38"/>
      <c r="J11" s="38"/>
      <c r="K11" s="38"/>
      <c r="L11" s="38"/>
      <c r="M11" s="38"/>
    </row>
    <row r="12" spans="1:14">
      <c r="A12" s="514"/>
      <c r="B12" s="32" t="s">
        <v>41</v>
      </c>
      <c r="C12" s="20">
        <f>+C7*1.5*0.5*10*C8</f>
        <v>30796.875</v>
      </c>
      <c r="D12" s="20">
        <f>+D7*1.5*0.5*10*D8</f>
        <v>30796.875</v>
      </c>
      <c r="E12" s="20">
        <f>+E7*1.5*0.5*10*E8</f>
        <v>30796.875</v>
      </c>
      <c r="F12" s="20">
        <f>+F7*1.5*0.5*10*F8</f>
        <v>30796.875</v>
      </c>
      <c r="G12" s="20">
        <f>+G7*1.5*0.5*10*G8</f>
        <v>30796.875</v>
      </c>
      <c r="H12" s="38" t="s">
        <v>176</v>
      </c>
      <c r="I12" s="38"/>
      <c r="J12" s="38"/>
      <c r="K12" s="38"/>
      <c r="L12" s="38"/>
      <c r="M12" s="38"/>
      <c r="N12" s="103">
        <f>E12/E11</f>
        <v>1.8749999999999999E-2</v>
      </c>
    </row>
    <row r="13" spans="1:14">
      <c r="A13" s="514"/>
      <c r="B13" s="32" t="s">
        <v>42</v>
      </c>
      <c r="C13" s="20">
        <f>C5*365*7</f>
        <v>51100</v>
      </c>
      <c r="D13" s="20">
        <f>D5*365*8</f>
        <v>58400</v>
      </c>
      <c r="E13" s="20">
        <f>E5*365*8</f>
        <v>58400</v>
      </c>
      <c r="F13" s="20">
        <f>F5*365*8</f>
        <v>58400</v>
      </c>
      <c r="G13" s="20">
        <f>G5*365*8</f>
        <v>58400</v>
      </c>
      <c r="H13" s="38" t="s">
        <v>71</v>
      </c>
      <c r="I13" s="38"/>
      <c r="J13" s="38"/>
      <c r="K13" s="38"/>
      <c r="L13" s="38"/>
      <c r="M13" s="38"/>
      <c r="N13" s="103">
        <f>E13/E11</f>
        <v>3.5555555555555556E-2</v>
      </c>
    </row>
    <row r="14" spans="1:14" ht="3" customHeight="1">
      <c r="A14" s="514"/>
      <c r="B14" s="32"/>
      <c r="C14" s="20"/>
      <c r="D14" s="20"/>
      <c r="E14" s="20"/>
      <c r="F14" s="20"/>
      <c r="G14" s="20"/>
      <c r="H14" s="38"/>
      <c r="I14" s="38"/>
      <c r="J14" s="38"/>
      <c r="K14" s="38"/>
      <c r="L14" s="38"/>
      <c r="M14" s="38"/>
      <c r="N14" s="103"/>
    </row>
    <row r="15" spans="1:14">
      <c r="A15" s="514"/>
      <c r="B15" s="33" t="s">
        <v>43</v>
      </c>
      <c r="C15" s="20">
        <f>+C12+C13+C14</f>
        <v>81896.875</v>
      </c>
      <c r="D15" s="20">
        <f>+D12+D13+D14</f>
        <v>89196.875</v>
      </c>
      <c r="E15" s="20">
        <f>+E12+E13+E14</f>
        <v>89196.875</v>
      </c>
      <c r="F15" s="20">
        <f>+F12+F13+F14</f>
        <v>89196.875</v>
      </c>
      <c r="G15" s="20">
        <f>+G12+G13+G14</f>
        <v>89196.875</v>
      </c>
      <c r="H15" s="38"/>
      <c r="I15" s="38"/>
      <c r="J15" s="38"/>
      <c r="K15" s="38"/>
      <c r="L15" s="38"/>
      <c r="M15" s="38"/>
      <c r="N15" s="103"/>
    </row>
    <row r="16" spans="1:14">
      <c r="A16" s="514"/>
      <c r="B16" s="50" t="s">
        <v>44</v>
      </c>
      <c r="C16" s="20">
        <f>+C12*0.5</f>
        <v>15398.4375</v>
      </c>
      <c r="D16" s="20">
        <f>+D12*0.5</f>
        <v>15398.4375</v>
      </c>
      <c r="E16" s="20">
        <f>+E12*0.5</f>
        <v>15398.4375</v>
      </c>
      <c r="F16" s="20">
        <f>+F12*0.5</f>
        <v>15398.4375</v>
      </c>
      <c r="G16" s="20">
        <f>+G12*0.5</f>
        <v>15398.4375</v>
      </c>
      <c r="H16" s="511" t="s">
        <v>72</v>
      </c>
      <c r="I16" s="512"/>
      <c r="J16" s="512"/>
      <c r="K16" s="512"/>
      <c r="L16" s="512"/>
      <c r="M16" s="512"/>
      <c r="N16" s="103">
        <f>E16/E12</f>
        <v>0.5</v>
      </c>
    </row>
    <row r="17" spans="1:26">
      <c r="A17" s="514"/>
      <c r="B17" s="50" t="s">
        <v>3</v>
      </c>
      <c r="C17" s="20">
        <f>+C13*0.3</f>
        <v>15330</v>
      </c>
      <c r="D17" s="20">
        <f>+D13*0.3</f>
        <v>17520</v>
      </c>
      <c r="E17" s="20">
        <f>+E13*0.3</f>
        <v>17520</v>
      </c>
      <c r="F17" s="20">
        <f>+F13*0.3</f>
        <v>17520</v>
      </c>
      <c r="G17" s="20">
        <f>+G13*0.3</f>
        <v>17520</v>
      </c>
      <c r="H17" s="38" t="s">
        <v>73</v>
      </c>
      <c r="I17" s="38"/>
      <c r="J17" s="38"/>
      <c r="K17" s="38"/>
      <c r="L17" s="38"/>
      <c r="M17" s="38"/>
      <c r="N17" s="103">
        <f>E17/E13</f>
        <v>0.3</v>
      </c>
    </row>
    <row r="18" spans="1:26" ht="3" customHeight="1">
      <c r="A18" s="514"/>
      <c r="B18" s="50"/>
      <c r="C18" s="20"/>
      <c r="D18" s="20"/>
      <c r="E18" s="20"/>
      <c r="F18" s="20"/>
      <c r="G18" s="20"/>
      <c r="H18" s="38"/>
      <c r="I18" s="38"/>
      <c r="J18" s="38"/>
      <c r="K18" s="38"/>
      <c r="L18" s="38"/>
      <c r="M18" s="38"/>
    </row>
    <row r="19" spans="1:26">
      <c r="A19" s="514"/>
      <c r="B19" s="33" t="s">
        <v>45</v>
      </c>
      <c r="C19" s="20">
        <f>+C16+C17+C18</f>
        <v>30728.4375</v>
      </c>
      <c r="D19" s="20">
        <f>+D16+D17+D18</f>
        <v>32918.4375</v>
      </c>
      <c r="E19" s="20">
        <f>+E16+E17+E18</f>
        <v>32918.4375</v>
      </c>
      <c r="F19" s="20">
        <f>+F16+F17+F18</f>
        <v>32918.4375</v>
      </c>
      <c r="G19" s="20">
        <f>+G16+G17+G18</f>
        <v>32918.4375</v>
      </c>
      <c r="H19" s="36"/>
      <c r="I19" s="36"/>
      <c r="J19" s="36"/>
      <c r="K19" s="36"/>
      <c r="L19" s="36"/>
      <c r="M19" s="36"/>
    </row>
    <row r="20" spans="1:26">
      <c r="A20" s="514"/>
      <c r="B20" s="47" t="s">
        <v>46</v>
      </c>
      <c r="C20" s="20">
        <f>+C15-C19</f>
        <v>51168.4375</v>
      </c>
      <c r="D20" s="20">
        <f>+D15-D19</f>
        <v>56278.4375</v>
      </c>
      <c r="E20" s="20">
        <f>+E15-E19</f>
        <v>56278.4375</v>
      </c>
      <c r="F20" s="20">
        <f>+F15-F19</f>
        <v>56278.4375</v>
      </c>
      <c r="G20" s="20">
        <f>+G15-G19</f>
        <v>56278.4375</v>
      </c>
      <c r="H20" s="36"/>
      <c r="I20" s="36"/>
      <c r="J20" s="36"/>
      <c r="K20" s="36"/>
      <c r="L20" s="36"/>
      <c r="M20" s="36"/>
    </row>
    <row r="21" spans="1:26" ht="6" customHeight="1" thickBot="1">
      <c r="A21" s="514"/>
      <c r="B21" s="47"/>
      <c r="C21" s="20"/>
      <c r="D21" s="20"/>
      <c r="E21" s="20"/>
      <c r="F21" s="20"/>
      <c r="G21" s="20"/>
      <c r="H21" s="40"/>
      <c r="I21" s="41"/>
      <c r="J21" s="36"/>
      <c r="K21" s="36"/>
      <c r="L21" s="36"/>
      <c r="M21" s="36"/>
    </row>
    <row r="22" spans="1:26" ht="16.5" thickBot="1">
      <c r="A22" s="515"/>
      <c r="B22" s="49" t="s">
        <v>47</v>
      </c>
      <c r="C22" s="3">
        <f>+C11+C20</f>
        <v>1693668.4375</v>
      </c>
      <c r="D22" s="3">
        <f>+D11+D20</f>
        <v>1698778.4375</v>
      </c>
      <c r="E22" s="3">
        <f>+E11+E20</f>
        <v>1698778.4375</v>
      </c>
      <c r="F22" s="3">
        <f>+F11+F20</f>
        <v>1698778.4375</v>
      </c>
      <c r="G22" s="3">
        <f>+G11+G20</f>
        <v>1698778.4375</v>
      </c>
      <c r="H22" s="42"/>
      <c r="I22" s="36"/>
      <c r="J22" s="36"/>
      <c r="K22" s="36"/>
      <c r="L22" s="36"/>
      <c r="M22" s="36"/>
    </row>
    <row r="23" spans="1:26" ht="3" customHeight="1">
      <c r="A23" s="4"/>
      <c r="B23" s="51"/>
      <c r="C23" s="5"/>
      <c r="D23" s="5"/>
      <c r="E23" s="6"/>
      <c r="F23" s="6"/>
      <c r="G23" s="6"/>
      <c r="H23" s="42"/>
      <c r="I23" s="36"/>
      <c r="J23" s="36"/>
      <c r="K23" s="36"/>
      <c r="L23" s="36"/>
      <c r="M23" s="36"/>
    </row>
    <row r="24" spans="1:26" s="21" customFormat="1" ht="16.5" thickBot="1">
      <c r="A24" s="7"/>
      <c r="B24" s="51"/>
      <c r="C24" s="5"/>
      <c r="D24" s="5"/>
      <c r="E24" s="5"/>
      <c r="F24" s="5"/>
      <c r="G24" s="5"/>
      <c r="H24" s="42"/>
      <c r="I24" s="43"/>
      <c r="J24" s="43"/>
      <c r="K24" s="43"/>
      <c r="L24" s="43"/>
      <c r="M24" s="36"/>
      <c r="N24" s="16"/>
      <c r="O24" s="16"/>
      <c r="P24" s="16"/>
      <c r="Q24" s="16"/>
    </row>
    <row r="25" spans="1:26" ht="16.5" thickBot="1">
      <c r="A25" s="513" t="s">
        <v>166</v>
      </c>
      <c r="B25" s="52" t="s">
        <v>48</v>
      </c>
      <c r="C25" s="9">
        <f>SUM(C26:C43)</f>
        <v>654897.26785714284</v>
      </c>
      <c r="D25" s="9">
        <f>SUM(D26:D43)</f>
        <v>655308.06785714289</v>
      </c>
      <c r="E25" s="9">
        <f>SUM(E26:E43)</f>
        <v>655310.06785714289</v>
      </c>
      <c r="F25" s="9">
        <f>SUM(F26:F43)</f>
        <v>655312.06785714289</v>
      </c>
      <c r="G25" s="10">
        <f>SUM(G26:G43)</f>
        <v>655314.06785714289</v>
      </c>
      <c r="H25" s="44"/>
      <c r="I25" s="44"/>
      <c r="J25" s="44"/>
      <c r="K25" s="44"/>
      <c r="L25" s="44"/>
      <c r="M25" s="36"/>
    </row>
    <row r="26" spans="1:26">
      <c r="A26" s="514"/>
      <c r="B26" s="53" t="s">
        <v>49</v>
      </c>
      <c r="C26" s="22">
        <f>50000*1.25+(8*1100*14*1.25)</f>
        <v>216500</v>
      </c>
      <c r="D26" s="22">
        <f>50000*1.25+(8*1100*14*1.25)</f>
        <v>216500</v>
      </c>
      <c r="E26" s="22">
        <f>50000*1.25+(8*1100*14*1.25)</f>
        <v>216500</v>
      </c>
      <c r="F26" s="22">
        <f>50000*1.25+(8*1100*14*1.25)</f>
        <v>216500</v>
      </c>
      <c r="G26" s="23">
        <f>50000*1.25+(8*1100*14*1.25)</f>
        <v>216500</v>
      </c>
      <c r="H26" s="520" t="s">
        <v>29</v>
      </c>
      <c r="I26" s="521"/>
      <c r="J26" s="521"/>
      <c r="K26" s="521"/>
      <c r="L26" s="521"/>
      <c r="M26" s="521"/>
      <c r="N26" s="104">
        <f>E26/E11</f>
        <v>0.13181126331811263</v>
      </c>
      <c r="O26" s="104">
        <f>F26/F11</f>
        <v>0.13181126331811263</v>
      </c>
      <c r="P26" s="104">
        <f>G26/G11</f>
        <v>0.13181126331811263</v>
      </c>
      <c r="Q26" s="104" t="e">
        <f>#REF!/#REF!</f>
        <v>#REF!</v>
      </c>
      <c r="R26" s="104" t="e">
        <f>#REF!/#REF!</f>
        <v>#REF!</v>
      </c>
      <c r="S26" s="104" t="e">
        <f>#REF!/#REF!</f>
        <v>#REF!</v>
      </c>
      <c r="T26" s="522"/>
      <c r="U26" s="522"/>
      <c r="V26" s="522"/>
      <c r="W26" s="522"/>
      <c r="X26" s="522"/>
      <c r="Y26" s="522"/>
      <c r="Z26" s="105"/>
    </row>
    <row r="27" spans="1:26">
      <c r="A27" s="514"/>
      <c r="B27" s="53" t="s">
        <v>50</v>
      </c>
      <c r="C27" s="24">
        <f>+C22*0.08</f>
        <v>135493.47500000001</v>
      </c>
      <c r="D27" s="24">
        <f>+D22*0.08</f>
        <v>135902.27499999999</v>
      </c>
      <c r="E27" s="24">
        <f>+E22*0.08</f>
        <v>135902.27499999999</v>
      </c>
      <c r="F27" s="24">
        <f>+F22*0.08</f>
        <v>135902.27499999999</v>
      </c>
      <c r="G27" s="20">
        <f>+G22*0.08</f>
        <v>135902.27499999999</v>
      </c>
      <c r="H27" s="38" t="s">
        <v>177</v>
      </c>
      <c r="I27" s="38"/>
      <c r="J27" s="45"/>
      <c r="K27" s="45"/>
      <c r="L27" s="38"/>
      <c r="M27" s="38"/>
      <c r="N27" s="104"/>
      <c r="O27" s="104"/>
      <c r="P27" s="104"/>
      <c r="Q27" s="104"/>
      <c r="R27" s="104"/>
      <c r="S27" s="104"/>
      <c r="T27" s="106"/>
      <c r="U27" s="106"/>
      <c r="V27" s="106"/>
      <c r="W27" s="106"/>
      <c r="X27" s="106"/>
      <c r="Y27" s="106"/>
      <c r="Z27" s="105"/>
    </row>
    <row r="28" spans="1:26">
      <c r="A28" s="514"/>
      <c r="B28" s="53" t="s">
        <v>51</v>
      </c>
      <c r="C28" s="24">
        <v>50000</v>
      </c>
      <c r="D28" s="24">
        <v>50001</v>
      </c>
      <c r="E28" s="24">
        <v>50002</v>
      </c>
      <c r="F28" s="24">
        <v>50003</v>
      </c>
      <c r="G28" s="20">
        <v>50004</v>
      </c>
      <c r="H28" s="38" t="s">
        <v>178</v>
      </c>
      <c r="I28" s="38"/>
      <c r="J28" s="45"/>
      <c r="K28" s="45"/>
      <c r="L28" s="45"/>
      <c r="M28" s="45"/>
      <c r="N28" s="104"/>
      <c r="O28" s="104"/>
      <c r="P28" s="104"/>
      <c r="Q28" s="104"/>
      <c r="R28" s="104"/>
      <c r="S28" s="104"/>
      <c r="T28" s="106"/>
      <c r="U28" s="106"/>
      <c r="V28" s="106"/>
      <c r="W28" s="106"/>
      <c r="X28" s="106"/>
      <c r="Y28" s="106"/>
      <c r="Z28" s="105"/>
    </row>
    <row r="29" spans="1:26">
      <c r="A29" s="514"/>
      <c r="B29" s="53" t="s">
        <v>52</v>
      </c>
      <c r="C29" s="24">
        <f>11*C7*C8</f>
        <v>45168.75</v>
      </c>
      <c r="D29" s="24">
        <f>11*D7*D8</f>
        <v>45168.75</v>
      </c>
      <c r="E29" s="24">
        <f>11*E7*E8</f>
        <v>45168.75</v>
      </c>
      <c r="F29" s="24">
        <f>11*F7*F8</f>
        <v>45168.75</v>
      </c>
      <c r="G29" s="20">
        <f>11*G7*G8</f>
        <v>45168.75</v>
      </c>
      <c r="H29" s="519" t="s">
        <v>179</v>
      </c>
      <c r="I29" s="519"/>
      <c r="J29" s="519"/>
      <c r="K29" s="519"/>
      <c r="L29" s="519"/>
      <c r="M29" s="519"/>
      <c r="N29" s="104"/>
      <c r="O29" s="104"/>
      <c r="P29" s="104"/>
      <c r="Q29" s="104"/>
      <c r="R29" s="104"/>
      <c r="S29" s="104"/>
      <c r="T29" s="106"/>
      <c r="U29" s="106"/>
      <c r="V29" s="106"/>
      <c r="W29" s="106"/>
      <c r="X29" s="106"/>
      <c r="Y29" s="106"/>
      <c r="Z29" s="105"/>
    </row>
    <row r="30" spans="1:26">
      <c r="A30" s="514"/>
      <c r="B30" s="53" t="s">
        <v>2</v>
      </c>
      <c r="C30" s="24">
        <v>50000</v>
      </c>
      <c r="D30" s="24">
        <v>50001</v>
      </c>
      <c r="E30" s="24">
        <v>50002</v>
      </c>
      <c r="F30" s="24">
        <v>50003</v>
      </c>
      <c r="G30" s="20">
        <v>50004</v>
      </c>
      <c r="H30" s="520" t="s">
        <v>180</v>
      </c>
      <c r="I30" s="521"/>
      <c r="J30" s="521"/>
      <c r="K30" s="521"/>
      <c r="L30" s="521"/>
      <c r="M30" s="521"/>
      <c r="N30" s="104"/>
      <c r="O30" s="104"/>
      <c r="P30" s="104"/>
      <c r="Q30" s="104"/>
      <c r="R30" s="104"/>
      <c r="S30" s="104"/>
      <c r="T30" s="106"/>
      <c r="U30" s="106"/>
      <c r="V30" s="106"/>
      <c r="W30" s="106"/>
      <c r="X30" s="106"/>
      <c r="Y30" s="106"/>
      <c r="Z30" s="105"/>
    </row>
    <row r="31" spans="1:26">
      <c r="A31" s="514"/>
      <c r="B31" s="53" t="s">
        <v>53</v>
      </c>
      <c r="C31" s="24">
        <f>(30*92*12)*0.67</f>
        <v>22190.400000000001</v>
      </c>
      <c r="D31" s="24">
        <f>(30*92*12)*0.67</f>
        <v>22190.400000000001</v>
      </c>
      <c r="E31" s="24">
        <f>(30*92*12)*0.67</f>
        <v>22190.400000000001</v>
      </c>
      <c r="F31" s="24">
        <f>(30*92*12)*0.67</f>
        <v>22190.400000000001</v>
      </c>
      <c r="G31" s="20">
        <f>(30*92*12)*0.67</f>
        <v>22190.400000000001</v>
      </c>
      <c r="H31" s="520" t="s">
        <v>74</v>
      </c>
      <c r="I31" s="521"/>
      <c r="J31" s="521"/>
      <c r="K31" s="521"/>
      <c r="L31" s="521"/>
      <c r="M31" s="521"/>
      <c r="N31" s="104"/>
      <c r="O31" s="104"/>
      <c r="P31" s="104"/>
      <c r="Q31" s="104"/>
      <c r="R31" s="104"/>
      <c r="S31" s="104"/>
      <c r="T31" s="106"/>
      <c r="U31" s="106"/>
      <c r="V31" s="106"/>
      <c r="W31" s="106"/>
      <c r="X31" s="106"/>
      <c r="Y31" s="106"/>
      <c r="Z31" s="105"/>
    </row>
    <row r="32" spans="1:26">
      <c r="A32" s="514"/>
      <c r="B32" s="53" t="s">
        <v>54</v>
      </c>
      <c r="C32" s="24">
        <f>4.5*C7</f>
        <v>24637.5</v>
      </c>
      <c r="D32" s="24">
        <f>4.5*D7</f>
        <v>24637.5</v>
      </c>
      <c r="E32" s="24">
        <f>4.5*E7</f>
        <v>24637.5</v>
      </c>
      <c r="F32" s="24">
        <f>4.5*F7</f>
        <v>24637.5</v>
      </c>
      <c r="G32" s="20">
        <f>4.5*G7</f>
        <v>24637.5</v>
      </c>
      <c r="H32" s="525" t="s">
        <v>181</v>
      </c>
      <c r="I32" s="526"/>
      <c r="J32" s="526"/>
      <c r="K32" s="526"/>
      <c r="L32" s="526"/>
      <c r="M32" s="526"/>
      <c r="N32" s="104"/>
      <c r="O32" s="104"/>
      <c r="P32" s="104"/>
      <c r="Q32" s="104"/>
      <c r="R32" s="104"/>
      <c r="S32" s="104"/>
      <c r="T32" s="106"/>
      <c r="U32" s="106"/>
      <c r="V32" s="106"/>
      <c r="W32" s="106"/>
      <c r="X32" s="106"/>
      <c r="Y32" s="106"/>
      <c r="Z32" s="105"/>
    </row>
    <row r="33" spans="1:26">
      <c r="A33" s="514"/>
      <c r="B33" s="53" t="s">
        <v>70</v>
      </c>
      <c r="C33" s="24">
        <f>2*C7</f>
        <v>10950</v>
      </c>
      <c r="D33" s="24">
        <f>2*D7</f>
        <v>10950</v>
      </c>
      <c r="E33" s="24">
        <f>2*E7</f>
        <v>10950</v>
      </c>
      <c r="F33" s="24">
        <f>2*F7</f>
        <v>10950</v>
      </c>
      <c r="G33" s="20">
        <f>2*G7</f>
        <v>10950</v>
      </c>
      <c r="H33" s="519" t="s">
        <v>182</v>
      </c>
      <c r="I33" s="531"/>
      <c r="J33" s="531"/>
      <c r="K33" s="531"/>
      <c r="L33" s="531"/>
      <c r="M33" s="531"/>
      <c r="N33" s="104"/>
      <c r="O33" s="104"/>
      <c r="P33" s="104"/>
      <c r="Q33" s="104"/>
      <c r="R33" s="104"/>
      <c r="S33" s="104"/>
      <c r="T33" s="106"/>
      <c r="U33" s="106"/>
      <c r="V33" s="106"/>
      <c r="W33" s="106"/>
      <c r="X33" s="106"/>
      <c r="Y33" s="106"/>
      <c r="Z33" s="105"/>
    </row>
    <row r="34" spans="1:26">
      <c r="A34" s="514"/>
      <c r="B34" s="53" t="s">
        <v>55</v>
      </c>
      <c r="C34" s="25">
        <f>+(55000/1.75*0.67)</f>
        <v>21057.142857142859</v>
      </c>
      <c r="D34" s="25">
        <f>+(55000/1.75*0.67)</f>
        <v>21057.142857142859</v>
      </c>
      <c r="E34" s="25">
        <f>+(55000/1.75*0.67)</f>
        <v>21057.142857142859</v>
      </c>
      <c r="F34" s="25">
        <f>+(55000/1.75*0.67)</f>
        <v>21057.142857142859</v>
      </c>
      <c r="G34" s="26">
        <f>+(55000/1.75*0.67)</f>
        <v>21057.142857142859</v>
      </c>
      <c r="H34" s="519" t="s">
        <v>189</v>
      </c>
      <c r="I34" s="531"/>
      <c r="J34" s="531"/>
      <c r="K34" s="531"/>
      <c r="L34" s="531"/>
      <c r="M34" s="531"/>
      <c r="N34" s="104"/>
      <c r="O34" s="104"/>
      <c r="P34" s="104"/>
      <c r="Q34" s="104"/>
      <c r="R34" s="104"/>
      <c r="S34" s="104"/>
      <c r="T34" s="106"/>
      <c r="U34" s="106"/>
      <c r="V34" s="106"/>
      <c r="W34" s="106"/>
      <c r="X34" s="106"/>
      <c r="Y34" s="106"/>
      <c r="Z34" s="105"/>
    </row>
    <row r="35" spans="1:26">
      <c r="A35" s="514"/>
      <c r="B35" s="53" t="s">
        <v>56</v>
      </c>
      <c r="C35" s="24">
        <f>30000*0.6</f>
        <v>18000</v>
      </c>
      <c r="D35" s="24">
        <f>30000*0.6</f>
        <v>18000</v>
      </c>
      <c r="E35" s="24">
        <f>30000*0.6</f>
        <v>18000</v>
      </c>
      <c r="F35" s="24">
        <f>30000*0.6</f>
        <v>18000</v>
      </c>
      <c r="G35" s="20">
        <f>30000*0.6</f>
        <v>18000</v>
      </c>
      <c r="H35" s="519" t="s">
        <v>183</v>
      </c>
      <c r="I35" s="531"/>
      <c r="J35" s="531"/>
      <c r="K35" s="531"/>
      <c r="L35" s="531"/>
      <c r="M35" s="531"/>
      <c r="N35" s="104"/>
      <c r="O35" s="104"/>
      <c r="P35" s="104"/>
      <c r="Q35" s="104"/>
      <c r="R35" s="104"/>
      <c r="S35" s="104"/>
      <c r="T35" s="106"/>
      <c r="U35" s="106"/>
      <c r="V35" s="106"/>
      <c r="W35" s="106"/>
      <c r="X35" s="106"/>
      <c r="Y35" s="106"/>
      <c r="Z35" s="105"/>
    </row>
    <row r="36" spans="1:26" ht="16.5" customHeight="1">
      <c r="A36" s="514"/>
      <c r="B36" s="53" t="s">
        <v>57</v>
      </c>
      <c r="C36" s="24">
        <f>25000*0.6</f>
        <v>15000</v>
      </c>
      <c r="D36" s="24">
        <f>25000*0.6</f>
        <v>15000</v>
      </c>
      <c r="E36" s="24">
        <f>25000*0.6</f>
        <v>15000</v>
      </c>
      <c r="F36" s="24">
        <f>25000*0.6</f>
        <v>15000</v>
      </c>
      <c r="G36" s="20">
        <f>25000*0.6</f>
        <v>15000</v>
      </c>
      <c r="H36" s="525" t="s">
        <v>184</v>
      </c>
      <c r="I36" s="526"/>
      <c r="J36" s="526"/>
      <c r="K36" s="526"/>
      <c r="L36" s="526"/>
      <c r="M36" s="526"/>
      <c r="N36" s="104"/>
      <c r="O36" s="104"/>
      <c r="P36" s="104"/>
      <c r="Q36" s="104"/>
      <c r="R36" s="104"/>
      <c r="S36" s="104"/>
      <c r="T36" s="106"/>
      <c r="U36" s="106"/>
      <c r="V36" s="106"/>
      <c r="W36" s="106"/>
      <c r="X36" s="106"/>
      <c r="Y36" s="106"/>
      <c r="Z36" s="105"/>
    </row>
    <row r="37" spans="1:26" ht="15.6" customHeight="1">
      <c r="A37" s="514"/>
      <c r="B37" s="53" t="s">
        <v>58</v>
      </c>
      <c r="C37" s="24">
        <f>30*600*0.6</f>
        <v>10800</v>
      </c>
      <c r="D37" s="24">
        <f>30*600*0.6</f>
        <v>10800</v>
      </c>
      <c r="E37" s="24">
        <f>30*600*0.6</f>
        <v>10800</v>
      </c>
      <c r="F37" s="24">
        <f>30*600*0.6</f>
        <v>10800</v>
      </c>
      <c r="G37" s="20">
        <f>30*600*0.6</f>
        <v>10800</v>
      </c>
      <c r="H37" s="520" t="s">
        <v>185</v>
      </c>
      <c r="I37" s="520"/>
      <c r="J37" s="520"/>
      <c r="K37" s="520"/>
      <c r="L37" s="520"/>
      <c r="M37" s="520"/>
      <c r="N37" s="104"/>
      <c r="O37" s="104"/>
      <c r="P37" s="104"/>
      <c r="Q37" s="104"/>
      <c r="R37" s="104"/>
      <c r="S37" s="104"/>
      <c r="T37" s="106"/>
      <c r="U37" s="106"/>
      <c r="V37" s="106"/>
      <c r="W37" s="106"/>
      <c r="X37" s="106"/>
      <c r="Y37" s="106"/>
      <c r="Z37" s="105"/>
    </row>
    <row r="38" spans="1:26" ht="18" customHeight="1">
      <c r="A38" s="514"/>
      <c r="B38" s="53" t="s">
        <v>59</v>
      </c>
      <c r="C38" s="24">
        <f>15000*0.6</f>
        <v>9000</v>
      </c>
      <c r="D38" s="24">
        <f t="shared" ref="D38:G39" si="2">15000*0.6</f>
        <v>9000</v>
      </c>
      <c r="E38" s="24">
        <f t="shared" si="2"/>
        <v>9000</v>
      </c>
      <c r="F38" s="24">
        <f t="shared" si="2"/>
        <v>9000</v>
      </c>
      <c r="G38" s="20">
        <f t="shared" si="2"/>
        <v>9000</v>
      </c>
      <c r="H38" s="520" t="s">
        <v>186</v>
      </c>
      <c r="I38" s="520"/>
      <c r="J38" s="520"/>
      <c r="K38" s="520"/>
      <c r="L38" s="520"/>
      <c r="M38" s="520"/>
      <c r="N38" s="104"/>
      <c r="O38" s="104"/>
      <c r="P38" s="104"/>
      <c r="Q38" s="104"/>
      <c r="R38" s="104"/>
      <c r="S38" s="104"/>
      <c r="T38" s="106"/>
      <c r="U38" s="106"/>
      <c r="V38" s="106"/>
      <c r="W38" s="106"/>
      <c r="X38" s="106"/>
      <c r="Y38" s="106"/>
      <c r="Z38" s="105"/>
    </row>
    <row r="39" spans="1:26">
      <c r="A39" s="514"/>
      <c r="B39" s="53" t="s">
        <v>60</v>
      </c>
      <c r="C39" s="24">
        <f>15000*0.6</f>
        <v>9000</v>
      </c>
      <c r="D39" s="24">
        <f t="shared" si="2"/>
        <v>9000</v>
      </c>
      <c r="E39" s="24">
        <f t="shared" si="2"/>
        <v>9000</v>
      </c>
      <c r="F39" s="24">
        <f t="shared" si="2"/>
        <v>9000</v>
      </c>
      <c r="G39" s="20">
        <f t="shared" si="2"/>
        <v>9000</v>
      </c>
      <c r="H39" s="532" t="s">
        <v>186</v>
      </c>
      <c r="I39" s="532"/>
      <c r="J39" s="532"/>
      <c r="K39" s="532"/>
      <c r="L39" s="532"/>
      <c r="M39" s="532"/>
      <c r="N39" s="104"/>
      <c r="O39" s="104"/>
      <c r="P39" s="104"/>
      <c r="Q39" s="104"/>
      <c r="R39" s="104"/>
      <c r="S39" s="104"/>
      <c r="T39" s="106"/>
      <c r="U39" s="106"/>
      <c r="V39" s="106"/>
      <c r="W39" s="106"/>
      <c r="X39" s="106"/>
      <c r="Y39" s="106"/>
      <c r="Z39" s="105"/>
    </row>
    <row r="40" spans="1:26">
      <c r="A40" s="514"/>
      <c r="B40" s="53" t="s">
        <v>61</v>
      </c>
      <c r="C40" s="24">
        <f>6000*0.6</f>
        <v>3600</v>
      </c>
      <c r="D40" s="24">
        <f t="shared" ref="D40:G41" si="3">6000*0.6</f>
        <v>3600</v>
      </c>
      <c r="E40" s="24">
        <f t="shared" si="3"/>
        <v>3600</v>
      </c>
      <c r="F40" s="24">
        <f t="shared" si="3"/>
        <v>3600</v>
      </c>
      <c r="G40" s="20">
        <f t="shared" si="3"/>
        <v>3600</v>
      </c>
      <c r="H40" s="519" t="s">
        <v>185</v>
      </c>
      <c r="I40" s="531"/>
      <c r="J40" s="531"/>
      <c r="K40" s="531"/>
      <c r="L40" s="531"/>
      <c r="M40" s="531"/>
      <c r="N40" s="104">
        <f>E29/E11</f>
        <v>2.75E-2</v>
      </c>
      <c r="O40" s="104">
        <f>F29/F11</f>
        <v>2.75E-2</v>
      </c>
      <c r="P40" s="104">
        <f>G29/G11</f>
        <v>2.75E-2</v>
      </c>
      <c r="Q40" s="104" t="e">
        <f>#REF!/#REF!</f>
        <v>#REF!</v>
      </c>
      <c r="R40" s="104" t="e">
        <f>#REF!/#REF!</f>
        <v>#REF!</v>
      </c>
      <c r="S40" s="104" t="e">
        <f>#REF!/#REF!</f>
        <v>#REF!</v>
      </c>
      <c r="T40" s="523"/>
      <c r="U40" s="523"/>
      <c r="V40" s="523"/>
      <c r="W40" s="523"/>
      <c r="X40" s="523"/>
      <c r="Y40" s="523"/>
      <c r="Z40" s="105"/>
    </row>
    <row r="41" spans="1:26">
      <c r="A41" s="514"/>
      <c r="B41" s="53" t="s">
        <v>62</v>
      </c>
      <c r="C41" s="24">
        <f>6000*0.6</f>
        <v>3600</v>
      </c>
      <c r="D41" s="24">
        <f t="shared" si="3"/>
        <v>3600</v>
      </c>
      <c r="E41" s="24">
        <f t="shared" si="3"/>
        <v>3600</v>
      </c>
      <c r="F41" s="24">
        <f t="shared" si="3"/>
        <v>3600</v>
      </c>
      <c r="G41" s="20">
        <f t="shared" si="3"/>
        <v>3600</v>
      </c>
      <c r="H41" s="46" t="s">
        <v>186</v>
      </c>
      <c r="I41" s="46"/>
      <c r="J41" s="46"/>
      <c r="K41" s="46"/>
      <c r="L41" s="46"/>
      <c r="M41" s="46"/>
      <c r="N41" s="104">
        <f>E31/E11</f>
        <v>1.3510136986301371E-2</v>
      </c>
      <c r="O41" s="104">
        <f>F31/F11</f>
        <v>1.3510136986301371E-2</v>
      </c>
      <c r="P41" s="104">
        <f>G31/G11</f>
        <v>1.3510136986301371E-2</v>
      </c>
      <c r="Q41" s="104" t="e">
        <f>#REF!/#REF!</f>
        <v>#REF!</v>
      </c>
      <c r="R41" s="104" t="e">
        <f>#REF!/#REF!</f>
        <v>#REF!</v>
      </c>
      <c r="S41" s="104" t="e">
        <f>#REF!/#REF!</f>
        <v>#REF!</v>
      </c>
      <c r="T41" s="524"/>
      <c r="U41" s="524"/>
      <c r="V41" s="524"/>
      <c r="W41" s="524"/>
      <c r="X41" s="524"/>
      <c r="Y41" s="524"/>
      <c r="Z41" s="105"/>
    </row>
    <row r="42" spans="1:26" ht="20.100000000000001" customHeight="1">
      <c r="A42" s="514"/>
      <c r="B42" s="53" t="s">
        <v>67</v>
      </c>
      <c r="C42" s="24">
        <f>2500*0.6</f>
        <v>1500</v>
      </c>
      <c r="D42" s="24">
        <f>2500*0.6</f>
        <v>1500</v>
      </c>
      <c r="E42" s="24">
        <f>2500*0.6</f>
        <v>1500</v>
      </c>
      <c r="F42" s="24">
        <f>2500*0.6</f>
        <v>1500</v>
      </c>
      <c r="G42" s="20">
        <f>2500*0.6</f>
        <v>1500</v>
      </c>
      <c r="H42" s="525" t="s">
        <v>186</v>
      </c>
      <c r="I42" s="526"/>
      <c r="J42" s="526"/>
      <c r="K42" s="526"/>
      <c r="L42" s="526"/>
      <c r="M42" s="526"/>
      <c r="N42" s="104">
        <f>E30/E11</f>
        <v>3.0442617960426181E-2</v>
      </c>
      <c r="O42" s="104">
        <f>F30/F11</f>
        <v>3.0443226788432268E-2</v>
      </c>
      <c r="P42" s="104">
        <f>G30/G11</f>
        <v>3.0443835616438358E-2</v>
      </c>
      <c r="Q42" s="104" t="e">
        <f>#REF!/#REF!</f>
        <v>#REF!</v>
      </c>
      <c r="R42" s="104" t="e">
        <f>#REF!/#REF!</f>
        <v>#REF!</v>
      </c>
      <c r="S42" s="104" t="e">
        <f>#REF!/#REF!</f>
        <v>#REF!</v>
      </c>
      <c r="T42" s="522"/>
      <c r="U42" s="522"/>
      <c r="V42" s="522"/>
      <c r="W42" s="522"/>
      <c r="X42" s="522"/>
      <c r="Y42" s="522"/>
      <c r="Z42" s="105"/>
    </row>
    <row r="43" spans="1:26">
      <c r="A43" s="514"/>
      <c r="B43" s="53" t="s">
        <v>63</v>
      </c>
      <c r="C43" s="24">
        <f>14000*0.6</f>
        <v>8400</v>
      </c>
      <c r="D43" s="24">
        <f>14000*0.6</f>
        <v>8400</v>
      </c>
      <c r="E43" s="24">
        <f>14000*0.6</f>
        <v>8400</v>
      </c>
      <c r="F43" s="24">
        <f>14000*0.6</f>
        <v>8400</v>
      </c>
      <c r="G43" s="20">
        <f>14000*0.6</f>
        <v>8400</v>
      </c>
      <c r="H43" s="527"/>
      <c r="I43" s="528"/>
      <c r="J43" s="528"/>
      <c r="K43" s="528"/>
      <c r="L43" s="528"/>
      <c r="M43" s="528"/>
      <c r="N43" s="104">
        <f>E43/E11</f>
        <v>5.1141552511415524E-3</v>
      </c>
      <c r="O43" s="104">
        <f>F43/F11</f>
        <v>5.1141552511415524E-3</v>
      </c>
      <c r="P43" s="104">
        <f>G43/G11</f>
        <v>5.1141552511415524E-3</v>
      </c>
      <c r="Q43" s="104" t="e">
        <f>#REF!/#REF!</f>
        <v>#REF!</v>
      </c>
      <c r="R43" s="104" t="e">
        <f>#REF!/#REF!</f>
        <v>#REF!</v>
      </c>
      <c r="S43" s="104" t="e">
        <f>#REF!/#REF!</f>
        <v>#REF!</v>
      </c>
      <c r="T43" s="524"/>
      <c r="U43" s="524"/>
      <c r="V43" s="524"/>
      <c r="W43" s="524"/>
      <c r="X43" s="524"/>
      <c r="Y43" s="524"/>
      <c r="Z43" s="105"/>
    </row>
    <row r="44" spans="1:26" ht="5.0999999999999996" customHeight="1" thickBot="1">
      <c r="A44" s="515"/>
      <c r="B44" s="54"/>
      <c r="C44" s="27"/>
      <c r="D44" s="27"/>
      <c r="E44" s="27"/>
      <c r="F44" s="27"/>
      <c r="G44" s="28"/>
      <c r="H44" s="527"/>
      <c r="I44" s="528"/>
      <c r="J44" s="528"/>
      <c r="K44" s="528"/>
      <c r="L44" s="528"/>
      <c r="M44" s="528"/>
      <c r="N44" s="16">
        <f>H44/E11</f>
        <v>0</v>
      </c>
      <c r="O44" s="16">
        <f>I44/F11</f>
        <v>0</v>
      </c>
      <c r="P44" s="16">
        <f>J44/G11</f>
        <v>0</v>
      </c>
      <c r="Q44" s="16" t="e">
        <f>K44/#REF!</f>
        <v>#REF!</v>
      </c>
      <c r="R44" s="16" t="e">
        <f>L44/#REF!</f>
        <v>#REF!</v>
      </c>
      <c r="S44" s="16" t="e">
        <f>M44/#REF!</f>
        <v>#REF!</v>
      </c>
      <c r="T44" s="524"/>
      <c r="U44" s="524"/>
      <c r="V44" s="524"/>
      <c r="W44" s="524"/>
      <c r="X44" s="524"/>
      <c r="Y44" s="524"/>
      <c r="Z44" s="105"/>
    </row>
    <row r="45" spans="1:26" s="21" customFormat="1" ht="3" customHeight="1">
      <c r="A45" s="4"/>
      <c r="B45" s="55"/>
      <c r="C45" s="29"/>
      <c r="D45" s="29"/>
      <c r="E45" s="29"/>
      <c r="F45" s="29"/>
      <c r="G45" s="29"/>
      <c r="H45" s="40"/>
      <c r="I45" s="43"/>
      <c r="J45" s="43"/>
      <c r="K45" s="43"/>
      <c r="L45" s="43"/>
      <c r="M45" s="36"/>
      <c r="N45" s="16"/>
      <c r="O45" s="16"/>
      <c r="P45" s="16"/>
      <c r="Q45" s="16"/>
    </row>
    <row r="46" spans="1:26" s="21" customFormat="1" ht="16.5" thickBot="1">
      <c r="B46" s="55"/>
      <c r="C46" s="29"/>
      <c r="D46" s="29"/>
      <c r="E46" s="29"/>
      <c r="F46" s="29"/>
      <c r="G46" s="29"/>
      <c r="H46" s="40"/>
      <c r="I46" s="43"/>
      <c r="J46" s="43"/>
      <c r="K46" s="43"/>
      <c r="L46" s="43"/>
      <c r="M46" s="36"/>
      <c r="N46" s="16"/>
      <c r="O46" s="16"/>
      <c r="P46" s="16"/>
      <c r="Q46" s="16"/>
    </row>
    <row r="47" spans="1:26">
      <c r="A47" s="508" t="s">
        <v>66</v>
      </c>
      <c r="B47" s="56" t="s">
        <v>68</v>
      </c>
      <c r="C47" s="22">
        <f>+C11-C25</f>
        <v>987602.73214285716</v>
      </c>
      <c r="D47" s="22">
        <f>+D11-D25</f>
        <v>987191.93214285711</v>
      </c>
      <c r="E47" s="22">
        <f>+E11-E25</f>
        <v>987189.93214285711</v>
      </c>
      <c r="F47" s="22">
        <f>+F11-F25</f>
        <v>987187.93214285711</v>
      </c>
      <c r="G47" s="23">
        <f>+G11-G25</f>
        <v>987185.93214285711</v>
      </c>
      <c r="H47" s="40"/>
      <c r="I47" s="36"/>
      <c r="J47" s="36"/>
      <c r="K47" s="36"/>
      <c r="L47" s="36"/>
      <c r="M47" s="36"/>
    </row>
    <row r="48" spans="1:26" ht="16.5" thickBot="1">
      <c r="A48" s="509"/>
      <c r="B48" s="53" t="s">
        <v>69</v>
      </c>
      <c r="C48" s="27">
        <f>+C20</f>
        <v>51168.4375</v>
      </c>
      <c r="D48" s="27">
        <f>+D20</f>
        <v>56278.4375</v>
      </c>
      <c r="E48" s="27">
        <f>+E20</f>
        <v>56278.4375</v>
      </c>
      <c r="F48" s="27">
        <f>+F20</f>
        <v>56278.4375</v>
      </c>
      <c r="G48" s="28">
        <f>+G20</f>
        <v>56278.4375</v>
      </c>
      <c r="H48" s="40"/>
      <c r="I48" s="36"/>
      <c r="J48" s="36"/>
      <c r="K48" s="36"/>
      <c r="L48" s="36"/>
      <c r="M48" s="36"/>
    </row>
    <row r="49" spans="1:13" ht="16.5" thickBot="1">
      <c r="A49" s="509"/>
      <c r="B49" s="52" t="s">
        <v>4</v>
      </c>
      <c r="C49" s="13">
        <f>+C47+C48</f>
        <v>1038771.1696428572</v>
      </c>
      <c r="D49" s="12">
        <f>+D47+D48</f>
        <v>1043470.3696428571</v>
      </c>
      <c r="E49" s="12">
        <f>+E47+E48</f>
        <v>1043468.3696428571</v>
      </c>
      <c r="F49" s="12">
        <f>+F47+F48</f>
        <v>1043466.3696428571</v>
      </c>
      <c r="G49" s="11">
        <f>+G47+G48</f>
        <v>1043464.3696428571</v>
      </c>
      <c r="H49" s="44"/>
      <c r="I49" s="44"/>
      <c r="J49" s="44"/>
      <c r="K49" s="36"/>
      <c r="L49" s="36"/>
      <c r="M49" s="36"/>
    </row>
    <row r="50" spans="1:13" ht="16.5" thickBot="1">
      <c r="A50" s="510"/>
      <c r="B50" s="34" t="s">
        <v>32</v>
      </c>
      <c r="C50" s="14">
        <f>C49/C22</f>
        <v>0.61332616623367708</v>
      </c>
      <c r="D50" s="14">
        <f>D49/D22</f>
        <v>0.61424747725105089</v>
      </c>
      <c r="E50" s="14">
        <f>E49/E22</f>
        <v>0.61424629993448288</v>
      </c>
      <c r="F50" s="14">
        <f>F49/F22</f>
        <v>0.61424512261791475</v>
      </c>
      <c r="G50" s="14">
        <f>G49/G22</f>
        <v>0.61424394530134663</v>
      </c>
      <c r="H50" s="44"/>
      <c r="I50" s="44"/>
      <c r="J50" s="44"/>
      <c r="K50" s="36"/>
      <c r="L50" s="36"/>
      <c r="M50" s="36"/>
    </row>
    <row r="51" spans="1:13" ht="16.5" thickBot="1">
      <c r="A51" s="15" t="s">
        <v>187</v>
      </c>
      <c r="B51" s="57" t="s">
        <v>35</v>
      </c>
      <c r="C51" s="30">
        <f>+C49*0.9</f>
        <v>934894.05267857143</v>
      </c>
      <c r="D51" s="30">
        <f>+D49*0.9</f>
        <v>939123.33267857146</v>
      </c>
      <c r="E51" s="30">
        <f>+E49*0.9</f>
        <v>939121.53267857141</v>
      </c>
      <c r="F51" s="30">
        <f>+F49*0.9</f>
        <v>939119.73267857137</v>
      </c>
      <c r="G51" s="30">
        <f>+G49*0.9</f>
        <v>939117.93267857144</v>
      </c>
      <c r="H51" s="529"/>
      <c r="I51" s="530"/>
      <c r="J51" s="530"/>
      <c r="K51" s="530"/>
      <c r="L51" s="530"/>
      <c r="M51" s="530"/>
    </row>
    <row r="52" spans="1:13" ht="16.5" thickBot="1">
      <c r="A52" s="58" t="s">
        <v>23</v>
      </c>
      <c r="B52" s="59" t="s">
        <v>64</v>
      </c>
      <c r="C52" s="60">
        <f>+C49-C51</f>
        <v>103877.11696428573</v>
      </c>
      <c r="D52" s="60">
        <f>+D49-D51</f>
        <v>104347.03696428565</v>
      </c>
      <c r="E52" s="60">
        <f>+E49-E51</f>
        <v>104346.8369642857</v>
      </c>
      <c r="F52" s="60">
        <f>+F49-F51</f>
        <v>104346.63696428575</v>
      </c>
      <c r="G52" s="60">
        <f>+G49-G51</f>
        <v>104346.43696428568</v>
      </c>
    </row>
    <row r="53" spans="1:13">
      <c r="A53" s="8"/>
      <c r="C53" s="107"/>
      <c r="D53" s="108"/>
      <c r="E53" s="108"/>
      <c r="F53" s="108"/>
      <c r="G53" s="108"/>
    </row>
    <row r="54" spans="1:13">
      <c r="C54" s="109"/>
    </row>
    <row r="55" spans="1:13">
      <c r="C55" s="110"/>
    </row>
    <row r="56" spans="1:13">
      <c r="C56" s="109"/>
    </row>
    <row r="57" spans="1:13">
      <c r="A57" s="8"/>
      <c r="C57" s="109"/>
    </row>
    <row r="60" spans="1:13">
      <c r="C60" s="111"/>
    </row>
    <row r="61" spans="1:13">
      <c r="C61" s="111"/>
    </row>
  </sheetData>
  <mergeCells count="28">
    <mergeCell ref="H51:M51"/>
    <mergeCell ref="T44:Y44"/>
    <mergeCell ref="H38:M38"/>
    <mergeCell ref="H37:M37"/>
    <mergeCell ref="H32:M32"/>
    <mergeCell ref="H33:M33"/>
    <mergeCell ref="H35:M35"/>
    <mergeCell ref="T43:Y43"/>
    <mergeCell ref="H44:M44"/>
    <mergeCell ref="H34:M34"/>
    <mergeCell ref="H42:M42"/>
    <mergeCell ref="H39:M39"/>
    <mergeCell ref="H40:M40"/>
    <mergeCell ref="T26:Y26"/>
    <mergeCell ref="T40:Y40"/>
    <mergeCell ref="T41:Y41"/>
    <mergeCell ref="T42:Y42"/>
    <mergeCell ref="A25:A44"/>
    <mergeCell ref="H31:M31"/>
    <mergeCell ref="H30:M30"/>
    <mergeCell ref="H36:M36"/>
    <mergeCell ref="H43:M43"/>
    <mergeCell ref="A47:A50"/>
    <mergeCell ref="H16:M16"/>
    <mergeCell ref="A10:A22"/>
    <mergeCell ref="A5:A9"/>
    <mergeCell ref="H29:M29"/>
    <mergeCell ref="H26:M26"/>
  </mergeCells>
  <phoneticPr fontId="3" type="noConversion"/>
  <pageMargins left="0.74803149606299213" right="0.74803149606299213" top="0.39370078740157483" bottom="0.39370078740157483" header="0.51181102362204722" footer="0.51181102362204722"/>
  <pageSetup paperSize="9" scale="42" fitToHeight="2" orientation="landscape"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AE0D4-4259-FD44-8918-C39C6CD20F4F}">
  <sheetPr>
    <tabColor theme="8"/>
  </sheetPr>
  <dimension ref="A1"/>
  <sheetViews>
    <sheetView workbookViewId="0">
      <selection activeCell="D33" sqref="D33"/>
    </sheetView>
  </sheetViews>
  <sheetFormatPr baseColWidth="10" defaultColWidth="10.85546875" defaultRowHeight="12.75"/>
  <cols>
    <col min="1" max="16384" width="10.85546875" style="98"/>
  </cols>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10DA0-E9D7-8A43-A59C-34E0DE81E0B2}">
  <sheetPr>
    <tabColor theme="8" tint="0.39997558519241921"/>
  </sheetPr>
  <dimension ref="B1:M44"/>
  <sheetViews>
    <sheetView showGridLines="0" zoomScale="92" workbookViewId="0">
      <selection activeCell="K15" sqref="K15"/>
    </sheetView>
  </sheetViews>
  <sheetFormatPr baseColWidth="10" defaultColWidth="11.42578125" defaultRowHeight="15.75"/>
  <cols>
    <col min="1" max="1" width="11.42578125" style="112"/>
    <col min="2" max="2" width="32.7109375" style="112" customWidth="1"/>
    <col min="3" max="3" width="25" style="112" bestFit="1" customWidth="1"/>
    <col min="4" max="4" width="18.42578125" style="112" bestFit="1" customWidth="1"/>
    <col min="5" max="5" width="0.85546875" style="112" hidden="1" customWidth="1"/>
    <col min="6" max="6" width="22.140625" style="112" bestFit="1" customWidth="1"/>
    <col min="7" max="7" width="27.42578125" style="112" bestFit="1" customWidth="1"/>
    <col min="8" max="8" width="14.42578125" style="112" bestFit="1" customWidth="1"/>
    <col min="9" max="9" width="18.140625" style="112" bestFit="1" customWidth="1"/>
    <col min="10" max="10" width="12.42578125" style="112" bestFit="1" customWidth="1"/>
    <col min="11" max="11" width="16.7109375" style="112" bestFit="1" customWidth="1"/>
    <col min="12" max="12" width="11.42578125" style="112"/>
    <col min="13" max="14" width="11.7109375" style="112" bestFit="1" customWidth="1"/>
    <col min="15" max="15" width="16.7109375" style="112" bestFit="1" customWidth="1"/>
    <col min="16" max="16384" width="11.42578125" style="112"/>
  </cols>
  <sheetData>
    <row r="1" spans="2:13" ht="16.5" thickBot="1"/>
    <row r="2" spans="2:13" ht="16.5" thickBot="1">
      <c r="B2" s="113" t="s">
        <v>107</v>
      </c>
      <c r="C2" s="114" t="s">
        <v>76</v>
      </c>
      <c r="D2" s="115"/>
      <c r="E2" s="116"/>
      <c r="F2" s="117"/>
      <c r="G2" s="118">
        <f ca="1">TODAY()</f>
        <v>43612</v>
      </c>
      <c r="H2" s="119"/>
      <c r="I2" s="120"/>
    </row>
    <row r="3" spans="2:13" ht="16.5" thickBot="1"/>
    <row r="4" spans="2:13" ht="31.5">
      <c r="B4" s="121"/>
      <c r="C4" s="122" t="s">
        <v>124</v>
      </c>
      <c r="D4" s="122" t="s">
        <v>125</v>
      </c>
      <c r="E4" s="123"/>
      <c r="F4" s="123"/>
      <c r="G4" s="123"/>
      <c r="H4" s="123" t="s">
        <v>129</v>
      </c>
      <c r="I4" s="124" t="s">
        <v>130</v>
      </c>
      <c r="J4" s="125"/>
    </row>
    <row r="5" spans="2:13">
      <c r="B5" s="126" t="s">
        <v>167</v>
      </c>
      <c r="C5" s="127">
        <v>1603</v>
      </c>
      <c r="D5" s="127">
        <f>C5</f>
        <v>1603</v>
      </c>
      <c r="E5" s="128"/>
      <c r="F5" s="129" t="s">
        <v>168</v>
      </c>
      <c r="G5" s="130">
        <f>'Sensivity '!B29</f>
        <v>10000000</v>
      </c>
      <c r="H5" s="131">
        <f>G5/$C$5</f>
        <v>6238.303181534623</v>
      </c>
      <c r="I5" s="132">
        <f>$G$5/D5</f>
        <v>6238.303181534623</v>
      </c>
    </row>
    <row r="6" spans="2:13">
      <c r="B6" s="126" t="s">
        <v>76</v>
      </c>
      <c r="C6" s="127">
        <f>C5-C7</f>
        <v>1603</v>
      </c>
      <c r="D6" s="127"/>
      <c r="E6" s="128"/>
      <c r="F6" s="129" t="s">
        <v>126</v>
      </c>
      <c r="G6" s="133">
        <f>G5*D26</f>
        <v>700000.00000000012</v>
      </c>
      <c r="H6" s="131">
        <f>G6/$C$5</f>
        <v>436.68122270742367</v>
      </c>
      <c r="I6" s="132">
        <f>G6/D5</f>
        <v>436.68122270742367</v>
      </c>
    </row>
    <row r="7" spans="2:13">
      <c r="B7" s="126"/>
      <c r="C7" s="127"/>
      <c r="D7" s="127"/>
      <c r="E7" s="128"/>
      <c r="F7" s="129" t="s">
        <v>127</v>
      </c>
      <c r="G7" s="133">
        <f>G5*D28</f>
        <v>0</v>
      </c>
      <c r="H7" s="131">
        <f>G7/$C$5</f>
        <v>0</v>
      </c>
      <c r="I7" s="132">
        <f>G7/D5</f>
        <v>0</v>
      </c>
    </row>
    <row r="8" spans="2:13" ht="16.5" thickBot="1">
      <c r="B8" s="134"/>
      <c r="C8" s="135"/>
      <c r="D8" s="136"/>
      <c r="E8" s="136"/>
      <c r="F8" s="129" t="s">
        <v>102</v>
      </c>
      <c r="G8" s="137">
        <f>J32</f>
        <v>2404500</v>
      </c>
      <c r="H8" s="131">
        <f>G8/$C$5</f>
        <v>1500</v>
      </c>
      <c r="I8" s="132">
        <f>G8/D5</f>
        <v>1500</v>
      </c>
    </row>
    <row r="9" spans="2:13" ht="16.5" thickBot="1">
      <c r="B9" s="138"/>
      <c r="C9" s="117"/>
      <c r="D9" s="139"/>
      <c r="E9" s="139"/>
      <c r="F9" s="117"/>
      <c r="G9" s="140"/>
      <c r="H9" s="141">
        <f>G9/C5</f>
        <v>0</v>
      </c>
      <c r="I9" s="142">
        <f>G9/D5</f>
        <v>0</v>
      </c>
    </row>
    <row r="10" spans="2:13" ht="16.5" thickBot="1">
      <c r="B10" s="129"/>
      <c r="C10" s="129"/>
      <c r="D10" s="129"/>
      <c r="E10" s="129"/>
      <c r="J10" s="143"/>
    </row>
    <row r="11" spans="2:13" ht="16.5" thickBot="1">
      <c r="B11" s="129"/>
      <c r="C11" s="129"/>
      <c r="D11" s="129"/>
      <c r="E11" s="117"/>
    </row>
    <row r="12" spans="2:13" ht="16.5" thickBot="1">
      <c r="F12" s="144"/>
      <c r="G12" s="145"/>
    </row>
    <row r="13" spans="2:13" ht="16.5" thickBot="1">
      <c r="B13" s="146" t="s">
        <v>109</v>
      </c>
      <c r="C13" s="147"/>
      <c r="D13" s="148"/>
      <c r="E13" s="129"/>
      <c r="F13" s="136"/>
      <c r="G13" s="149" t="s">
        <v>128</v>
      </c>
      <c r="H13" s="147"/>
      <c r="I13" s="148"/>
    </row>
    <row r="14" spans="2:13">
      <c r="B14" s="150" t="s">
        <v>76</v>
      </c>
      <c r="C14" s="151"/>
      <c r="D14" s="152"/>
      <c r="E14" s="129"/>
      <c r="F14" s="129"/>
      <c r="G14" s="150"/>
      <c r="H14" s="151"/>
      <c r="I14" s="153"/>
    </row>
    <row r="15" spans="2:13" ht="16.5" thickBot="1">
      <c r="B15" s="126" t="s">
        <v>77</v>
      </c>
      <c r="C15" s="129"/>
      <c r="D15" s="154"/>
      <c r="E15" s="129"/>
      <c r="F15" s="129"/>
      <c r="G15" s="126" t="s">
        <v>78</v>
      </c>
      <c r="H15" s="129"/>
      <c r="I15" s="155"/>
      <c r="K15" s="129"/>
      <c r="L15" s="156"/>
      <c r="M15" s="129"/>
    </row>
    <row r="16" spans="2:13">
      <c r="B16" s="134" t="s">
        <v>111</v>
      </c>
      <c r="C16" s="157">
        <v>0.4</v>
      </c>
      <c r="D16" s="158">
        <f>C16*G5</f>
        <v>4000000</v>
      </c>
      <c r="E16" s="144"/>
      <c r="F16" s="129"/>
      <c r="G16" s="134" t="s">
        <v>111</v>
      </c>
      <c r="H16" s="157">
        <v>0.2</v>
      </c>
      <c r="I16" s="159">
        <f>G8*H16</f>
        <v>480900</v>
      </c>
      <c r="J16" s="129"/>
      <c r="K16" s="156"/>
      <c r="L16" s="160"/>
      <c r="M16" s="129"/>
    </row>
    <row r="17" spans="2:13" ht="16.5" thickBot="1">
      <c r="B17" s="161" t="s">
        <v>110</v>
      </c>
      <c r="C17" s="162">
        <f>1-C16</f>
        <v>0.6</v>
      </c>
      <c r="D17" s="163">
        <f>C17*G5</f>
        <v>6000000</v>
      </c>
      <c r="E17" s="164"/>
      <c r="F17" s="165"/>
      <c r="G17" s="161" t="s">
        <v>110</v>
      </c>
      <c r="H17" s="162">
        <f>1-H16</f>
        <v>0.8</v>
      </c>
      <c r="I17" s="166">
        <f>G8*H17</f>
        <v>1923600</v>
      </c>
      <c r="J17" s="167"/>
      <c r="K17" s="156"/>
      <c r="L17" s="160"/>
      <c r="M17" s="129"/>
    </row>
    <row r="18" spans="2:13" ht="16.5" thickBot="1">
      <c r="B18" s="168" t="s">
        <v>112</v>
      </c>
      <c r="C18" s="169"/>
      <c r="D18" s="170"/>
      <c r="E18" s="144"/>
      <c r="F18" s="165"/>
      <c r="G18" s="171"/>
      <c r="H18" s="135"/>
      <c r="I18" s="137"/>
      <c r="K18" s="129"/>
      <c r="L18" s="156"/>
      <c r="M18" s="129"/>
    </row>
    <row r="19" spans="2:13" ht="16.5" thickBot="1">
      <c r="B19" s="172"/>
      <c r="C19" s="173"/>
      <c r="D19" s="174"/>
      <c r="E19" s="144"/>
      <c r="F19" s="165"/>
      <c r="G19" s="503"/>
      <c r="H19" s="505" t="s">
        <v>171</v>
      </c>
      <c r="I19" s="500"/>
      <c r="K19" s="129"/>
      <c r="L19" s="156"/>
      <c r="M19" s="129"/>
    </row>
    <row r="20" spans="2:13">
      <c r="B20" s="134" t="s">
        <v>119</v>
      </c>
      <c r="C20" s="129"/>
      <c r="D20" s="175">
        <v>5</v>
      </c>
      <c r="E20" s="176"/>
      <c r="F20" s="129"/>
      <c r="G20" s="215" t="s">
        <v>103</v>
      </c>
      <c r="H20" s="504">
        <f>'IRR 15y'!C55</f>
        <v>0.11139768064343136</v>
      </c>
      <c r="I20" s="501"/>
      <c r="K20" s="129"/>
      <c r="L20" s="129"/>
      <c r="M20" s="129"/>
    </row>
    <row r="21" spans="2:13" ht="16.5" thickBot="1">
      <c r="B21" s="134" t="s">
        <v>120</v>
      </c>
      <c r="C21" s="129"/>
      <c r="D21" s="441">
        <v>2.8000000000000001E-2</v>
      </c>
      <c r="E21" s="177"/>
      <c r="F21" s="129"/>
      <c r="G21" s="217" t="s">
        <v>79</v>
      </c>
      <c r="H21" s="216">
        <f>'IRR 15y'!C57</f>
        <v>2.9663926312379272</v>
      </c>
      <c r="I21" s="502"/>
    </row>
    <row r="22" spans="2:13" ht="16.5" thickBot="1">
      <c r="B22" s="134" t="s">
        <v>122</v>
      </c>
      <c r="C22" s="129"/>
      <c r="D22" s="441">
        <v>3.1E-2</v>
      </c>
      <c r="E22" s="177"/>
      <c r="F22" s="179"/>
      <c r="G22" s="171"/>
      <c r="H22" s="180"/>
      <c r="I22" s="181"/>
    </row>
    <row r="23" spans="2:13" ht="16.5" thickBot="1">
      <c r="B23" s="134" t="s">
        <v>123</v>
      </c>
      <c r="C23" s="129"/>
      <c r="D23" s="440">
        <v>0.35</v>
      </c>
      <c r="E23" s="129"/>
      <c r="F23" s="182"/>
      <c r="G23" s="168" t="s">
        <v>121</v>
      </c>
      <c r="H23" s="169"/>
      <c r="I23" s="183"/>
    </row>
    <row r="24" spans="2:13">
      <c r="B24" s="184" t="s">
        <v>0</v>
      </c>
      <c r="C24" s="178"/>
      <c r="D24" s="185">
        <v>1.2E-2</v>
      </c>
      <c r="E24" s="180"/>
      <c r="F24" s="178"/>
      <c r="G24" s="134"/>
      <c r="H24" s="129"/>
      <c r="I24" s="186"/>
    </row>
    <row r="25" spans="2:13">
      <c r="B25" s="184" t="s">
        <v>115</v>
      </c>
      <c r="C25" s="178"/>
      <c r="D25" s="185">
        <v>1.2E-2</v>
      </c>
      <c r="E25" s="178"/>
      <c r="F25" s="178"/>
      <c r="G25" s="134" t="s">
        <v>113</v>
      </c>
      <c r="H25" s="129"/>
      <c r="I25" s="155">
        <v>15</v>
      </c>
    </row>
    <row r="26" spans="2:13">
      <c r="B26" s="184" t="s">
        <v>126</v>
      </c>
      <c r="C26" s="178"/>
      <c r="D26" s="185">
        <v>7.0000000000000007E-2</v>
      </c>
      <c r="E26" s="182"/>
      <c r="F26" s="187"/>
      <c r="G26" s="188" t="s">
        <v>114</v>
      </c>
      <c r="H26" s="129"/>
      <c r="I26" s="189">
        <v>2.8000000000000001E-2</v>
      </c>
    </row>
    <row r="27" spans="2:13">
      <c r="B27" s="184" t="s">
        <v>144</v>
      </c>
      <c r="C27" s="178"/>
      <c r="D27" s="185">
        <f>1.2%+0.875%</f>
        <v>2.0750000000000001E-2</v>
      </c>
      <c r="E27" s="182"/>
      <c r="F27" s="187"/>
      <c r="G27" s="190" t="s">
        <v>122</v>
      </c>
      <c r="H27" s="178"/>
      <c r="I27" s="189">
        <v>3.1E-2</v>
      </c>
    </row>
    <row r="28" spans="2:13" ht="16.5" thickBot="1">
      <c r="B28" s="184" t="s">
        <v>142</v>
      </c>
      <c r="C28" s="178"/>
      <c r="D28" s="185">
        <v>0</v>
      </c>
      <c r="E28" s="182"/>
      <c r="F28" s="178"/>
      <c r="G28" s="161" t="s">
        <v>122</v>
      </c>
      <c r="H28" s="191"/>
      <c r="I28" s="192">
        <v>0.35</v>
      </c>
    </row>
    <row r="29" spans="2:13">
      <c r="B29" s="184" t="s">
        <v>143</v>
      </c>
      <c r="C29" s="178"/>
      <c r="D29" s="185">
        <v>0.05</v>
      </c>
      <c r="E29" s="193"/>
      <c r="F29" s="194"/>
      <c r="G29" s="195"/>
      <c r="H29" s="196"/>
      <c r="I29" s="197"/>
    </row>
    <row r="30" spans="2:13">
      <c r="B30" s="184" t="s">
        <v>116</v>
      </c>
      <c r="C30" s="178"/>
      <c r="D30" s="185">
        <v>0.02</v>
      </c>
      <c r="E30" s="193"/>
      <c r="F30" s="194"/>
      <c r="G30" s="112" t="s">
        <v>80</v>
      </c>
      <c r="H30" s="198" t="s">
        <v>81</v>
      </c>
      <c r="I30" s="198" t="s">
        <v>82</v>
      </c>
      <c r="J30" s="198" t="s">
        <v>83</v>
      </c>
    </row>
    <row r="31" spans="2:13">
      <c r="B31" s="184" t="s">
        <v>117</v>
      </c>
      <c r="C31" s="178"/>
      <c r="D31" s="185">
        <v>0.01</v>
      </c>
      <c r="E31" s="193"/>
      <c r="F31" s="194"/>
      <c r="G31" s="199" t="s">
        <v>76</v>
      </c>
      <c r="H31" s="200">
        <f>C5</f>
        <v>1603</v>
      </c>
      <c r="I31" s="201">
        <v>1500</v>
      </c>
      <c r="J31" s="202">
        <f>Tableau1[[#This Row],[m2]]*Tableau1[[#This Row],[cout m2]]</f>
        <v>2404500</v>
      </c>
    </row>
    <row r="32" spans="2:13" ht="16.5" thickBot="1">
      <c r="B32" s="203" t="s">
        <v>118</v>
      </c>
      <c r="C32" s="204"/>
      <c r="D32" s="205">
        <f>'Sensivity '!B30</f>
        <v>5.5E-2</v>
      </c>
      <c r="E32" s="193"/>
      <c r="F32" s="194"/>
      <c r="H32" s="206">
        <f>C6</f>
        <v>1603</v>
      </c>
      <c r="I32" s="133"/>
      <c r="J32" s="133">
        <f>SUM(J31:J31)</f>
        <v>2404500</v>
      </c>
    </row>
    <row r="33" spans="2:11">
      <c r="E33" s="193"/>
      <c r="F33" s="194"/>
      <c r="G33" s="207"/>
      <c r="H33" s="208">
        <f>C7</f>
        <v>0</v>
      </c>
      <c r="I33" s="209"/>
      <c r="J33" s="209"/>
    </row>
    <row r="34" spans="2:11">
      <c r="E34" s="193"/>
      <c r="F34" s="194"/>
      <c r="K34" s="198"/>
    </row>
    <row r="35" spans="2:11">
      <c r="E35" s="193"/>
      <c r="F35" s="194"/>
      <c r="K35" s="198"/>
    </row>
    <row r="36" spans="2:11">
      <c r="E36" s="193"/>
      <c r="F36" s="194"/>
      <c r="K36" s="198"/>
    </row>
    <row r="37" spans="2:11">
      <c r="E37" s="193"/>
      <c r="F37" s="178"/>
      <c r="K37" s="198"/>
    </row>
    <row r="38" spans="2:11">
      <c r="B38" s="210"/>
      <c r="C38" s="178"/>
      <c r="D38" s="193"/>
      <c r="E38" s="193"/>
      <c r="F38" s="194"/>
      <c r="G38" s="210"/>
      <c r="H38" s="211"/>
      <c r="I38" s="212"/>
      <c r="J38" s="198"/>
      <c r="K38" s="198"/>
    </row>
    <row r="39" spans="2:11">
      <c r="B39" s="194"/>
      <c r="C39" s="194"/>
      <c r="D39" s="194"/>
      <c r="E39" s="194"/>
      <c r="F39" s="194"/>
    </row>
    <row r="40" spans="2:11">
      <c r="B40" s="213"/>
      <c r="C40" s="194"/>
      <c r="D40" s="194"/>
      <c r="E40" s="194"/>
      <c r="F40" s="194"/>
    </row>
    <row r="41" spans="2:11">
      <c r="B41" s="194"/>
      <c r="C41" s="194"/>
      <c r="D41" s="194"/>
      <c r="E41" s="194"/>
      <c r="F41" s="194"/>
    </row>
    <row r="42" spans="2:11">
      <c r="B42" s="194"/>
      <c r="C42" s="194"/>
      <c r="D42" s="194"/>
      <c r="E42" s="194"/>
      <c r="F42" s="194"/>
    </row>
    <row r="44" spans="2:11">
      <c r="C44" s="214"/>
    </row>
  </sheetData>
  <conditionalFormatting sqref="B38 H31:I31">
    <cfRule type="cellIs" dxfId="32" priority="13" stopIfTrue="1" operator="equal">
      <formula>0</formula>
    </cfRule>
  </conditionalFormatting>
  <conditionalFormatting sqref="G38">
    <cfRule type="cellIs" dxfId="31" priority="6" stopIfTrue="1" operator="equal">
      <formula>0</formula>
    </cfRule>
  </conditionalFormatting>
  <conditionalFormatting sqref="C5:D7">
    <cfRule type="cellIs" dxfId="30" priority="2" stopIfTrue="1" operator="equal">
      <formula>0</formula>
    </cfRule>
  </conditionalFormatting>
  <conditionalFormatting sqref="H21:I21">
    <cfRule type="expression" dxfId="29" priority="1" stopIfTrue="1">
      <formula>#REF!=2</formula>
    </cfRule>
  </conditionalFormatting>
  <pageMargins left="0.7" right="0.7" top="0.75" bottom="0.75" header="0.3" footer="0.3"/>
  <pageSetup paperSize="8" orientation="landscape" verticalDpi="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7A7F0-AA6D-1643-98EA-706C8A480483}">
  <sheetPr>
    <tabColor theme="6"/>
  </sheetPr>
  <dimension ref="A1"/>
  <sheetViews>
    <sheetView topLeftCell="A13" workbookViewId="0">
      <selection activeCell="I45" sqref="I45"/>
    </sheetView>
  </sheetViews>
  <sheetFormatPr baseColWidth="10" defaultColWidth="11.42578125" defaultRowHeight="15"/>
  <cols>
    <col min="1" max="16384" width="11.42578125" style="97"/>
  </cols>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F0F62-934B-8346-8854-DF96FCF3D5CB}">
  <sheetPr>
    <tabColor theme="6" tint="0.39997558519241921"/>
  </sheetPr>
  <dimension ref="A1:LI379"/>
  <sheetViews>
    <sheetView showGridLines="0" tabSelected="1" topLeftCell="A22" zoomScale="101" zoomScaleNormal="100" workbookViewId="0">
      <selection activeCell="G21" sqref="G21"/>
    </sheetView>
  </sheetViews>
  <sheetFormatPr baseColWidth="10" defaultColWidth="12" defaultRowHeight="15.75" outlineLevelRow="1"/>
  <cols>
    <col min="1" max="1" width="6.5703125" style="220" bestFit="1" customWidth="1"/>
    <col min="2" max="2" width="28.140625" style="220" customWidth="1"/>
    <col min="3" max="3" width="11.140625" style="220" bestFit="1" customWidth="1"/>
    <col min="4" max="4" width="13.28515625" style="220" bestFit="1" customWidth="1"/>
    <col min="5" max="5" width="10.7109375" style="220" bestFit="1" customWidth="1"/>
    <col min="6" max="8" width="10" style="220" bestFit="1" customWidth="1"/>
    <col min="9" max="9" width="10.7109375" style="220" bestFit="1" customWidth="1"/>
    <col min="10" max="10" width="13.28515625" style="220" bestFit="1" customWidth="1"/>
    <col min="11" max="11" width="10" style="220" bestFit="1" customWidth="1"/>
    <col min="12" max="12" width="14.28515625" style="220" customWidth="1"/>
    <col min="13" max="15" width="10.42578125" style="220" bestFit="1" customWidth="1"/>
    <col min="16" max="16" width="17.5703125" style="220" bestFit="1" customWidth="1"/>
    <col min="17" max="17" width="10" style="220" bestFit="1" customWidth="1"/>
    <col min="18" max="18" width="10.85546875" style="220" bestFit="1" customWidth="1"/>
    <col min="19" max="19" width="13.85546875" style="220" bestFit="1" customWidth="1"/>
    <col min="20" max="28" width="12.28515625" style="220" bestFit="1" customWidth="1"/>
    <col min="29" max="130" width="12" style="220"/>
    <col min="131" max="321" width="12.28515625" style="220" bestFit="1" customWidth="1"/>
    <col min="322" max="16384" width="12" style="220"/>
  </cols>
  <sheetData>
    <row r="1" spans="1:48">
      <c r="A1" s="218"/>
      <c r="B1" s="219"/>
      <c r="F1" s="221"/>
      <c r="S1" s="222">
        <f ca="1">TODAY()</f>
        <v>43612</v>
      </c>
    </row>
    <row r="2" spans="1:48" ht="4.5" customHeight="1">
      <c r="B2" s="223"/>
      <c r="F2" s="221"/>
      <c r="S2" s="222"/>
    </row>
    <row r="3" spans="1:48">
      <c r="B3" s="218" t="s">
        <v>131</v>
      </c>
    </row>
    <row r="4" spans="1:48" ht="8.25" customHeight="1"/>
    <row r="5" spans="1:48" ht="10.5" customHeight="1" thickBot="1">
      <c r="B5" s="224"/>
    </row>
    <row r="6" spans="1:48">
      <c r="A6" s="225"/>
      <c r="B6" s="226" t="s">
        <v>105</v>
      </c>
      <c r="C6" s="534" t="s">
        <v>76</v>
      </c>
      <c r="D6" s="534"/>
      <c r="E6" s="534"/>
      <c r="F6" s="534"/>
      <c r="G6" s="534"/>
      <c r="H6" s="534"/>
      <c r="I6" s="534"/>
      <c r="J6" s="534"/>
      <c r="K6" s="227"/>
      <c r="L6" s="228"/>
      <c r="M6" s="228"/>
      <c r="N6" s="228"/>
      <c r="O6" s="228"/>
      <c r="P6" s="228"/>
      <c r="Q6" s="229"/>
    </row>
    <row r="7" spans="1:48">
      <c r="A7" s="230"/>
      <c r="B7" s="231"/>
      <c r="C7" s="535"/>
      <c r="D7" s="535"/>
      <c r="E7" s="535"/>
      <c r="F7" s="535"/>
      <c r="G7" s="535"/>
      <c r="H7" s="535"/>
      <c r="I7" s="535"/>
      <c r="J7" s="535"/>
      <c r="K7" s="224"/>
      <c r="L7" s="224"/>
      <c r="M7" s="224"/>
      <c r="N7" s="224"/>
      <c r="O7" s="224"/>
      <c r="P7" s="224"/>
      <c r="Q7" s="232"/>
    </row>
    <row r="8" spans="1:48">
      <c r="A8" s="230"/>
      <c r="B8" s="231" t="s">
        <v>106</v>
      </c>
      <c r="C8" s="535" t="s">
        <v>188</v>
      </c>
      <c r="D8" s="535"/>
      <c r="E8" s="535"/>
      <c r="F8" s="535"/>
      <c r="G8" s="535"/>
      <c r="H8" s="535"/>
      <c r="I8" s="535"/>
      <c r="J8" s="535"/>
      <c r="K8" s="224"/>
      <c r="L8" s="224"/>
      <c r="M8" s="224"/>
      <c r="N8" s="224"/>
      <c r="O8" s="224"/>
      <c r="P8" s="224"/>
      <c r="Q8" s="232"/>
    </row>
    <row r="9" spans="1:48" ht="16.5" thickBot="1">
      <c r="A9" s="230"/>
      <c r="B9" s="233"/>
      <c r="C9" s="234"/>
      <c r="D9" s="235"/>
      <c r="E9" s="235"/>
      <c r="F9" s="234"/>
      <c r="G9" s="234"/>
      <c r="H9" s="234"/>
      <c r="I9" s="234"/>
      <c r="J9" s="234"/>
      <c r="K9" s="234"/>
      <c r="L9" s="235"/>
      <c r="M9" s="235"/>
      <c r="N9" s="235"/>
      <c r="O9" s="235"/>
      <c r="P9" s="235"/>
      <c r="Q9" s="236"/>
    </row>
    <row r="10" spans="1:48" s="218" customFormat="1" ht="16.5" thickBot="1">
      <c r="A10" s="237"/>
      <c r="B10" s="238" t="s">
        <v>132</v>
      </c>
      <c r="C10" s="239" t="s">
        <v>155</v>
      </c>
      <c r="D10" s="240" t="s">
        <v>129</v>
      </c>
      <c r="E10" s="241" t="s">
        <v>157</v>
      </c>
      <c r="F10" s="242"/>
      <c r="G10" s="242"/>
      <c r="H10" s="242"/>
      <c r="I10" s="239" t="s">
        <v>156</v>
      </c>
      <c r="J10" s="239" t="s">
        <v>129</v>
      </c>
      <c r="K10" s="243"/>
      <c r="L10" s="224" t="s">
        <v>169</v>
      </c>
      <c r="M10" s="244"/>
      <c r="N10" s="244"/>
      <c r="O10" s="244"/>
      <c r="P10" s="244"/>
      <c r="Q10" s="245"/>
    </row>
    <row r="11" spans="1:48">
      <c r="A11" s="246"/>
      <c r="B11" s="247" t="s">
        <v>133</v>
      </c>
      <c r="C11" s="248">
        <f>Assumptions!C5</f>
        <v>1603</v>
      </c>
      <c r="D11" s="249">
        <f>D17/C11</f>
        <v>652.24570615410596</v>
      </c>
      <c r="E11" s="536" t="s">
        <v>77</v>
      </c>
      <c r="F11" s="536"/>
      <c r="G11" s="536"/>
      <c r="H11" s="250"/>
      <c r="I11" s="251">
        <f>Assumptions!G5</f>
        <v>10000000</v>
      </c>
      <c r="J11" s="252">
        <f t="shared" ref="J11:J16" si="0">I11/$C$11</f>
        <v>6238.303181534623</v>
      </c>
      <c r="K11" s="253"/>
      <c r="L11" s="254" t="s">
        <v>99</v>
      </c>
      <c r="M11" s="404" t="str">
        <f>'IRR 15y'!D19</f>
        <v>Y1</v>
      </c>
      <c r="N11" s="399"/>
      <c r="O11" s="400"/>
      <c r="P11" s="401"/>
      <c r="Q11" s="255"/>
    </row>
    <row r="12" spans="1:48">
      <c r="A12" s="246"/>
      <c r="B12" s="256" t="s">
        <v>76</v>
      </c>
      <c r="C12" s="257">
        <f>Assumptions!C6</f>
        <v>1603</v>
      </c>
      <c r="D12" s="258"/>
      <c r="E12" s="533" t="s">
        <v>141</v>
      </c>
      <c r="F12" s="533"/>
      <c r="G12" s="533"/>
      <c r="H12" s="259"/>
      <c r="I12" s="251">
        <f>C26</f>
        <v>700000.00000000012</v>
      </c>
      <c r="J12" s="252">
        <f t="shared" si="0"/>
        <v>436.68122270742367</v>
      </c>
      <c r="K12" s="260"/>
      <c r="L12" s="261" t="s">
        <v>160</v>
      </c>
      <c r="M12" s="405"/>
      <c r="N12" s="251">
        <f>Assumptions!D17</f>
        <v>6000000</v>
      </c>
      <c r="O12" s="230"/>
      <c r="P12" s="262" t="s">
        <v>165</v>
      </c>
      <c r="Q12" s="409">
        <f>Assumptions!D24</f>
        <v>1.2E-2</v>
      </c>
    </row>
    <row r="13" spans="1:48">
      <c r="A13" s="246"/>
      <c r="B13" s="256"/>
      <c r="C13" s="257"/>
      <c r="D13" s="263"/>
      <c r="E13" s="533" t="s">
        <v>100</v>
      </c>
      <c r="F13" s="533"/>
      <c r="G13" s="533"/>
      <c r="H13" s="264"/>
      <c r="I13" s="251">
        <f>S27</f>
        <v>0</v>
      </c>
      <c r="J13" s="252">
        <f t="shared" si="0"/>
        <v>0</v>
      </c>
      <c r="K13" s="260"/>
      <c r="L13" s="261" t="s">
        <v>137</v>
      </c>
      <c r="M13" s="405">
        <f>Assumptions!H17</f>
        <v>0.8</v>
      </c>
      <c r="N13" s="251">
        <f>Assumptions!I17</f>
        <v>1923600</v>
      </c>
      <c r="O13" s="230"/>
      <c r="P13" s="265"/>
      <c r="Q13" s="410"/>
    </row>
    <row r="14" spans="1:48">
      <c r="A14" s="246"/>
      <c r="B14" s="256"/>
      <c r="C14" s="266"/>
      <c r="D14" s="263"/>
      <c r="E14" s="533" t="s">
        <v>108</v>
      </c>
      <c r="F14" s="533"/>
      <c r="G14" s="533"/>
      <c r="H14" s="267"/>
      <c r="I14" s="251">
        <f>Assumptions!J32</f>
        <v>2404500</v>
      </c>
      <c r="J14" s="252">
        <f>I14/$C$12</f>
        <v>1500</v>
      </c>
      <c r="K14" s="260"/>
      <c r="L14" s="261" t="s">
        <v>161</v>
      </c>
      <c r="M14" s="507">
        <v>15</v>
      </c>
      <c r="N14" s="251"/>
      <c r="O14" s="230"/>
      <c r="P14" s="262" t="s">
        <v>164</v>
      </c>
      <c r="Q14" s="409">
        <f>Assumptions!D25</f>
        <v>1.2E-2</v>
      </c>
    </row>
    <row r="15" spans="1:48" ht="16.5" thickBot="1">
      <c r="A15" s="246"/>
      <c r="B15" s="268"/>
      <c r="C15" s="269"/>
      <c r="D15" s="270"/>
      <c r="E15" s="533"/>
      <c r="F15" s="533"/>
      <c r="G15" s="533"/>
      <c r="H15" s="271"/>
      <c r="I15" s="251"/>
      <c r="J15" s="252"/>
      <c r="K15" s="260"/>
      <c r="L15" s="261" t="s">
        <v>101</v>
      </c>
      <c r="M15" s="406" t="str">
        <f>R19</f>
        <v>Y15</v>
      </c>
      <c r="N15" s="272"/>
      <c r="O15" s="230"/>
      <c r="P15" s="262"/>
      <c r="Q15" s="411"/>
      <c r="T15" s="230"/>
    </row>
    <row r="16" spans="1:48" ht="16.5" thickBot="1">
      <c r="A16" s="246"/>
      <c r="B16" s="268"/>
      <c r="C16" s="273"/>
      <c r="D16" s="274" t="s">
        <v>35</v>
      </c>
      <c r="E16" s="275" t="s">
        <v>158</v>
      </c>
      <c r="F16" s="276"/>
      <c r="G16" s="277"/>
      <c r="H16" s="278"/>
      <c r="I16" s="279">
        <f>SUM(G11:I15)</f>
        <v>13104500</v>
      </c>
      <c r="J16" s="252">
        <f t="shared" si="0"/>
        <v>8174.9844042420464</v>
      </c>
      <c r="K16" s="280"/>
      <c r="L16" s="261" t="s">
        <v>122</v>
      </c>
      <c r="M16" s="407">
        <f>Assumptions!D22</f>
        <v>3.1E-2</v>
      </c>
      <c r="N16" s="251"/>
      <c r="O16" s="230"/>
      <c r="P16" s="265" t="s">
        <v>120</v>
      </c>
      <c r="Q16" s="412">
        <f>Assumptions!D21</f>
        <v>2.8000000000000001E-2</v>
      </c>
      <c r="T16" s="230"/>
      <c r="U16" s="230"/>
      <c r="V16" s="230"/>
      <c r="W16" s="230"/>
      <c r="X16" s="230"/>
      <c r="Y16" s="230"/>
      <c r="Z16" s="230"/>
      <c r="AA16" s="230"/>
      <c r="AB16" s="230"/>
      <c r="AC16" s="230"/>
      <c r="AD16" s="230"/>
      <c r="AE16" s="230"/>
      <c r="AF16" s="230"/>
      <c r="AG16" s="230"/>
      <c r="AH16" s="230"/>
      <c r="AI16" s="230"/>
      <c r="AJ16" s="230"/>
      <c r="AK16" s="230"/>
      <c r="AL16" s="230"/>
      <c r="AM16" s="230"/>
      <c r="AN16" s="230"/>
      <c r="AO16" s="230"/>
      <c r="AP16" s="230"/>
      <c r="AQ16" s="230"/>
      <c r="AR16" s="230"/>
      <c r="AS16" s="230"/>
      <c r="AT16" s="230"/>
      <c r="AU16" s="230"/>
      <c r="AV16" s="230"/>
    </row>
    <row r="17" spans="1:133">
      <c r="A17" s="246"/>
      <c r="B17" s="268" t="s">
        <v>35</v>
      </c>
      <c r="C17" s="281"/>
      <c r="D17" s="282">
        <f>MAX(G24:R24)</f>
        <v>1045549.8669650318</v>
      </c>
      <c r="E17" s="533" t="s">
        <v>159</v>
      </c>
      <c r="F17" s="533"/>
      <c r="G17" s="283"/>
      <c r="H17" s="284"/>
      <c r="I17" s="285">
        <f>D17/I16</f>
        <v>7.9785559690566735E-2</v>
      </c>
      <c r="J17" s="286"/>
      <c r="K17" s="287"/>
      <c r="L17" s="261" t="s">
        <v>163</v>
      </c>
      <c r="M17" s="506">
        <f>Assumptions!D23</f>
        <v>0.35</v>
      </c>
      <c r="N17" s="251">
        <f>(N12+N13)*M17</f>
        <v>2773260</v>
      </c>
      <c r="O17" s="230"/>
      <c r="P17" s="262"/>
      <c r="Q17" s="288"/>
      <c r="T17" s="230"/>
      <c r="U17" s="230"/>
      <c r="V17" s="230"/>
      <c r="W17" s="230"/>
      <c r="X17" s="230"/>
      <c r="Y17" s="230"/>
      <c r="Z17" s="230"/>
      <c r="AA17" s="230"/>
      <c r="AB17" s="230"/>
      <c r="AC17" s="230"/>
      <c r="AD17" s="230"/>
      <c r="AE17" s="230"/>
      <c r="AF17" s="230"/>
      <c r="AG17" s="230"/>
      <c r="AH17" s="230"/>
      <c r="AI17" s="230"/>
      <c r="AJ17" s="230"/>
      <c r="AK17" s="230"/>
      <c r="AL17" s="230"/>
      <c r="AM17" s="230"/>
      <c r="AN17" s="230"/>
      <c r="AO17" s="230"/>
      <c r="AP17" s="230"/>
      <c r="AQ17" s="230"/>
      <c r="AR17" s="230"/>
      <c r="AS17" s="230"/>
      <c r="AT17" s="230"/>
      <c r="AU17" s="230"/>
      <c r="AV17" s="230"/>
    </row>
    <row r="18" spans="1:133" ht="16.5" thickBot="1">
      <c r="A18" s="246"/>
      <c r="B18" s="289"/>
      <c r="C18" s="236"/>
      <c r="D18" s="290"/>
      <c r="E18" s="291"/>
      <c r="F18" s="292"/>
      <c r="G18" s="230"/>
      <c r="H18" s="230"/>
      <c r="I18" s="292"/>
      <c r="J18" s="292"/>
      <c r="K18" s="292"/>
      <c r="L18" s="402" t="s">
        <v>162</v>
      </c>
      <c r="M18" s="408">
        <f>1-M17</f>
        <v>0.65</v>
      </c>
      <c r="N18" s="403">
        <f>(N12+N13)*M18</f>
        <v>5150340</v>
      </c>
      <c r="O18" s="234"/>
      <c r="P18" s="235"/>
      <c r="Q18" s="294">
        <v>0</v>
      </c>
      <c r="T18" s="230"/>
      <c r="U18" s="230"/>
      <c r="V18" s="230"/>
      <c r="W18" s="230"/>
      <c r="X18" s="230"/>
      <c r="Y18" s="230"/>
      <c r="Z18" s="230"/>
      <c r="AA18" s="230"/>
      <c r="AB18" s="230"/>
      <c r="AC18" s="230"/>
      <c r="AD18" s="230"/>
      <c r="AE18" s="230"/>
      <c r="AF18" s="230"/>
      <c r="AG18" s="230"/>
      <c r="AH18" s="230"/>
      <c r="AI18" s="230"/>
      <c r="AJ18" s="230"/>
      <c r="AK18" s="230"/>
      <c r="AL18" s="230"/>
      <c r="AM18" s="230"/>
      <c r="AN18" s="230"/>
      <c r="AO18" s="230"/>
      <c r="AP18" s="230"/>
      <c r="AQ18" s="230"/>
      <c r="AR18" s="230"/>
      <c r="AS18" s="230"/>
      <c r="AT18" s="230"/>
      <c r="AU18" s="230"/>
      <c r="AV18" s="230"/>
      <c r="AW18" s="230"/>
      <c r="AX18" s="230"/>
      <c r="AY18" s="230"/>
      <c r="AZ18" s="230"/>
      <c r="BA18" s="230"/>
      <c r="BB18" s="230"/>
      <c r="BC18" s="230"/>
      <c r="BD18" s="230"/>
      <c r="BE18" s="230"/>
      <c r="BF18" s="230"/>
      <c r="BG18" s="230"/>
      <c r="BH18" s="230"/>
      <c r="BI18" s="230"/>
      <c r="BJ18" s="230"/>
      <c r="BK18" s="230"/>
      <c r="BL18" s="230"/>
      <c r="BM18" s="230"/>
      <c r="BN18" s="230"/>
      <c r="BO18" s="230"/>
      <c r="BP18" s="230"/>
      <c r="BQ18" s="230"/>
      <c r="BR18" s="230"/>
      <c r="BS18" s="230"/>
      <c r="BT18" s="230"/>
      <c r="BU18" s="230"/>
      <c r="BV18" s="230"/>
      <c r="BW18" s="230"/>
      <c r="BX18" s="230"/>
      <c r="BY18" s="230"/>
      <c r="BZ18" s="230"/>
      <c r="CA18" s="230"/>
      <c r="CB18" s="230"/>
      <c r="CC18" s="230"/>
      <c r="CD18" s="230"/>
      <c r="CE18" s="230"/>
      <c r="CF18" s="230"/>
      <c r="CG18" s="230"/>
      <c r="CH18" s="230"/>
      <c r="CI18" s="230"/>
      <c r="CJ18" s="230"/>
      <c r="CK18" s="230"/>
      <c r="CL18" s="230"/>
      <c r="CM18" s="230"/>
      <c r="CN18" s="230"/>
      <c r="CO18" s="230"/>
      <c r="CP18" s="230"/>
      <c r="CQ18" s="230"/>
      <c r="CR18" s="230"/>
      <c r="CS18" s="230"/>
      <c r="CT18" s="230"/>
      <c r="CU18" s="230"/>
      <c r="CV18" s="230"/>
      <c r="CW18" s="230"/>
      <c r="CX18" s="230"/>
      <c r="CY18" s="230"/>
      <c r="CZ18" s="230"/>
      <c r="DA18" s="230"/>
      <c r="DB18" s="230"/>
      <c r="DC18" s="230"/>
      <c r="DD18" s="230"/>
      <c r="DE18" s="230"/>
      <c r="DF18" s="230"/>
      <c r="DG18" s="230"/>
      <c r="DH18" s="230"/>
      <c r="DI18" s="230"/>
      <c r="DJ18" s="230"/>
      <c r="DK18" s="230"/>
      <c r="DL18" s="230"/>
      <c r="DM18" s="230"/>
      <c r="DN18" s="230"/>
      <c r="DO18" s="230"/>
      <c r="DP18" s="230"/>
      <c r="DQ18" s="230"/>
      <c r="DR18" s="230"/>
      <c r="DS18" s="230"/>
      <c r="DT18" s="230"/>
      <c r="DU18" s="230"/>
      <c r="DV18" s="230"/>
      <c r="DW18" s="230"/>
      <c r="DX18" s="230"/>
      <c r="DY18" s="230"/>
      <c r="DZ18" s="230"/>
      <c r="EA18" s="230"/>
      <c r="EB18" s="230"/>
      <c r="EC18" s="230"/>
    </row>
    <row r="19" spans="1:133" ht="16.5" thickBot="1">
      <c r="A19" s="292"/>
      <c r="B19" s="295"/>
      <c r="C19" s="296"/>
      <c r="D19" s="490" t="s">
        <v>84</v>
      </c>
      <c r="E19" s="491" t="s">
        <v>85</v>
      </c>
      <c r="F19" s="491" t="s">
        <v>86</v>
      </c>
      <c r="G19" s="491" t="s">
        <v>87</v>
      </c>
      <c r="H19" s="491" t="s">
        <v>88</v>
      </c>
      <c r="I19" s="491" t="s">
        <v>89</v>
      </c>
      <c r="J19" s="491" t="s">
        <v>90</v>
      </c>
      <c r="K19" s="491" t="s">
        <v>91</v>
      </c>
      <c r="L19" s="491" t="s">
        <v>92</v>
      </c>
      <c r="M19" s="491" t="s">
        <v>93</v>
      </c>
      <c r="N19" s="491" t="s">
        <v>94</v>
      </c>
      <c r="O19" s="491" t="s">
        <v>95</v>
      </c>
      <c r="P19" s="491" t="s">
        <v>96</v>
      </c>
      <c r="Q19" s="491" t="s">
        <v>97</v>
      </c>
      <c r="R19" s="492" t="s">
        <v>98</v>
      </c>
      <c r="S19" s="488" t="s">
        <v>30</v>
      </c>
      <c r="T19" s="297"/>
      <c r="U19" s="297"/>
      <c r="V19" s="297"/>
      <c r="W19" s="297"/>
      <c r="X19" s="297"/>
      <c r="Y19" s="297"/>
      <c r="Z19" s="297"/>
      <c r="AA19" s="297"/>
      <c r="AB19" s="297"/>
      <c r="AC19" s="230"/>
      <c r="AD19" s="230"/>
      <c r="AE19" s="230"/>
      <c r="AF19" s="230"/>
      <c r="AG19" s="230"/>
      <c r="AH19" s="230"/>
      <c r="AI19" s="230"/>
      <c r="AJ19" s="230"/>
      <c r="AK19" s="230"/>
      <c r="AL19" s="230"/>
      <c r="AM19" s="230"/>
      <c r="AN19" s="230"/>
      <c r="AO19" s="230"/>
      <c r="AP19" s="230"/>
      <c r="AQ19" s="230"/>
      <c r="AR19" s="230"/>
      <c r="AS19" s="230"/>
      <c r="AT19" s="230"/>
      <c r="AU19" s="230"/>
      <c r="AV19" s="230"/>
      <c r="AW19" s="230"/>
      <c r="AX19" s="230"/>
      <c r="AY19" s="230"/>
      <c r="AZ19" s="230"/>
      <c r="BA19" s="230"/>
      <c r="BB19" s="230"/>
      <c r="BC19" s="230"/>
      <c r="BD19" s="230"/>
      <c r="BE19" s="230"/>
      <c r="BF19" s="230"/>
      <c r="BG19" s="230"/>
      <c r="BH19" s="230"/>
      <c r="BI19" s="230"/>
      <c r="BJ19" s="230"/>
      <c r="BK19" s="230"/>
      <c r="BL19" s="230"/>
      <c r="BM19" s="230"/>
      <c r="BN19" s="230"/>
      <c r="BO19" s="230"/>
      <c r="BP19" s="230"/>
      <c r="BQ19" s="230"/>
      <c r="BR19" s="230"/>
      <c r="BS19" s="230"/>
      <c r="BT19" s="230"/>
      <c r="BU19" s="230"/>
      <c r="BV19" s="230"/>
      <c r="BW19" s="230"/>
      <c r="BX19" s="230"/>
      <c r="BY19" s="230"/>
      <c r="BZ19" s="230"/>
      <c r="CA19" s="230"/>
      <c r="CB19" s="230"/>
      <c r="CC19" s="230"/>
      <c r="CD19" s="230"/>
      <c r="CE19" s="230"/>
      <c r="CF19" s="230"/>
      <c r="CG19" s="230"/>
      <c r="CH19" s="230"/>
      <c r="CI19" s="230"/>
      <c r="CJ19" s="230"/>
      <c r="CK19" s="230"/>
      <c r="CL19" s="230"/>
      <c r="CM19" s="230"/>
      <c r="CN19" s="230"/>
      <c r="CO19" s="230"/>
      <c r="CP19" s="230"/>
      <c r="CQ19" s="230"/>
      <c r="CR19" s="230"/>
      <c r="CS19" s="230"/>
      <c r="CT19" s="230"/>
      <c r="CU19" s="230"/>
      <c r="CV19" s="230"/>
      <c r="CW19" s="230"/>
      <c r="CX19" s="230"/>
      <c r="CY19" s="230"/>
      <c r="CZ19" s="230"/>
      <c r="DA19" s="230"/>
      <c r="DB19" s="230"/>
      <c r="DC19" s="230"/>
      <c r="DD19" s="230"/>
      <c r="DE19" s="230"/>
      <c r="DF19" s="230"/>
      <c r="DG19" s="230"/>
      <c r="DH19" s="230"/>
      <c r="DI19" s="230"/>
      <c r="DJ19" s="230"/>
      <c r="DK19" s="230"/>
      <c r="DL19" s="230"/>
      <c r="DM19" s="230"/>
      <c r="DN19" s="230"/>
      <c r="DO19" s="230"/>
      <c r="DP19" s="230"/>
      <c r="DQ19" s="230"/>
      <c r="DR19" s="230"/>
      <c r="DS19" s="230"/>
      <c r="DT19" s="230"/>
      <c r="DU19" s="230"/>
      <c r="DV19" s="230"/>
      <c r="DW19" s="230"/>
      <c r="DX19" s="230"/>
      <c r="DY19" s="230"/>
      <c r="DZ19" s="230"/>
      <c r="EA19" s="230"/>
      <c r="EB19" s="230"/>
      <c r="EC19" s="230"/>
    </row>
    <row r="20" spans="1:133">
      <c r="A20" s="298"/>
      <c r="B20" s="299" t="s">
        <v>134</v>
      </c>
      <c r="C20" s="300"/>
      <c r="D20" s="493">
        <v>0</v>
      </c>
      <c r="E20" s="494">
        <f>'Hotel Operating Revenue'!C51</f>
        <v>934894.05267857143</v>
      </c>
      <c r="F20" s="494">
        <f>'Hotel Operating Revenue'!D51</f>
        <v>939123.33267857146</v>
      </c>
      <c r="G20" s="494">
        <f>'Hotel Operating Revenue'!E51</f>
        <v>939121.53267857141</v>
      </c>
      <c r="H20" s="494">
        <f>'Hotel Operating Revenue'!F51</f>
        <v>939119.73267857137</v>
      </c>
      <c r="I20" s="494">
        <f>'Hotel Operating Revenue'!G51</f>
        <v>939117.93267857144</v>
      </c>
      <c r="J20" s="494">
        <f>I20*$Q$12+I20</f>
        <v>950387.34787071426</v>
      </c>
      <c r="K20" s="494">
        <f>J20*$Q$12+J20</f>
        <v>961791.99604516278</v>
      </c>
      <c r="L20" s="494">
        <f>K20*$Q$12+K20</f>
        <v>973333.49999770476</v>
      </c>
      <c r="M20" s="494">
        <f t="shared" ref="M20:R20" si="1">L20*$Q$12+L20</f>
        <v>985013.50199767726</v>
      </c>
      <c r="N20" s="494">
        <f t="shared" si="1"/>
        <v>996833.6640216494</v>
      </c>
      <c r="O20" s="494">
        <f t="shared" si="1"/>
        <v>1008795.6679899092</v>
      </c>
      <c r="P20" s="494">
        <f t="shared" si="1"/>
        <v>1020901.2160057881</v>
      </c>
      <c r="Q20" s="494">
        <f t="shared" si="1"/>
        <v>1033152.0305978575</v>
      </c>
      <c r="R20" s="489">
        <f t="shared" si="1"/>
        <v>1045549.8549650318</v>
      </c>
      <c r="S20" s="489">
        <f>SUM(D20:R20)</f>
        <v>13667135.36288435</v>
      </c>
      <c r="T20" s="301"/>
      <c r="U20" s="301"/>
      <c r="V20" s="301"/>
      <c r="W20" s="301"/>
      <c r="X20" s="301"/>
      <c r="Y20" s="301"/>
      <c r="Z20" s="301"/>
      <c r="AA20" s="301"/>
      <c r="AB20" s="301"/>
      <c r="AC20" s="302"/>
      <c r="AD20" s="230"/>
      <c r="AE20" s="230"/>
      <c r="AF20" s="230"/>
      <c r="AG20" s="230"/>
      <c r="AH20" s="230"/>
      <c r="AI20" s="230"/>
      <c r="AJ20" s="230"/>
      <c r="AK20" s="230"/>
      <c r="AL20" s="230"/>
      <c r="AM20" s="230"/>
      <c r="AN20" s="230"/>
      <c r="AO20" s="230"/>
      <c r="AP20" s="230"/>
      <c r="AQ20" s="230"/>
      <c r="AR20" s="230"/>
      <c r="AS20" s="230"/>
      <c r="AT20" s="230"/>
      <c r="AU20" s="230"/>
      <c r="AV20" s="230"/>
      <c r="AW20" s="230"/>
      <c r="AX20" s="230"/>
      <c r="AY20" s="230"/>
      <c r="AZ20" s="230"/>
      <c r="BA20" s="230"/>
      <c r="BB20" s="230"/>
      <c r="BC20" s="230"/>
      <c r="BD20" s="230"/>
      <c r="BE20" s="230"/>
      <c r="BF20" s="230"/>
      <c r="BG20" s="230"/>
      <c r="BH20" s="230"/>
      <c r="BI20" s="230"/>
      <c r="BJ20" s="230"/>
      <c r="BK20" s="230"/>
      <c r="BL20" s="230"/>
      <c r="BM20" s="230"/>
      <c r="BN20" s="230"/>
      <c r="BO20" s="230"/>
      <c r="BP20" s="230"/>
      <c r="BQ20" s="230"/>
      <c r="BR20" s="230"/>
      <c r="BS20" s="230"/>
      <c r="BT20" s="230"/>
      <c r="BU20" s="230"/>
      <c r="BV20" s="230"/>
      <c r="BW20" s="230"/>
      <c r="BX20" s="230"/>
      <c r="BY20" s="230"/>
      <c r="BZ20" s="230"/>
      <c r="CA20" s="230"/>
      <c r="CB20" s="230"/>
      <c r="CC20" s="230"/>
      <c r="CD20" s="230"/>
      <c r="CE20" s="230"/>
      <c r="CF20" s="230"/>
      <c r="CG20" s="230"/>
      <c r="CH20" s="230"/>
      <c r="CI20" s="230"/>
      <c r="CJ20" s="230"/>
      <c r="CK20" s="230"/>
      <c r="CL20" s="230"/>
      <c r="CM20" s="230"/>
      <c r="CN20" s="230"/>
      <c r="CO20" s="230"/>
      <c r="CP20" s="230"/>
      <c r="CQ20" s="230"/>
      <c r="CR20" s="230"/>
      <c r="CS20" s="230"/>
      <c r="CT20" s="230"/>
      <c r="CU20" s="230"/>
      <c r="CV20" s="230"/>
      <c r="CW20" s="230"/>
      <c r="CX20" s="230"/>
      <c r="CY20" s="230"/>
      <c r="CZ20" s="230"/>
      <c r="DA20" s="230"/>
      <c r="DB20" s="230"/>
      <c r="DC20" s="230"/>
      <c r="DD20" s="230"/>
      <c r="DE20" s="230"/>
      <c r="DF20" s="230"/>
      <c r="DG20" s="230"/>
      <c r="DH20" s="230"/>
      <c r="DI20" s="230"/>
      <c r="DJ20" s="230"/>
      <c r="DK20" s="230"/>
      <c r="DL20" s="230"/>
      <c r="DM20" s="230"/>
      <c r="DN20" s="230"/>
      <c r="DO20" s="230"/>
      <c r="DP20" s="230"/>
      <c r="DQ20" s="230"/>
      <c r="DR20" s="230"/>
      <c r="DS20" s="230"/>
      <c r="DT20" s="230"/>
      <c r="DU20" s="230"/>
      <c r="DV20" s="230"/>
      <c r="DW20" s="230"/>
      <c r="DX20" s="230"/>
      <c r="DY20" s="230"/>
      <c r="DZ20" s="230"/>
      <c r="EA20" s="230"/>
      <c r="EB20" s="230"/>
      <c r="EC20" s="230"/>
    </row>
    <row r="21" spans="1:133">
      <c r="A21" s="303"/>
      <c r="B21" s="304" t="s">
        <v>135</v>
      </c>
      <c r="C21" s="305">
        <v>0</v>
      </c>
      <c r="D21" s="495">
        <f>IF($M$14&gt;=1,$Q$12,"")</f>
        <v>1.2E-2</v>
      </c>
      <c r="E21" s="413">
        <f>IF($M$14&gt;=2,$Q$12,"")</f>
        <v>1.2E-2</v>
      </c>
      <c r="F21" s="413">
        <f>IF($M$14&gt;=3,$Q$12,"")</f>
        <v>1.2E-2</v>
      </c>
      <c r="G21" s="413">
        <f>IF($M$14&gt;=4,$Q$12,"")</f>
        <v>1.2E-2</v>
      </c>
      <c r="H21" s="413">
        <f>IF($M$14&gt;=5,$Q$12,"")</f>
        <v>1.2E-2</v>
      </c>
      <c r="I21" s="413">
        <f>IF($M$14&gt;=6,$Q$12,"")</f>
        <v>1.2E-2</v>
      </c>
      <c r="J21" s="413">
        <f>IF($M$14&gt;=7,$Q$12,"")</f>
        <v>1.2E-2</v>
      </c>
      <c r="K21" s="413">
        <f>IF($M$14&gt;=8,$Q$12,"")</f>
        <v>1.2E-2</v>
      </c>
      <c r="L21" s="413">
        <f>IF($M$14&gt;=9,$Q$12,"")</f>
        <v>1.2E-2</v>
      </c>
      <c r="M21" s="413">
        <f>IF($M$14&gt;=10,$Q$12,"")</f>
        <v>1.2E-2</v>
      </c>
      <c r="N21" s="413">
        <f>IF($M$14&gt;=11,$Q$12,"")</f>
        <v>1.2E-2</v>
      </c>
      <c r="O21" s="413">
        <f>IF($M$14&gt;=12,$Q$12,"")</f>
        <v>1.2E-2</v>
      </c>
      <c r="P21" s="413">
        <f>IF($M$14&gt;=13,$Q$12,"")</f>
        <v>1.2E-2</v>
      </c>
      <c r="Q21" s="413">
        <f>IF($M$14&gt;=14,$Q$12,"")</f>
        <v>1.2E-2</v>
      </c>
      <c r="R21" s="414">
        <f>IF($M$14&gt;=15,$Q$12,"")</f>
        <v>1.2E-2</v>
      </c>
      <c r="S21" s="306"/>
      <c r="T21" s="307"/>
      <c r="U21" s="307"/>
      <c r="V21" s="307"/>
      <c r="W21" s="307"/>
      <c r="X21" s="307"/>
      <c r="Y21" s="307"/>
      <c r="Z21" s="307"/>
      <c r="AA21" s="307"/>
      <c r="AB21" s="307"/>
      <c r="AC21" s="230"/>
      <c r="AD21" s="230"/>
      <c r="AE21" s="230"/>
      <c r="AF21" s="230"/>
      <c r="AG21" s="230"/>
      <c r="AH21" s="230"/>
      <c r="AI21" s="230"/>
      <c r="AJ21" s="230"/>
      <c r="AK21" s="230"/>
      <c r="AL21" s="230"/>
      <c r="AM21" s="230"/>
      <c r="AN21" s="230"/>
      <c r="AO21" s="230"/>
      <c r="AP21" s="230"/>
      <c r="AQ21" s="230"/>
      <c r="AR21" s="230"/>
      <c r="AS21" s="230"/>
      <c r="AT21" s="230"/>
      <c r="AU21" s="230"/>
      <c r="AV21" s="230"/>
      <c r="AW21" s="230"/>
      <c r="AX21" s="230"/>
      <c r="AY21" s="230"/>
      <c r="AZ21" s="230"/>
      <c r="BA21" s="230"/>
      <c r="BB21" s="230"/>
      <c r="BC21" s="230"/>
      <c r="BD21" s="230"/>
      <c r="BE21" s="230"/>
      <c r="BF21" s="230"/>
      <c r="BG21" s="230"/>
      <c r="BH21" s="230"/>
      <c r="BI21" s="230"/>
      <c r="BJ21" s="230"/>
      <c r="BK21" s="230"/>
      <c r="BL21" s="230"/>
      <c r="BM21" s="230"/>
      <c r="BN21" s="230"/>
      <c r="BO21" s="230"/>
      <c r="BP21" s="230"/>
      <c r="BQ21" s="230"/>
      <c r="BR21" s="230"/>
      <c r="BS21" s="230"/>
      <c r="BT21" s="230"/>
      <c r="BU21" s="230"/>
      <c r="BV21" s="230"/>
      <c r="BW21" s="230"/>
      <c r="BX21" s="230"/>
      <c r="BY21" s="230"/>
      <c r="BZ21" s="230"/>
      <c r="CA21" s="230"/>
      <c r="CB21" s="230"/>
      <c r="CC21" s="230"/>
      <c r="CD21" s="230"/>
      <c r="CE21" s="230"/>
      <c r="CF21" s="230"/>
      <c r="CG21" s="230"/>
      <c r="CH21" s="230"/>
      <c r="CI21" s="230"/>
      <c r="CJ21" s="230"/>
      <c r="CK21" s="230"/>
      <c r="CL21" s="230"/>
      <c r="CM21" s="230"/>
      <c r="CN21" s="230"/>
      <c r="CO21" s="230"/>
      <c r="CP21" s="230"/>
      <c r="CQ21" s="230"/>
      <c r="CR21" s="230"/>
      <c r="CS21" s="230"/>
      <c r="CT21" s="230"/>
      <c r="CU21" s="230"/>
      <c r="CV21" s="230"/>
      <c r="CW21" s="230"/>
      <c r="CX21" s="230"/>
      <c r="CY21" s="230"/>
      <c r="CZ21" s="230"/>
      <c r="DA21" s="230"/>
      <c r="DB21" s="230"/>
      <c r="DC21" s="230"/>
      <c r="DD21" s="230"/>
      <c r="DE21" s="230"/>
      <c r="DF21" s="230"/>
      <c r="DG21" s="230"/>
      <c r="DH21" s="230"/>
      <c r="DI21" s="230"/>
      <c r="DJ21" s="230"/>
      <c r="DK21" s="230"/>
      <c r="DL21" s="230"/>
      <c r="DM21" s="230"/>
      <c r="DN21" s="230"/>
      <c r="DO21" s="230"/>
      <c r="DP21" s="230"/>
      <c r="DQ21" s="230"/>
      <c r="DR21" s="230"/>
      <c r="DS21" s="230"/>
      <c r="DT21" s="230"/>
      <c r="DU21" s="230"/>
      <c r="DV21" s="230"/>
      <c r="DW21" s="230"/>
      <c r="DX21" s="230"/>
      <c r="DY21" s="230"/>
      <c r="DZ21" s="230"/>
      <c r="EA21" s="230"/>
      <c r="EB21" s="230"/>
      <c r="EC21" s="230"/>
    </row>
    <row r="22" spans="1:133" outlineLevel="1">
      <c r="A22" s="308"/>
      <c r="B22" s="309" t="s">
        <v>136</v>
      </c>
      <c r="C22" s="310">
        <f>$N$12</f>
        <v>6000000</v>
      </c>
      <c r="D22" s="496"/>
      <c r="E22" s="415"/>
      <c r="F22" s="415"/>
      <c r="G22" s="415"/>
      <c r="H22" s="415"/>
      <c r="I22" s="415"/>
      <c r="J22" s="415"/>
      <c r="K22" s="415"/>
      <c r="L22" s="415"/>
      <c r="M22" s="415"/>
      <c r="N22" s="415"/>
      <c r="O22" s="415"/>
      <c r="P22" s="415"/>
      <c r="Q22" s="415"/>
      <c r="R22" s="416"/>
      <c r="S22" s="311">
        <f t="shared" ref="S22:S45" si="2">SUM(C22:R22)</f>
        <v>6000000</v>
      </c>
      <c r="T22" s="292"/>
      <c r="U22" s="292"/>
      <c r="V22" s="292"/>
      <c r="W22" s="292"/>
      <c r="X22" s="292"/>
      <c r="Y22" s="292"/>
      <c r="Z22" s="292"/>
      <c r="AA22" s="292"/>
      <c r="AB22" s="292"/>
      <c r="AC22" s="230"/>
      <c r="AD22" s="230"/>
      <c r="AE22" s="230"/>
      <c r="AF22" s="230"/>
      <c r="AG22" s="230"/>
      <c r="AH22" s="230"/>
      <c r="AI22" s="230"/>
      <c r="AJ22" s="230"/>
      <c r="AK22" s="230"/>
      <c r="AL22" s="230"/>
      <c r="AM22" s="230"/>
      <c r="AN22" s="230"/>
      <c r="AO22" s="230"/>
      <c r="AP22" s="230"/>
      <c r="AQ22" s="230"/>
      <c r="AR22" s="230"/>
      <c r="AS22" s="230"/>
      <c r="AT22" s="230"/>
      <c r="AU22" s="230"/>
      <c r="AV22" s="230"/>
      <c r="AW22" s="230"/>
      <c r="AX22" s="230"/>
      <c r="AY22" s="230"/>
      <c r="AZ22" s="230"/>
      <c r="BA22" s="230"/>
      <c r="BB22" s="230"/>
      <c r="BC22" s="230"/>
      <c r="BD22" s="230"/>
      <c r="BE22" s="230"/>
      <c r="BF22" s="230"/>
      <c r="BG22" s="230"/>
      <c r="BH22" s="230"/>
      <c r="BI22" s="230"/>
      <c r="BJ22" s="230"/>
      <c r="BK22" s="230"/>
      <c r="BL22" s="230"/>
      <c r="BM22" s="230"/>
      <c r="BN22" s="230"/>
      <c r="BO22" s="230"/>
      <c r="BP22" s="230"/>
      <c r="BQ22" s="230"/>
      <c r="BR22" s="230"/>
      <c r="BS22" s="230"/>
      <c r="BT22" s="230"/>
      <c r="BU22" s="230"/>
      <c r="BV22" s="230"/>
      <c r="BW22" s="230"/>
      <c r="BX22" s="230"/>
      <c r="BY22" s="230"/>
      <c r="BZ22" s="230"/>
      <c r="CA22" s="230"/>
      <c r="CB22" s="230"/>
      <c r="CC22" s="230"/>
      <c r="CD22" s="230"/>
      <c r="CE22" s="230"/>
      <c r="CF22" s="230"/>
      <c r="CG22" s="230"/>
      <c r="CH22" s="230"/>
      <c r="CI22" s="230"/>
      <c r="CJ22" s="230"/>
      <c r="CK22" s="230"/>
      <c r="CL22" s="230"/>
      <c r="CM22" s="230"/>
      <c r="CN22" s="230"/>
      <c r="CO22" s="230"/>
      <c r="CP22" s="230"/>
      <c r="CQ22" s="230"/>
      <c r="CR22" s="230"/>
      <c r="CS22" s="230"/>
      <c r="CT22" s="230"/>
      <c r="CU22" s="230"/>
      <c r="CV22" s="230"/>
      <c r="CW22" s="230"/>
      <c r="CX22" s="230"/>
      <c r="CY22" s="230"/>
      <c r="CZ22" s="230"/>
      <c r="DA22" s="230"/>
      <c r="DB22" s="230"/>
      <c r="DC22" s="230"/>
      <c r="DD22" s="230"/>
      <c r="DE22" s="230"/>
      <c r="DF22" s="230"/>
      <c r="DG22" s="230"/>
      <c r="DH22" s="230"/>
      <c r="DI22" s="230"/>
      <c r="DJ22" s="230"/>
      <c r="DK22" s="230"/>
      <c r="DL22" s="230"/>
      <c r="DM22" s="230"/>
      <c r="DN22" s="230"/>
      <c r="DO22" s="230"/>
      <c r="DP22" s="230"/>
      <c r="DQ22" s="230"/>
      <c r="DR22" s="230"/>
      <c r="DS22" s="230"/>
      <c r="DT22" s="230"/>
      <c r="DU22" s="230"/>
      <c r="DV22" s="230"/>
      <c r="DW22" s="230"/>
      <c r="DX22" s="230"/>
      <c r="DY22" s="230"/>
      <c r="DZ22" s="230"/>
      <c r="EA22" s="230"/>
      <c r="EB22" s="230"/>
      <c r="EC22" s="230"/>
    </row>
    <row r="23" spans="1:133" ht="16.5" outlineLevel="1" thickBot="1">
      <c r="A23" s="312"/>
      <c r="B23" s="309" t="s">
        <v>137</v>
      </c>
      <c r="C23" s="310"/>
      <c r="D23" s="497">
        <f>$N$13/2</f>
        <v>961800</v>
      </c>
      <c r="E23" s="498">
        <f>$N$13/2</f>
        <v>961800</v>
      </c>
      <c r="F23" s="498"/>
      <c r="G23" s="498"/>
      <c r="H23" s="498"/>
      <c r="I23" s="498"/>
      <c r="J23" s="498"/>
      <c r="K23" s="498"/>
      <c r="L23" s="498"/>
      <c r="M23" s="498"/>
      <c r="N23" s="498"/>
      <c r="O23" s="498"/>
      <c r="P23" s="498"/>
      <c r="Q23" s="498"/>
      <c r="R23" s="499"/>
      <c r="S23" s="311">
        <f t="shared" si="2"/>
        <v>1923600</v>
      </c>
      <c r="T23" s="292"/>
      <c r="U23" s="292"/>
      <c r="V23" s="292"/>
      <c r="W23" s="292"/>
      <c r="X23" s="292"/>
      <c r="Y23" s="292"/>
      <c r="Z23" s="292"/>
      <c r="AA23" s="292"/>
      <c r="AB23" s="292"/>
      <c r="AC23" s="230"/>
      <c r="AD23" s="230"/>
      <c r="AE23" s="230"/>
      <c r="AF23" s="230"/>
      <c r="AG23" s="230"/>
      <c r="AH23" s="230"/>
      <c r="AI23" s="230"/>
      <c r="AJ23" s="230"/>
      <c r="AK23" s="230"/>
      <c r="AL23" s="230"/>
      <c r="AM23" s="230"/>
      <c r="AN23" s="230"/>
      <c r="AO23" s="230"/>
      <c r="AP23" s="230"/>
      <c r="AQ23" s="230"/>
      <c r="AR23" s="230"/>
      <c r="AS23" s="230"/>
      <c r="AT23" s="230"/>
      <c r="AU23" s="230"/>
      <c r="AV23" s="230"/>
      <c r="AW23" s="230"/>
      <c r="AX23" s="230"/>
      <c r="AY23" s="230"/>
      <c r="AZ23" s="230"/>
      <c r="BA23" s="230"/>
      <c r="BB23" s="230"/>
      <c r="BC23" s="230"/>
      <c r="BD23" s="230"/>
      <c r="BE23" s="230"/>
      <c r="BF23" s="230"/>
      <c r="BG23" s="230"/>
      <c r="BH23" s="230"/>
      <c r="BI23" s="230"/>
      <c r="BJ23" s="230"/>
      <c r="BK23" s="230"/>
      <c r="BL23" s="230"/>
      <c r="BM23" s="230"/>
      <c r="BN23" s="230"/>
      <c r="BO23" s="230"/>
      <c r="BP23" s="230"/>
      <c r="BQ23" s="230"/>
      <c r="BR23" s="230"/>
      <c r="BS23" s="230"/>
      <c r="BT23" s="230"/>
      <c r="BU23" s="230"/>
      <c r="BV23" s="230"/>
      <c r="BW23" s="230"/>
      <c r="BX23" s="230"/>
      <c r="BY23" s="230"/>
      <c r="BZ23" s="230"/>
      <c r="CA23" s="230"/>
      <c r="CB23" s="230"/>
      <c r="CC23" s="230"/>
      <c r="CD23" s="230"/>
      <c r="CE23" s="230"/>
      <c r="CF23" s="230"/>
      <c r="CG23" s="230"/>
      <c r="CH23" s="230"/>
      <c r="CI23" s="230"/>
      <c r="CJ23" s="230"/>
      <c r="CK23" s="230"/>
      <c r="CL23" s="230"/>
      <c r="CM23" s="230"/>
      <c r="CN23" s="230"/>
      <c r="CO23" s="230"/>
      <c r="CP23" s="230"/>
      <c r="CQ23" s="230"/>
      <c r="CR23" s="230"/>
      <c r="CS23" s="230"/>
      <c r="CT23" s="230"/>
      <c r="CU23" s="230"/>
      <c r="CV23" s="230"/>
      <c r="CW23" s="230"/>
      <c r="CX23" s="230"/>
      <c r="CY23" s="230"/>
      <c r="CZ23" s="230"/>
      <c r="DA23" s="230"/>
      <c r="DB23" s="230"/>
      <c r="DC23" s="230"/>
      <c r="DD23" s="230"/>
      <c r="DE23" s="230"/>
      <c r="DF23" s="230"/>
      <c r="DG23" s="230"/>
      <c r="DH23" s="230"/>
      <c r="DI23" s="230"/>
      <c r="DJ23" s="230"/>
      <c r="DK23" s="230"/>
      <c r="DL23" s="230"/>
      <c r="DM23" s="230"/>
      <c r="DN23" s="230"/>
      <c r="DO23" s="230"/>
      <c r="DP23" s="230"/>
      <c r="DQ23" s="230"/>
      <c r="DR23" s="230"/>
      <c r="DS23" s="230"/>
      <c r="DT23" s="230"/>
      <c r="DU23" s="230"/>
      <c r="DV23" s="230"/>
      <c r="DW23" s="230"/>
      <c r="DX23" s="230"/>
      <c r="DY23" s="230"/>
      <c r="DZ23" s="230"/>
      <c r="EA23" s="230"/>
      <c r="EB23" s="230"/>
      <c r="EC23" s="230"/>
    </row>
    <row r="24" spans="1:133" ht="16.5" thickBot="1">
      <c r="A24" s="313"/>
      <c r="B24" s="398" t="s">
        <v>138</v>
      </c>
      <c r="C24" s="314">
        <f>SUM(C22:C23)</f>
        <v>6000000</v>
      </c>
      <c r="D24" s="417">
        <f t="shared" ref="D24:R24" si="3">SUM(D20:D23)</f>
        <v>961800.01199999999</v>
      </c>
      <c r="E24" s="417">
        <f t="shared" si="3"/>
        <v>1896694.0646785714</v>
      </c>
      <c r="F24" s="417">
        <f t="shared" si="3"/>
        <v>939123.34467857145</v>
      </c>
      <c r="G24" s="417">
        <f t="shared" si="3"/>
        <v>939121.5446785714</v>
      </c>
      <c r="H24" s="417">
        <f t="shared" si="3"/>
        <v>939119.74467857135</v>
      </c>
      <c r="I24" s="417">
        <f t="shared" si="3"/>
        <v>939117.94467857142</v>
      </c>
      <c r="J24" s="417">
        <f t="shared" si="3"/>
        <v>950387.35987071425</v>
      </c>
      <c r="K24" s="417">
        <f t="shared" si="3"/>
        <v>961792.00804516277</v>
      </c>
      <c r="L24" s="417">
        <f t="shared" si="3"/>
        <v>973333.51199770474</v>
      </c>
      <c r="M24" s="417">
        <f t="shared" si="3"/>
        <v>985013.51399767725</v>
      </c>
      <c r="N24" s="417">
        <f t="shared" si="3"/>
        <v>996833.67602164939</v>
      </c>
      <c r="O24" s="417">
        <f t="shared" si="3"/>
        <v>1008795.6799899092</v>
      </c>
      <c r="P24" s="417">
        <f t="shared" si="3"/>
        <v>1020901.2280057881</v>
      </c>
      <c r="Q24" s="417">
        <f t="shared" si="3"/>
        <v>1033152.0425978575</v>
      </c>
      <c r="R24" s="418">
        <f t="shared" si="3"/>
        <v>1045549.8669650318</v>
      </c>
      <c r="S24" s="315">
        <f t="shared" si="2"/>
        <v>21590735.542884354</v>
      </c>
      <c r="T24" s="302"/>
      <c r="U24" s="302"/>
      <c r="V24" s="302"/>
      <c r="W24" s="302"/>
      <c r="X24" s="302"/>
      <c r="Y24" s="302"/>
      <c r="Z24" s="302"/>
      <c r="AA24" s="302"/>
      <c r="AB24" s="302"/>
      <c r="AC24" s="230"/>
      <c r="AD24" s="230"/>
      <c r="AE24" s="230"/>
      <c r="AF24" s="230"/>
      <c r="AG24" s="230"/>
      <c r="AH24" s="230"/>
      <c r="AI24" s="230"/>
      <c r="AJ24" s="230"/>
      <c r="AK24" s="230"/>
      <c r="AL24" s="230"/>
      <c r="AM24" s="230"/>
      <c r="AN24" s="230"/>
      <c r="AO24" s="230"/>
      <c r="AP24" s="230"/>
      <c r="AQ24" s="230"/>
      <c r="AR24" s="230"/>
      <c r="AS24" s="230"/>
      <c r="AT24" s="230"/>
      <c r="AU24" s="230"/>
      <c r="AV24" s="230"/>
      <c r="AW24" s="230"/>
      <c r="AX24" s="230"/>
      <c r="AY24" s="230"/>
      <c r="AZ24" s="230"/>
      <c r="BA24" s="230"/>
      <c r="BB24" s="230"/>
      <c r="BC24" s="230"/>
      <c r="BD24" s="230"/>
      <c r="BE24" s="230"/>
      <c r="BF24" s="230"/>
      <c r="BG24" s="230"/>
      <c r="BH24" s="230"/>
      <c r="BI24" s="230"/>
      <c r="BJ24" s="230"/>
      <c r="BK24" s="230"/>
      <c r="BL24" s="230"/>
      <c r="BM24" s="230"/>
      <c r="BN24" s="230"/>
      <c r="BO24" s="230"/>
      <c r="BP24" s="230"/>
      <c r="BQ24" s="230"/>
      <c r="BR24" s="230"/>
      <c r="BS24" s="230"/>
      <c r="BT24" s="230"/>
      <c r="BU24" s="230"/>
      <c r="BV24" s="230"/>
      <c r="BW24" s="230"/>
      <c r="BX24" s="230"/>
      <c r="BY24" s="230"/>
      <c r="BZ24" s="230"/>
      <c r="CA24" s="230"/>
      <c r="CB24" s="230"/>
      <c r="CC24" s="230"/>
      <c r="CD24" s="230"/>
      <c r="CE24" s="230"/>
      <c r="CF24" s="230"/>
      <c r="CG24" s="230"/>
      <c r="CH24" s="230"/>
      <c r="CI24" s="230"/>
      <c r="CJ24" s="230"/>
      <c r="CK24" s="230"/>
      <c r="CL24" s="230"/>
      <c r="CM24" s="230"/>
      <c r="CN24" s="230"/>
      <c r="CO24" s="230"/>
      <c r="CP24" s="230"/>
      <c r="CQ24" s="230"/>
      <c r="CR24" s="230"/>
      <c r="CS24" s="230"/>
      <c r="CT24" s="230"/>
      <c r="CU24" s="230"/>
      <c r="CV24" s="230"/>
      <c r="CW24" s="230"/>
      <c r="CX24" s="230"/>
      <c r="CY24" s="230"/>
      <c r="CZ24" s="230"/>
      <c r="DA24" s="230"/>
      <c r="DB24" s="230"/>
      <c r="DC24" s="230"/>
      <c r="DD24" s="230"/>
      <c r="DE24" s="230"/>
      <c r="DF24" s="230"/>
      <c r="DG24" s="230"/>
      <c r="DH24" s="230"/>
      <c r="DI24" s="230"/>
      <c r="DJ24" s="230"/>
      <c r="DK24" s="230"/>
      <c r="DL24" s="230"/>
      <c r="DM24" s="230"/>
      <c r="DN24" s="230"/>
      <c r="DO24" s="230"/>
      <c r="DP24" s="230"/>
      <c r="DQ24" s="230"/>
      <c r="DR24" s="230"/>
      <c r="DS24" s="230"/>
      <c r="DT24" s="230"/>
      <c r="DU24" s="230"/>
      <c r="DV24" s="230"/>
      <c r="DW24" s="230"/>
      <c r="DX24" s="230"/>
      <c r="DY24" s="230"/>
      <c r="DZ24" s="230"/>
      <c r="EA24" s="230"/>
      <c r="EB24" s="230"/>
      <c r="EC24" s="230"/>
    </row>
    <row r="25" spans="1:133" outlineLevel="1">
      <c r="A25" s="316"/>
      <c r="B25" s="317" t="s">
        <v>139</v>
      </c>
      <c r="C25" s="318">
        <f>$I$11</f>
        <v>10000000</v>
      </c>
      <c r="D25" s="419"/>
      <c r="E25" s="419"/>
      <c r="F25" s="419"/>
      <c r="G25" s="419"/>
      <c r="H25" s="419"/>
      <c r="I25" s="419"/>
      <c r="J25" s="419"/>
      <c r="K25" s="419"/>
      <c r="L25" s="419"/>
      <c r="M25" s="419"/>
      <c r="N25" s="419"/>
      <c r="O25" s="419"/>
      <c r="P25" s="419"/>
      <c r="Q25" s="419"/>
      <c r="R25" s="420"/>
      <c r="S25" s="319">
        <f t="shared" si="2"/>
        <v>10000000</v>
      </c>
      <c r="T25" s="292"/>
      <c r="U25" s="292"/>
      <c r="V25" s="292"/>
      <c r="W25" s="292"/>
      <c r="X25" s="292"/>
      <c r="Y25" s="292"/>
      <c r="Z25" s="292"/>
      <c r="AA25" s="292"/>
      <c r="AB25" s="292"/>
      <c r="AC25" s="230"/>
      <c r="AD25" s="230"/>
      <c r="AE25" s="230"/>
      <c r="AF25" s="230"/>
      <c r="AG25" s="230"/>
      <c r="AH25" s="230"/>
      <c r="AI25" s="230"/>
      <c r="AJ25" s="230"/>
      <c r="AK25" s="230"/>
      <c r="AL25" s="230"/>
      <c r="AM25" s="230"/>
      <c r="AN25" s="230"/>
      <c r="AO25" s="230"/>
      <c r="AP25" s="230"/>
      <c r="AQ25" s="230"/>
      <c r="AR25" s="230"/>
      <c r="AS25" s="230"/>
      <c r="AT25" s="230"/>
      <c r="AU25" s="230"/>
      <c r="AV25" s="230"/>
      <c r="AW25" s="230"/>
      <c r="AX25" s="230"/>
      <c r="AY25" s="230"/>
      <c r="AZ25" s="230"/>
      <c r="BA25" s="230"/>
      <c r="BB25" s="230"/>
      <c r="BC25" s="230"/>
      <c r="BD25" s="230"/>
      <c r="BE25" s="230"/>
      <c r="BF25" s="230"/>
      <c r="BG25" s="230"/>
      <c r="BH25" s="230"/>
      <c r="BI25" s="230"/>
      <c r="BJ25" s="230"/>
      <c r="BK25" s="230"/>
      <c r="BL25" s="230"/>
      <c r="BM25" s="230"/>
      <c r="BN25" s="230"/>
      <c r="BO25" s="230"/>
      <c r="BP25" s="230"/>
      <c r="BQ25" s="230"/>
      <c r="BR25" s="230"/>
      <c r="BS25" s="230"/>
      <c r="BT25" s="230"/>
      <c r="BU25" s="230"/>
      <c r="BV25" s="230"/>
      <c r="BW25" s="230"/>
      <c r="BX25" s="230"/>
      <c r="BY25" s="230"/>
      <c r="BZ25" s="230"/>
      <c r="CA25" s="230"/>
      <c r="CB25" s="230"/>
      <c r="CC25" s="230"/>
      <c r="CD25" s="230"/>
      <c r="CE25" s="230"/>
      <c r="CF25" s="230"/>
      <c r="CG25" s="230"/>
      <c r="CH25" s="230"/>
      <c r="CI25" s="230"/>
      <c r="CJ25" s="230"/>
      <c r="CK25" s="230"/>
      <c r="CL25" s="230"/>
      <c r="CM25" s="230"/>
      <c r="CN25" s="230"/>
      <c r="CO25" s="230"/>
      <c r="CP25" s="230"/>
      <c r="CQ25" s="230"/>
      <c r="CR25" s="230"/>
      <c r="CS25" s="230"/>
      <c r="CT25" s="230"/>
      <c r="CU25" s="230"/>
      <c r="CV25" s="230"/>
      <c r="CW25" s="230"/>
      <c r="CX25" s="230"/>
      <c r="CY25" s="230"/>
      <c r="CZ25" s="230"/>
      <c r="DA25" s="230"/>
      <c r="DB25" s="230"/>
      <c r="DC25" s="230"/>
      <c r="DD25" s="230"/>
      <c r="DE25" s="230"/>
      <c r="DF25" s="230"/>
      <c r="DG25" s="230"/>
      <c r="DH25" s="230"/>
      <c r="DI25" s="230"/>
      <c r="DJ25" s="230"/>
      <c r="DK25" s="230"/>
      <c r="DL25" s="230"/>
      <c r="DM25" s="230"/>
      <c r="DN25" s="230"/>
      <c r="DO25" s="230"/>
      <c r="DP25" s="230"/>
      <c r="DQ25" s="230"/>
      <c r="DR25" s="230"/>
      <c r="DS25" s="230"/>
      <c r="DT25" s="230"/>
      <c r="DU25" s="230"/>
      <c r="DV25" s="230"/>
      <c r="DW25" s="230"/>
      <c r="DX25" s="230"/>
      <c r="DY25" s="230"/>
      <c r="DZ25" s="230"/>
      <c r="EA25" s="230"/>
      <c r="EB25" s="230"/>
      <c r="EC25" s="230"/>
    </row>
    <row r="26" spans="1:133" outlineLevel="1">
      <c r="A26" s="316">
        <f>Assumptions!D26</f>
        <v>7.0000000000000007E-2</v>
      </c>
      <c r="B26" s="264" t="s">
        <v>141</v>
      </c>
      <c r="C26" s="320">
        <f>$A26*C$25</f>
        <v>700000.00000000012</v>
      </c>
      <c r="D26" s="328"/>
      <c r="E26" s="328"/>
      <c r="F26" s="328"/>
      <c r="G26" s="328"/>
      <c r="H26" s="328"/>
      <c r="I26" s="328"/>
      <c r="J26" s="328"/>
      <c r="K26" s="328"/>
      <c r="L26" s="328"/>
      <c r="M26" s="328"/>
      <c r="N26" s="328"/>
      <c r="O26" s="328"/>
      <c r="P26" s="328"/>
      <c r="Q26" s="328"/>
      <c r="R26" s="421"/>
      <c r="S26" s="319">
        <f t="shared" si="2"/>
        <v>700000.00000000012</v>
      </c>
      <c r="T26" s="292"/>
      <c r="U26" s="292"/>
      <c r="V26" s="292"/>
      <c r="W26" s="292"/>
      <c r="X26" s="292"/>
      <c r="Y26" s="292"/>
      <c r="Z26" s="292"/>
      <c r="AA26" s="292"/>
      <c r="AB26" s="292"/>
      <c r="AC26" s="230"/>
      <c r="AD26" s="230"/>
      <c r="AE26" s="230"/>
      <c r="AF26" s="230"/>
      <c r="AG26" s="230"/>
      <c r="AH26" s="230"/>
      <c r="AI26" s="230"/>
      <c r="AJ26" s="230"/>
      <c r="AK26" s="230"/>
      <c r="AL26" s="230"/>
      <c r="AM26" s="230"/>
      <c r="AN26" s="230"/>
      <c r="AO26" s="230"/>
      <c r="AP26" s="230"/>
      <c r="AQ26" s="230"/>
      <c r="AR26" s="230"/>
      <c r="AS26" s="230"/>
      <c r="AT26" s="230"/>
      <c r="AU26" s="230"/>
      <c r="AV26" s="230"/>
      <c r="AW26" s="230"/>
      <c r="AX26" s="230"/>
      <c r="AY26" s="230"/>
      <c r="AZ26" s="230"/>
      <c r="BA26" s="230"/>
      <c r="BB26" s="230"/>
      <c r="BC26" s="230"/>
      <c r="BD26" s="230"/>
      <c r="BE26" s="230"/>
      <c r="BF26" s="230"/>
      <c r="BG26" s="230"/>
      <c r="BH26" s="230"/>
      <c r="BI26" s="230"/>
      <c r="BJ26" s="230"/>
      <c r="BK26" s="230"/>
      <c r="BL26" s="230"/>
      <c r="BM26" s="230"/>
      <c r="BN26" s="230"/>
      <c r="BO26" s="230"/>
      <c r="BP26" s="230"/>
      <c r="BQ26" s="230"/>
      <c r="BR26" s="230"/>
      <c r="BS26" s="230"/>
      <c r="BT26" s="230"/>
      <c r="BU26" s="230"/>
      <c r="BV26" s="230"/>
      <c r="BW26" s="230"/>
      <c r="BX26" s="230"/>
      <c r="BY26" s="230"/>
      <c r="BZ26" s="230"/>
      <c r="CA26" s="230"/>
      <c r="CB26" s="230"/>
      <c r="CC26" s="230"/>
      <c r="CD26" s="230"/>
      <c r="CE26" s="230"/>
      <c r="CF26" s="230"/>
      <c r="CG26" s="230"/>
      <c r="CH26" s="230"/>
      <c r="CI26" s="230"/>
      <c r="CJ26" s="230"/>
      <c r="CK26" s="230"/>
      <c r="CL26" s="230"/>
      <c r="CM26" s="230"/>
      <c r="CN26" s="230"/>
      <c r="CO26" s="230"/>
      <c r="CP26" s="230"/>
      <c r="CQ26" s="230"/>
      <c r="CR26" s="230"/>
      <c r="CS26" s="230"/>
      <c r="CT26" s="230"/>
      <c r="CU26" s="230"/>
      <c r="CV26" s="230"/>
      <c r="CW26" s="230"/>
      <c r="CX26" s="230"/>
      <c r="CY26" s="230"/>
      <c r="CZ26" s="230"/>
      <c r="DA26" s="230"/>
      <c r="DB26" s="230"/>
      <c r="DC26" s="230"/>
      <c r="DD26" s="230"/>
      <c r="DE26" s="230"/>
      <c r="DF26" s="230"/>
      <c r="DG26" s="230"/>
      <c r="DH26" s="230"/>
      <c r="DI26" s="230"/>
      <c r="DJ26" s="230"/>
      <c r="DK26" s="230"/>
      <c r="DL26" s="230"/>
      <c r="DM26" s="230"/>
      <c r="DN26" s="230"/>
      <c r="DO26" s="230"/>
      <c r="DP26" s="230"/>
      <c r="DQ26" s="230"/>
      <c r="DR26" s="230"/>
      <c r="DS26" s="230"/>
      <c r="DT26" s="230"/>
      <c r="DU26" s="230"/>
      <c r="DV26" s="230"/>
      <c r="DW26" s="230"/>
      <c r="DX26" s="230"/>
      <c r="DY26" s="230"/>
      <c r="DZ26" s="230"/>
      <c r="EA26" s="230"/>
      <c r="EB26" s="230"/>
      <c r="EC26" s="230"/>
    </row>
    <row r="27" spans="1:133" outlineLevel="1">
      <c r="A27" s="316">
        <f>Assumptions!D28</f>
        <v>0</v>
      </c>
      <c r="B27" s="321" t="s">
        <v>142</v>
      </c>
      <c r="C27" s="320">
        <f>$A27*C$25</f>
        <v>0</v>
      </c>
      <c r="D27" s="328"/>
      <c r="E27" s="328"/>
      <c r="F27" s="328"/>
      <c r="G27" s="328"/>
      <c r="H27" s="328"/>
      <c r="I27" s="328"/>
      <c r="J27" s="328"/>
      <c r="K27" s="328"/>
      <c r="L27" s="328"/>
      <c r="M27" s="328"/>
      <c r="N27" s="328"/>
      <c r="O27" s="328"/>
      <c r="P27" s="328"/>
      <c r="Q27" s="328"/>
      <c r="R27" s="421"/>
      <c r="S27" s="319">
        <f t="shared" si="2"/>
        <v>0</v>
      </c>
      <c r="T27" s="271"/>
      <c r="U27" s="271"/>
      <c r="V27" s="271"/>
      <c r="W27" s="271"/>
      <c r="X27" s="271"/>
      <c r="Y27" s="271"/>
      <c r="Z27" s="271"/>
      <c r="AA27" s="271"/>
      <c r="AB27" s="271"/>
      <c r="AC27" s="230"/>
      <c r="AD27" s="230"/>
      <c r="AE27" s="230"/>
      <c r="AF27" s="230"/>
      <c r="AG27" s="230"/>
      <c r="AH27" s="230"/>
      <c r="AI27" s="230"/>
      <c r="AJ27" s="230"/>
      <c r="AK27" s="230"/>
      <c r="AL27" s="230"/>
      <c r="AM27" s="230"/>
      <c r="AN27" s="230"/>
      <c r="AO27" s="230"/>
      <c r="AP27" s="230"/>
      <c r="AQ27" s="230"/>
      <c r="AR27" s="230"/>
      <c r="AS27" s="230"/>
      <c r="AT27" s="230"/>
      <c r="AU27" s="230"/>
      <c r="AV27" s="230"/>
      <c r="AW27" s="230"/>
      <c r="AX27" s="230"/>
      <c r="AY27" s="230"/>
      <c r="AZ27" s="230"/>
      <c r="BA27" s="230"/>
      <c r="BB27" s="230"/>
      <c r="BC27" s="230"/>
      <c r="BD27" s="230"/>
      <c r="BE27" s="230"/>
      <c r="BF27" s="230"/>
      <c r="BG27" s="230"/>
      <c r="BH27" s="230"/>
      <c r="BI27" s="230"/>
      <c r="BJ27" s="230"/>
      <c r="BK27" s="230"/>
      <c r="BL27" s="230"/>
      <c r="BM27" s="230"/>
      <c r="BN27" s="230"/>
      <c r="BO27" s="230"/>
      <c r="BP27" s="230"/>
      <c r="BQ27" s="230"/>
      <c r="BR27" s="230"/>
      <c r="BS27" s="230"/>
      <c r="BT27" s="230"/>
      <c r="BU27" s="230"/>
      <c r="BV27" s="230"/>
      <c r="BW27" s="230"/>
      <c r="BX27" s="230"/>
      <c r="BY27" s="230"/>
      <c r="BZ27" s="230"/>
      <c r="CA27" s="230"/>
      <c r="CB27" s="230"/>
      <c r="CC27" s="230"/>
      <c r="CD27" s="230"/>
      <c r="CE27" s="230"/>
      <c r="CF27" s="230"/>
      <c r="CG27" s="230"/>
      <c r="CH27" s="230"/>
      <c r="CI27" s="230"/>
      <c r="CJ27" s="230"/>
      <c r="CK27" s="230"/>
      <c r="CL27" s="230"/>
      <c r="CM27" s="230"/>
      <c r="CN27" s="230"/>
      <c r="CO27" s="230"/>
      <c r="CP27" s="230"/>
      <c r="CQ27" s="230"/>
      <c r="CR27" s="230"/>
      <c r="CS27" s="230"/>
      <c r="CT27" s="230"/>
      <c r="CU27" s="230"/>
      <c r="CV27" s="230"/>
      <c r="CW27" s="230"/>
      <c r="CX27" s="230"/>
      <c r="CY27" s="230"/>
      <c r="CZ27" s="230"/>
      <c r="DA27" s="230"/>
      <c r="DB27" s="230"/>
      <c r="DC27" s="230"/>
      <c r="DD27" s="230"/>
      <c r="DE27" s="230"/>
      <c r="DF27" s="230"/>
      <c r="DG27" s="230"/>
      <c r="DH27" s="230"/>
      <c r="DI27" s="230"/>
      <c r="DJ27" s="230"/>
      <c r="DK27" s="230"/>
      <c r="DL27" s="230"/>
      <c r="DM27" s="230"/>
      <c r="DN27" s="230"/>
      <c r="DO27" s="230"/>
      <c r="DP27" s="230"/>
      <c r="DQ27" s="230"/>
      <c r="DR27" s="230"/>
      <c r="DS27" s="230"/>
      <c r="DT27" s="230"/>
      <c r="DU27" s="230"/>
      <c r="DV27" s="230"/>
      <c r="DW27" s="230"/>
      <c r="DX27" s="230"/>
      <c r="DY27" s="230"/>
      <c r="DZ27" s="230"/>
      <c r="EA27" s="230"/>
      <c r="EB27" s="230"/>
      <c r="EC27" s="230"/>
    </row>
    <row r="28" spans="1:133" ht="12" customHeight="1" outlineLevel="1">
      <c r="A28" s="316">
        <f>Assumptions!D29</f>
        <v>0.05</v>
      </c>
      <c r="B28" s="321" t="s">
        <v>143</v>
      </c>
      <c r="C28" s="320"/>
      <c r="D28" s="328">
        <f>G28</f>
        <v>50000</v>
      </c>
      <c r="E28" s="328">
        <f>D31*$A$28</f>
        <v>60112.5</v>
      </c>
      <c r="F28" s="328">
        <f>E31*$A$28</f>
        <v>60112.5</v>
      </c>
      <c r="G28" s="328">
        <v>50000</v>
      </c>
      <c r="H28" s="328">
        <v>50000</v>
      </c>
      <c r="I28" s="328">
        <v>50000</v>
      </c>
      <c r="J28" s="328">
        <v>50000</v>
      </c>
      <c r="K28" s="328">
        <v>50000</v>
      </c>
      <c r="L28" s="328">
        <v>50000</v>
      </c>
      <c r="M28" s="328">
        <v>50000</v>
      </c>
      <c r="N28" s="328">
        <v>50000</v>
      </c>
      <c r="O28" s="328">
        <v>50000</v>
      </c>
      <c r="P28" s="328">
        <v>50000</v>
      </c>
      <c r="Q28" s="328">
        <v>50000</v>
      </c>
      <c r="R28" s="421">
        <v>50000</v>
      </c>
      <c r="S28" s="319">
        <f t="shared" si="2"/>
        <v>770225</v>
      </c>
      <c r="T28" s="322"/>
      <c r="U28" s="322"/>
      <c r="V28" s="322"/>
      <c r="W28" s="322"/>
      <c r="X28" s="322"/>
      <c r="Y28" s="322"/>
      <c r="Z28" s="322"/>
      <c r="AA28" s="322"/>
      <c r="AB28" s="322"/>
      <c r="AC28" s="230"/>
      <c r="AD28" s="230"/>
      <c r="AE28" s="230"/>
      <c r="AF28" s="230"/>
      <c r="AG28" s="230"/>
      <c r="AH28" s="230"/>
      <c r="AI28" s="230"/>
      <c r="AJ28" s="230"/>
      <c r="AK28" s="230"/>
      <c r="AL28" s="230"/>
      <c r="AM28" s="230"/>
      <c r="AN28" s="230"/>
      <c r="AO28" s="230"/>
      <c r="AP28" s="230"/>
      <c r="AQ28" s="230"/>
      <c r="AR28" s="230"/>
      <c r="AS28" s="230"/>
      <c r="AT28" s="230"/>
      <c r="AU28" s="230"/>
      <c r="AV28" s="230"/>
      <c r="AW28" s="230"/>
      <c r="AX28" s="230"/>
      <c r="AY28" s="230"/>
      <c r="AZ28" s="230"/>
      <c r="BA28" s="230"/>
      <c r="BB28" s="230"/>
      <c r="BC28" s="230"/>
      <c r="BD28" s="230"/>
      <c r="BE28" s="230"/>
      <c r="BF28" s="230"/>
      <c r="BG28" s="230"/>
      <c r="BH28" s="230"/>
      <c r="BI28" s="230"/>
      <c r="BJ28" s="230"/>
      <c r="BK28" s="230"/>
      <c r="BL28" s="230"/>
      <c r="BM28" s="230"/>
      <c r="BN28" s="230"/>
      <c r="BO28" s="230"/>
      <c r="BP28" s="230"/>
      <c r="BQ28" s="230"/>
      <c r="BR28" s="230"/>
      <c r="BS28" s="230"/>
      <c r="BT28" s="230"/>
      <c r="BU28" s="230"/>
      <c r="BV28" s="230"/>
      <c r="BW28" s="230"/>
      <c r="BX28" s="230"/>
      <c r="BY28" s="230"/>
      <c r="BZ28" s="230"/>
      <c r="CA28" s="230"/>
      <c r="CB28" s="230"/>
      <c r="CC28" s="230"/>
      <c r="CD28" s="230"/>
      <c r="CE28" s="230"/>
      <c r="CF28" s="230"/>
      <c r="CG28" s="230"/>
      <c r="CH28" s="230"/>
      <c r="CI28" s="230"/>
      <c r="CJ28" s="230"/>
      <c r="CK28" s="230"/>
      <c r="CL28" s="230"/>
      <c r="CM28" s="230"/>
      <c r="CN28" s="230"/>
      <c r="CO28" s="230"/>
      <c r="CP28" s="230"/>
      <c r="CQ28" s="230"/>
      <c r="CR28" s="230"/>
      <c r="CS28" s="230"/>
      <c r="CT28" s="230"/>
      <c r="CU28" s="230"/>
      <c r="CV28" s="230"/>
      <c r="CW28" s="230"/>
      <c r="CX28" s="230"/>
      <c r="CY28" s="230"/>
      <c r="CZ28" s="230"/>
      <c r="DA28" s="230"/>
      <c r="DB28" s="230"/>
      <c r="DC28" s="230"/>
      <c r="DD28" s="230"/>
      <c r="DE28" s="230"/>
      <c r="DF28" s="230"/>
      <c r="DG28" s="230"/>
      <c r="DH28" s="230"/>
      <c r="DI28" s="230"/>
      <c r="DJ28" s="230"/>
      <c r="DK28" s="230"/>
      <c r="DL28" s="230"/>
      <c r="DM28" s="230"/>
      <c r="DN28" s="230"/>
      <c r="DO28" s="230"/>
      <c r="DP28" s="230"/>
      <c r="DQ28" s="230"/>
      <c r="DR28" s="230"/>
      <c r="DS28" s="230"/>
      <c r="DT28" s="230"/>
      <c r="DU28" s="230"/>
      <c r="DV28" s="230"/>
      <c r="DW28" s="230"/>
      <c r="DX28" s="230"/>
      <c r="DY28" s="230"/>
      <c r="DZ28" s="230"/>
      <c r="EA28" s="230"/>
      <c r="EB28" s="230"/>
      <c r="EC28" s="230"/>
    </row>
    <row r="29" spans="1:133" outlineLevel="1">
      <c r="A29" s="316">
        <f>Assumptions!D30</f>
        <v>0.02</v>
      </c>
      <c r="B29" s="321" t="s">
        <v>116</v>
      </c>
      <c r="C29" s="320"/>
      <c r="D29" s="328">
        <f>$A$29*(D20)</f>
        <v>0</v>
      </c>
      <c r="E29" s="328">
        <f t="shared" ref="E29:R29" si="4">$A$29*(E20)</f>
        <v>18697.881053571429</v>
      </c>
      <c r="F29" s="328">
        <f t="shared" si="4"/>
        <v>18782.466653571431</v>
      </c>
      <c r="G29" s="328">
        <f t="shared" si="4"/>
        <v>18782.430653571428</v>
      </c>
      <c r="H29" s="328">
        <f t="shared" si="4"/>
        <v>18782.394653571428</v>
      </c>
      <c r="I29" s="328">
        <f t="shared" si="4"/>
        <v>18782.358653571428</v>
      </c>
      <c r="J29" s="328">
        <f t="shared" si="4"/>
        <v>19007.746957414285</v>
      </c>
      <c r="K29" s="328">
        <f t="shared" si="4"/>
        <v>19235.839920903258</v>
      </c>
      <c r="L29" s="328">
        <f t="shared" si="4"/>
        <v>19466.669999954094</v>
      </c>
      <c r="M29" s="328">
        <f t="shared" si="4"/>
        <v>19700.270039953546</v>
      </c>
      <c r="N29" s="328">
        <f t="shared" si="4"/>
        <v>19936.673280432988</v>
      </c>
      <c r="O29" s="328">
        <f t="shared" si="4"/>
        <v>20175.913359798185</v>
      </c>
      <c r="P29" s="328">
        <f t="shared" si="4"/>
        <v>20418.024320115761</v>
      </c>
      <c r="Q29" s="328">
        <f t="shared" si="4"/>
        <v>20663.040611957153</v>
      </c>
      <c r="R29" s="421">
        <f t="shared" si="4"/>
        <v>20910.997099300639</v>
      </c>
      <c r="S29" s="319">
        <f t="shared" si="2"/>
        <v>273342.70725768706</v>
      </c>
      <c r="T29" s="322"/>
      <c r="U29" s="322"/>
      <c r="V29" s="322"/>
      <c r="W29" s="322"/>
      <c r="X29" s="322"/>
      <c r="Y29" s="322"/>
      <c r="Z29" s="322"/>
      <c r="AA29" s="322"/>
      <c r="AB29" s="322"/>
      <c r="AC29" s="230"/>
      <c r="AD29" s="230"/>
      <c r="AE29" s="230"/>
      <c r="AF29" s="230"/>
      <c r="AG29" s="230"/>
      <c r="AH29" s="230"/>
      <c r="AI29" s="230"/>
      <c r="AJ29" s="230"/>
      <c r="AK29" s="230"/>
      <c r="AL29" s="230"/>
      <c r="AM29" s="230"/>
      <c r="AN29" s="230"/>
      <c r="AO29" s="230"/>
      <c r="AP29" s="230"/>
      <c r="AQ29" s="230"/>
      <c r="AR29" s="230"/>
      <c r="AS29" s="230"/>
      <c r="AT29" s="230"/>
      <c r="AU29" s="230"/>
      <c r="AV29" s="230"/>
      <c r="AW29" s="230"/>
      <c r="AX29" s="230"/>
      <c r="AY29" s="230"/>
      <c r="AZ29" s="230"/>
      <c r="BA29" s="230"/>
      <c r="BB29" s="230"/>
      <c r="BC29" s="230"/>
      <c r="BD29" s="230"/>
      <c r="BE29" s="230"/>
      <c r="BF29" s="230"/>
      <c r="BG29" s="230"/>
      <c r="BH29" s="230"/>
      <c r="BI29" s="230"/>
      <c r="BJ29" s="230"/>
      <c r="BK29" s="230"/>
      <c r="BL29" s="230"/>
      <c r="BM29" s="230"/>
      <c r="BN29" s="230"/>
      <c r="BO29" s="230"/>
      <c r="BP29" s="230"/>
      <c r="BQ29" s="230"/>
      <c r="BR29" s="230"/>
      <c r="BS29" s="230"/>
      <c r="BT29" s="230"/>
      <c r="BU29" s="230"/>
      <c r="BV29" s="230"/>
      <c r="BW29" s="230"/>
      <c r="BX29" s="230"/>
      <c r="BY29" s="230"/>
      <c r="BZ29" s="230"/>
      <c r="CA29" s="230"/>
      <c r="CB29" s="230"/>
      <c r="CC29" s="230"/>
      <c r="CD29" s="230"/>
      <c r="CE29" s="230"/>
      <c r="CF29" s="230"/>
      <c r="CG29" s="230"/>
      <c r="CH29" s="230"/>
      <c r="CI29" s="230"/>
      <c r="CJ29" s="230"/>
      <c r="CK29" s="230"/>
      <c r="CL29" s="230"/>
      <c r="CM29" s="230"/>
      <c r="CN29" s="230"/>
      <c r="CO29" s="230"/>
      <c r="CP29" s="230"/>
      <c r="CQ29" s="230"/>
      <c r="CR29" s="230"/>
      <c r="CS29" s="230"/>
      <c r="CT29" s="230"/>
      <c r="CU29" s="230"/>
      <c r="CV29" s="230"/>
      <c r="CW29" s="230"/>
      <c r="CX29" s="230"/>
      <c r="CY29" s="230"/>
      <c r="CZ29" s="230"/>
      <c r="DA29" s="230"/>
      <c r="DB29" s="230"/>
      <c r="DC29" s="230"/>
      <c r="DD29" s="230"/>
      <c r="DE29" s="230"/>
      <c r="DF29" s="230"/>
      <c r="DG29" s="230"/>
      <c r="DH29" s="230"/>
      <c r="DI29" s="230"/>
      <c r="DJ29" s="230"/>
      <c r="DK29" s="230"/>
      <c r="DL29" s="230"/>
      <c r="DM29" s="230"/>
      <c r="DN29" s="230"/>
      <c r="DO29" s="230"/>
      <c r="DP29" s="230"/>
      <c r="DQ29" s="230"/>
      <c r="DR29" s="230"/>
      <c r="DS29" s="230"/>
      <c r="DT29" s="230"/>
      <c r="DU29" s="230"/>
      <c r="DV29" s="230"/>
      <c r="DW29" s="230"/>
      <c r="DX29" s="230"/>
      <c r="DY29" s="230"/>
      <c r="DZ29" s="230"/>
      <c r="EA29" s="230"/>
      <c r="EB29" s="230"/>
      <c r="EC29" s="230"/>
    </row>
    <row r="30" spans="1:133" outlineLevel="1">
      <c r="A30" s="316"/>
      <c r="B30" s="264" t="s">
        <v>140</v>
      </c>
      <c r="C30" s="320"/>
      <c r="D30" s="328"/>
      <c r="E30" s="328"/>
      <c r="F30" s="328"/>
      <c r="G30" s="328"/>
      <c r="H30" s="328"/>
      <c r="I30" s="328"/>
      <c r="J30" s="328"/>
      <c r="K30" s="328"/>
      <c r="L30" s="328"/>
      <c r="M30" s="328"/>
      <c r="N30" s="328"/>
      <c r="O30" s="328"/>
      <c r="P30" s="328"/>
      <c r="Q30" s="328"/>
      <c r="R30" s="421"/>
      <c r="S30" s="319">
        <f t="shared" si="2"/>
        <v>0</v>
      </c>
      <c r="T30" s="292"/>
      <c r="U30" s="292"/>
      <c r="V30" s="292"/>
      <c r="W30" s="292"/>
      <c r="X30" s="292"/>
      <c r="Y30" s="292"/>
      <c r="Z30" s="292"/>
      <c r="AA30" s="292"/>
      <c r="AB30" s="292"/>
      <c r="AC30" s="230"/>
      <c r="AD30" s="230"/>
      <c r="AE30" s="230"/>
      <c r="AF30" s="230"/>
      <c r="AG30" s="230"/>
      <c r="AH30" s="230"/>
      <c r="AI30" s="230"/>
      <c r="AJ30" s="230"/>
      <c r="AK30" s="230"/>
      <c r="AL30" s="230"/>
      <c r="AM30" s="230"/>
      <c r="AN30" s="230"/>
      <c r="AO30" s="230"/>
      <c r="AP30" s="230"/>
      <c r="AQ30" s="230"/>
      <c r="AR30" s="230"/>
      <c r="AS30" s="230"/>
      <c r="AT30" s="230"/>
      <c r="AU30" s="230"/>
      <c r="AV30" s="230"/>
      <c r="AW30" s="230"/>
      <c r="AX30" s="230"/>
      <c r="AY30" s="230"/>
      <c r="AZ30" s="230"/>
      <c r="BA30" s="230"/>
      <c r="BB30" s="230"/>
      <c r="BC30" s="230"/>
      <c r="BD30" s="230"/>
      <c r="BE30" s="230"/>
      <c r="BF30" s="230"/>
      <c r="BG30" s="230"/>
      <c r="BH30" s="230"/>
      <c r="BI30" s="230"/>
      <c r="BJ30" s="230"/>
      <c r="BK30" s="230"/>
      <c r="BL30" s="230"/>
      <c r="BM30" s="230"/>
      <c r="BN30" s="230"/>
      <c r="BO30" s="230"/>
      <c r="BP30" s="230"/>
      <c r="BQ30" s="230"/>
      <c r="BR30" s="230"/>
      <c r="BS30" s="230"/>
      <c r="BT30" s="230"/>
      <c r="BU30" s="230"/>
      <c r="BV30" s="230"/>
      <c r="BW30" s="230"/>
      <c r="BX30" s="230"/>
      <c r="BY30" s="230"/>
      <c r="BZ30" s="230"/>
      <c r="CA30" s="230"/>
      <c r="CB30" s="230"/>
      <c r="CC30" s="230"/>
      <c r="CD30" s="230"/>
      <c r="CE30" s="230"/>
      <c r="CF30" s="230"/>
      <c r="CG30" s="230"/>
      <c r="CH30" s="230"/>
      <c r="CI30" s="230"/>
      <c r="CJ30" s="230"/>
      <c r="CK30" s="230"/>
      <c r="CL30" s="230"/>
      <c r="CM30" s="230"/>
      <c r="CN30" s="230"/>
      <c r="CO30" s="230"/>
      <c r="CP30" s="230"/>
      <c r="CQ30" s="230"/>
      <c r="CR30" s="230"/>
      <c r="CS30" s="230"/>
      <c r="CT30" s="230"/>
      <c r="CU30" s="230"/>
      <c r="CV30" s="230"/>
      <c r="CW30" s="230"/>
      <c r="CX30" s="230"/>
      <c r="CY30" s="230"/>
      <c r="CZ30" s="230"/>
      <c r="DA30" s="230"/>
      <c r="DB30" s="230"/>
      <c r="DC30" s="230"/>
      <c r="DD30" s="230"/>
      <c r="DE30" s="230"/>
      <c r="DF30" s="230"/>
      <c r="DG30" s="230"/>
      <c r="DH30" s="230"/>
      <c r="DI30" s="230"/>
      <c r="DJ30" s="230"/>
      <c r="DK30" s="230"/>
      <c r="DL30" s="230"/>
      <c r="DM30" s="230"/>
      <c r="DN30" s="230"/>
      <c r="DO30" s="230"/>
      <c r="DP30" s="230"/>
      <c r="DQ30" s="230"/>
      <c r="DR30" s="230"/>
      <c r="DS30" s="230"/>
      <c r="DT30" s="230"/>
      <c r="DU30" s="230"/>
      <c r="DV30" s="230"/>
      <c r="DW30" s="230"/>
      <c r="DX30" s="230"/>
      <c r="DY30" s="230"/>
      <c r="DZ30" s="230"/>
      <c r="EA30" s="230"/>
      <c r="EB30" s="230"/>
      <c r="EC30" s="230"/>
    </row>
    <row r="31" spans="1:133" outlineLevel="1">
      <c r="A31" s="316"/>
      <c r="B31" s="317" t="s">
        <v>102</v>
      </c>
      <c r="C31" s="320"/>
      <c r="D31" s="328">
        <f>$I$14/2</f>
        <v>1202250</v>
      </c>
      <c r="E31" s="328">
        <f>$I$14/2</f>
        <v>1202250</v>
      </c>
      <c r="F31" s="323"/>
      <c r="G31" s="328"/>
      <c r="H31" s="328"/>
      <c r="I31" s="328"/>
      <c r="J31" s="328"/>
      <c r="K31" s="328"/>
      <c r="L31" s="328"/>
      <c r="M31" s="328"/>
      <c r="N31" s="328"/>
      <c r="O31" s="328"/>
      <c r="P31" s="328"/>
      <c r="Q31" s="328"/>
      <c r="R31" s="421"/>
      <c r="S31" s="319">
        <f t="shared" si="2"/>
        <v>2404500</v>
      </c>
      <c r="T31" s="292"/>
      <c r="U31" s="292"/>
      <c r="V31" s="292"/>
      <c r="W31" s="292"/>
      <c r="X31" s="292"/>
      <c r="Y31" s="292"/>
      <c r="Z31" s="292"/>
      <c r="AA31" s="292"/>
      <c r="AB31" s="292"/>
      <c r="AC31" s="230"/>
      <c r="AD31" s="230"/>
      <c r="AE31" s="230"/>
      <c r="AF31" s="230"/>
      <c r="AG31" s="230"/>
      <c r="AH31" s="230"/>
      <c r="AI31" s="230"/>
      <c r="AJ31" s="230"/>
      <c r="AK31" s="230"/>
      <c r="AL31" s="230"/>
      <c r="AM31" s="230"/>
      <c r="AN31" s="230"/>
      <c r="AO31" s="230"/>
      <c r="AP31" s="230"/>
      <c r="AQ31" s="230"/>
      <c r="AR31" s="230"/>
      <c r="AS31" s="230"/>
      <c r="AT31" s="230"/>
      <c r="AU31" s="230"/>
      <c r="AV31" s="230"/>
      <c r="AW31" s="230"/>
      <c r="AX31" s="230"/>
      <c r="AY31" s="230"/>
      <c r="AZ31" s="230"/>
      <c r="BA31" s="230"/>
      <c r="BB31" s="230"/>
      <c r="BC31" s="230"/>
      <c r="BD31" s="230"/>
      <c r="BE31" s="230"/>
      <c r="BF31" s="230"/>
      <c r="BG31" s="230"/>
      <c r="BH31" s="230"/>
      <c r="BI31" s="230"/>
      <c r="BJ31" s="230"/>
      <c r="BK31" s="230"/>
      <c r="BL31" s="230"/>
      <c r="BM31" s="230"/>
      <c r="BN31" s="230"/>
      <c r="BO31" s="230"/>
      <c r="BP31" s="230"/>
      <c r="BQ31" s="230"/>
      <c r="BR31" s="230"/>
      <c r="BS31" s="230"/>
      <c r="BT31" s="230"/>
      <c r="BU31" s="230"/>
      <c r="BV31" s="230"/>
      <c r="BW31" s="230"/>
      <c r="BX31" s="230"/>
      <c r="BY31" s="230"/>
      <c r="BZ31" s="230"/>
      <c r="CA31" s="230"/>
      <c r="CB31" s="230"/>
      <c r="CC31" s="230"/>
      <c r="CD31" s="230"/>
      <c r="CE31" s="230"/>
      <c r="CF31" s="230"/>
      <c r="CG31" s="230"/>
      <c r="CH31" s="230"/>
      <c r="CI31" s="230"/>
      <c r="CJ31" s="230"/>
      <c r="CK31" s="230"/>
      <c r="CL31" s="230"/>
      <c r="CM31" s="230"/>
      <c r="CN31" s="230"/>
      <c r="CO31" s="230"/>
      <c r="CP31" s="230"/>
      <c r="CQ31" s="230"/>
      <c r="CR31" s="230"/>
      <c r="CS31" s="230"/>
      <c r="CT31" s="230"/>
      <c r="CU31" s="230"/>
      <c r="CV31" s="230"/>
      <c r="CW31" s="230"/>
      <c r="CX31" s="230"/>
      <c r="CY31" s="230"/>
      <c r="CZ31" s="230"/>
      <c r="DA31" s="230"/>
      <c r="DB31" s="230"/>
      <c r="DC31" s="230"/>
      <c r="DD31" s="230"/>
      <c r="DE31" s="230"/>
      <c r="DF31" s="230"/>
      <c r="DG31" s="230"/>
      <c r="DH31" s="230"/>
      <c r="DI31" s="230"/>
      <c r="DJ31" s="230"/>
      <c r="DK31" s="230"/>
      <c r="DL31" s="230"/>
      <c r="DM31" s="230"/>
      <c r="DN31" s="230"/>
      <c r="DO31" s="230"/>
      <c r="DP31" s="230"/>
      <c r="DQ31" s="230"/>
      <c r="DR31" s="230"/>
      <c r="DS31" s="230"/>
      <c r="DT31" s="230"/>
      <c r="DU31" s="230"/>
      <c r="DV31" s="230"/>
      <c r="DW31" s="230"/>
      <c r="DX31" s="230"/>
      <c r="DY31" s="230"/>
      <c r="DZ31" s="230"/>
      <c r="EA31" s="230"/>
      <c r="EB31" s="230"/>
      <c r="EC31" s="230"/>
    </row>
    <row r="32" spans="1:133" outlineLevel="1">
      <c r="A32" s="316"/>
      <c r="B32" s="324"/>
      <c r="C32" s="320"/>
      <c r="D32" s="328"/>
      <c r="E32" s="328"/>
      <c r="F32" s="328"/>
      <c r="G32" s="328"/>
      <c r="H32" s="328"/>
      <c r="I32" s="328"/>
      <c r="J32" s="328"/>
      <c r="K32" s="328"/>
      <c r="L32" s="328"/>
      <c r="M32" s="328"/>
      <c r="N32" s="328"/>
      <c r="O32" s="328"/>
      <c r="P32" s="328"/>
      <c r="Q32" s="328"/>
      <c r="R32" s="421"/>
      <c r="S32" s="319">
        <f t="shared" si="2"/>
        <v>0</v>
      </c>
      <c r="T32" s="292"/>
      <c r="U32" s="292"/>
      <c r="V32" s="292"/>
      <c r="W32" s="292"/>
      <c r="X32" s="292"/>
      <c r="Y32" s="292"/>
      <c r="Z32" s="292"/>
      <c r="AA32" s="292"/>
      <c r="AB32" s="292"/>
      <c r="AC32" s="230"/>
      <c r="AD32" s="230"/>
      <c r="AE32" s="230"/>
      <c r="AF32" s="230"/>
      <c r="AG32" s="230"/>
      <c r="AH32" s="230"/>
      <c r="AI32" s="230"/>
      <c r="AJ32" s="230"/>
      <c r="AK32" s="230"/>
      <c r="AL32" s="230"/>
      <c r="AM32" s="230"/>
      <c r="AN32" s="230"/>
      <c r="AO32" s="230"/>
      <c r="AP32" s="230"/>
      <c r="AQ32" s="230"/>
      <c r="AR32" s="230"/>
      <c r="AS32" s="230"/>
      <c r="AT32" s="230"/>
      <c r="AU32" s="230"/>
      <c r="AV32" s="230"/>
      <c r="AW32" s="230"/>
      <c r="AX32" s="230"/>
      <c r="AY32" s="230"/>
      <c r="AZ32" s="230"/>
      <c r="BA32" s="230"/>
      <c r="BB32" s="230"/>
      <c r="BC32" s="230"/>
      <c r="BD32" s="230"/>
      <c r="BE32" s="230"/>
      <c r="BF32" s="230"/>
      <c r="BG32" s="230"/>
      <c r="BH32" s="230"/>
      <c r="BI32" s="230"/>
      <c r="BJ32" s="230"/>
      <c r="BK32" s="230"/>
      <c r="BL32" s="230"/>
      <c r="BM32" s="230"/>
      <c r="BN32" s="230"/>
      <c r="BO32" s="230"/>
      <c r="BP32" s="230"/>
      <c r="BQ32" s="230"/>
      <c r="BR32" s="230"/>
      <c r="BS32" s="230"/>
      <c r="BT32" s="230"/>
      <c r="BU32" s="230"/>
      <c r="BV32" s="230"/>
      <c r="BW32" s="230"/>
      <c r="BX32" s="230"/>
      <c r="BY32" s="230"/>
      <c r="BZ32" s="230"/>
      <c r="CA32" s="230"/>
      <c r="CB32" s="230"/>
      <c r="CC32" s="230"/>
      <c r="CD32" s="230"/>
      <c r="CE32" s="230"/>
      <c r="CF32" s="230"/>
      <c r="CG32" s="230"/>
      <c r="CH32" s="230"/>
      <c r="CI32" s="230"/>
      <c r="CJ32" s="230"/>
      <c r="CK32" s="230"/>
      <c r="CL32" s="230"/>
      <c r="CM32" s="230"/>
      <c r="CN32" s="230"/>
      <c r="CO32" s="230"/>
      <c r="CP32" s="230"/>
      <c r="CQ32" s="230"/>
      <c r="CR32" s="230"/>
      <c r="CS32" s="230"/>
      <c r="CT32" s="230"/>
      <c r="CU32" s="230"/>
      <c r="CV32" s="230"/>
      <c r="CW32" s="230"/>
      <c r="CX32" s="230"/>
      <c r="CY32" s="230"/>
      <c r="CZ32" s="230"/>
      <c r="DA32" s="230"/>
      <c r="DB32" s="230"/>
      <c r="DC32" s="230"/>
      <c r="DD32" s="230"/>
      <c r="DE32" s="230"/>
      <c r="DF32" s="230"/>
      <c r="DG32" s="230"/>
      <c r="DH32" s="230"/>
      <c r="DI32" s="230"/>
      <c r="DJ32" s="230"/>
      <c r="DK32" s="230"/>
      <c r="DL32" s="230"/>
      <c r="DM32" s="230"/>
      <c r="DN32" s="230"/>
      <c r="DO32" s="230"/>
      <c r="DP32" s="230"/>
      <c r="DQ32" s="230"/>
      <c r="DR32" s="230"/>
      <c r="DS32" s="230"/>
      <c r="DT32" s="230"/>
      <c r="DU32" s="230"/>
      <c r="DV32" s="230"/>
      <c r="DW32" s="230"/>
      <c r="DX32" s="230"/>
      <c r="DY32" s="230"/>
      <c r="DZ32" s="230"/>
      <c r="EA32" s="230"/>
      <c r="EB32" s="230"/>
      <c r="EC32" s="230"/>
    </row>
    <row r="33" spans="1:321" outlineLevel="1">
      <c r="A33" s="325"/>
      <c r="B33" s="326"/>
      <c r="C33" s="320"/>
      <c r="D33" s="328"/>
      <c r="E33" s="328"/>
      <c r="F33" s="328"/>
      <c r="G33" s="328"/>
      <c r="H33" s="328"/>
      <c r="I33" s="328"/>
      <c r="J33" s="328"/>
      <c r="K33" s="328"/>
      <c r="L33" s="328"/>
      <c r="M33" s="328"/>
      <c r="N33" s="328"/>
      <c r="O33" s="328"/>
      <c r="P33" s="328"/>
      <c r="Q33" s="328"/>
      <c r="R33" s="421"/>
      <c r="S33" s="319">
        <f t="shared" si="2"/>
        <v>0</v>
      </c>
      <c r="T33" s="292"/>
      <c r="U33" s="292"/>
      <c r="V33" s="292"/>
      <c r="W33" s="292"/>
      <c r="X33" s="292"/>
      <c r="Y33" s="292"/>
      <c r="Z33" s="292"/>
      <c r="AA33" s="292"/>
      <c r="AB33" s="292"/>
      <c r="AC33" s="230"/>
      <c r="AD33" s="230"/>
      <c r="AE33" s="230"/>
      <c r="AF33" s="230"/>
      <c r="AG33" s="230"/>
      <c r="AH33" s="230"/>
      <c r="AI33" s="230"/>
      <c r="AJ33" s="230"/>
      <c r="AK33" s="230"/>
      <c r="AL33" s="230"/>
      <c r="AM33" s="230"/>
      <c r="AN33" s="230"/>
      <c r="AO33" s="230"/>
      <c r="AP33" s="230"/>
      <c r="AQ33" s="230"/>
      <c r="AR33" s="230"/>
      <c r="AS33" s="230"/>
      <c r="AT33" s="230"/>
      <c r="AU33" s="230"/>
      <c r="AV33" s="230"/>
      <c r="AW33" s="230"/>
      <c r="AX33" s="230"/>
      <c r="AY33" s="230"/>
      <c r="AZ33" s="230"/>
      <c r="BA33" s="230"/>
      <c r="BB33" s="230"/>
      <c r="BC33" s="230"/>
      <c r="BD33" s="230"/>
      <c r="BE33" s="230"/>
      <c r="BF33" s="230"/>
      <c r="BG33" s="230"/>
      <c r="BH33" s="230"/>
      <c r="BI33" s="230"/>
      <c r="BJ33" s="230"/>
      <c r="BK33" s="230"/>
      <c r="BL33" s="230"/>
      <c r="BM33" s="230"/>
      <c r="BN33" s="230"/>
      <c r="BO33" s="230"/>
      <c r="BP33" s="230"/>
      <c r="BQ33" s="230"/>
      <c r="BR33" s="230"/>
      <c r="BS33" s="230"/>
      <c r="BT33" s="230"/>
      <c r="BU33" s="230"/>
      <c r="BV33" s="230"/>
      <c r="BW33" s="230"/>
      <c r="BX33" s="230"/>
      <c r="BY33" s="230"/>
      <c r="BZ33" s="230"/>
      <c r="CA33" s="230"/>
      <c r="CB33" s="230"/>
      <c r="CC33" s="230"/>
      <c r="CD33" s="230"/>
      <c r="CE33" s="230"/>
      <c r="CF33" s="230"/>
      <c r="CG33" s="230"/>
      <c r="CH33" s="230"/>
      <c r="CI33" s="230"/>
      <c r="CJ33" s="230"/>
      <c r="CK33" s="230"/>
      <c r="CL33" s="230"/>
      <c r="CM33" s="230"/>
      <c r="CN33" s="230"/>
      <c r="CO33" s="230"/>
      <c r="CP33" s="230"/>
      <c r="CQ33" s="230"/>
      <c r="CR33" s="230"/>
      <c r="CS33" s="230"/>
      <c r="CT33" s="230"/>
      <c r="CU33" s="230"/>
      <c r="CV33" s="230"/>
      <c r="CW33" s="230"/>
      <c r="CX33" s="230"/>
      <c r="CY33" s="230"/>
      <c r="CZ33" s="230"/>
      <c r="DA33" s="230"/>
      <c r="DB33" s="230"/>
      <c r="DC33" s="230"/>
      <c r="DD33" s="230"/>
      <c r="DE33" s="230"/>
      <c r="DF33" s="230"/>
      <c r="DG33" s="230"/>
      <c r="DH33" s="230"/>
      <c r="DI33" s="230"/>
      <c r="DJ33" s="230"/>
      <c r="DK33" s="230"/>
      <c r="DL33" s="230"/>
      <c r="DM33" s="230"/>
      <c r="DN33" s="230"/>
      <c r="DO33" s="230"/>
      <c r="DP33" s="230"/>
      <c r="DQ33" s="230"/>
      <c r="DR33" s="230"/>
      <c r="DS33" s="230"/>
      <c r="DT33" s="230"/>
      <c r="DU33" s="230"/>
      <c r="DV33" s="230"/>
      <c r="DW33" s="230"/>
      <c r="DX33" s="230"/>
      <c r="DY33" s="230"/>
      <c r="DZ33" s="230"/>
      <c r="EA33" s="230"/>
      <c r="EB33" s="230"/>
      <c r="EC33" s="230"/>
    </row>
    <row r="34" spans="1:321" outlineLevel="1">
      <c r="A34" s="325"/>
      <c r="B34" s="327"/>
      <c r="C34" s="320"/>
      <c r="D34" s="328"/>
      <c r="E34" s="328"/>
      <c r="F34" s="328"/>
      <c r="G34" s="328"/>
      <c r="H34" s="328"/>
      <c r="I34" s="328"/>
      <c r="J34" s="328"/>
      <c r="K34" s="328"/>
      <c r="L34" s="328"/>
      <c r="M34" s="328"/>
      <c r="N34" s="328"/>
      <c r="O34" s="328"/>
      <c r="P34" s="328"/>
      <c r="Q34" s="328"/>
      <c r="R34" s="421"/>
      <c r="S34" s="319">
        <f t="shared" si="2"/>
        <v>0</v>
      </c>
      <c r="T34" s="292"/>
      <c r="U34" s="292"/>
      <c r="V34" s="292"/>
      <c r="W34" s="292"/>
      <c r="X34" s="292"/>
      <c r="Y34" s="292"/>
      <c r="Z34" s="292"/>
      <c r="AA34" s="292"/>
      <c r="AB34" s="292"/>
      <c r="AC34" s="230"/>
      <c r="AD34" s="230"/>
      <c r="AE34" s="230"/>
      <c r="AF34" s="230"/>
      <c r="AG34" s="230"/>
      <c r="AH34" s="230"/>
      <c r="AI34" s="230"/>
      <c r="AJ34" s="230"/>
      <c r="AK34" s="230"/>
      <c r="AL34" s="230"/>
      <c r="AM34" s="230"/>
      <c r="AN34" s="230"/>
      <c r="AO34" s="230"/>
      <c r="AP34" s="230"/>
      <c r="AQ34" s="230"/>
      <c r="AR34" s="230"/>
      <c r="AS34" s="230"/>
      <c r="AT34" s="230"/>
      <c r="AU34" s="230"/>
      <c r="AV34" s="230"/>
      <c r="AW34" s="230"/>
      <c r="AX34" s="230"/>
      <c r="AY34" s="230"/>
      <c r="AZ34" s="230"/>
      <c r="BA34" s="230"/>
      <c r="BB34" s="230"/>
      <c r="BC34" s="230"/>
      <c r="BD34" s="230"/>
      <c r="BE34" s="230"/>
      <c r="BF34" s="230"/>
      <c r="BG34" s="230"/>
      <c r="BH34" s="230"/>
      <c r="BI34" s="230"/>
      <c r="BJ34" s="230"/>
      <c r="BK34" s="230"/>
      <c r="BL34" s="230"/>
      <c r="BM34" s="230"/>
      <c r="BN34" s="230"/>
      <c r="BO34" s="230"/>
      <c r="BP34" s="230"/>
      <c r="BQ34" s="230"/>
      <c r="BR34" s="230"/>
      <c r="BS34" s="230"/>
      <c r="BT34" s="230"/>
      <c r="BU34" s="230"/>
      <c r="BV34" s="230"/>
      <c r="BW34" s="230"/>
      <c r="BX34" s="230"/>
      <c r="BY34" s="230"/>
      <c r="BZ34" s="230"/>
      <c r="CA34" s="230"/>
      <c r="CB34" s="230"/>
      <c r="CC34" s="230"/>
      <c r="CD34" s="230"/>
      <c r="CE34" s="230"/>
      <c r="CF34" s="230"/>
      <c r="CG34" s="230"/>
      <c r="CH34" s="230"/>
      <c r="CI34" s="230"/>
      <c r="CJ34" s="230"/>
      <c r="CK34" s="230"/>
      <c r="CL34" s="230"/>
      <c r="CM34" s="230"/>
      <c r="CN34" s="230"/>
      <c r="CO34" s="230"/>
      <c r="CP34" s="230"/>
      <c r="CQ34" s="230"/>
      <c r="CR34" s="230"/>
      <c r="CS34" s="230"/>
      <c r="CT34" s="230"/>
      <c r="CU34" s="230"/>
      <c r="CV34" s="230"/>
      <c r="CW34" s="230"/>
      <c r="CX34" s="230"/>
      <c r="CY34" s="230"/>
      <c r="CZ34" s="230"/>
      <c r="DA34" s="230"/>
      <c r="DB34" s="230"/>
      <c r="DC34" s="230"/>
      <c r="DD34" s="230"/>
      <c r="DE34" s="230"/>
      <c r="DF34" s="230"/>
      <c r="DG34" s="230"/>
      <c r="DH34" s="230"/>
      <c r="DI34" s="230"/>
      <c r="DJ34" s="230"/>
      <c r="DK34" s="230"/>
      <c r="DL34" s="230"/>
      <c r="DM34" s="230"/>
      <c r="DN34" s="230"/>
      <c r="DO34" s="230"/>
      <c r="DP34" s="230"/>
      <c r="DQ34" s="230"/>
      <c r="DR34" s="230"/>
      <c r="DS34" s="230"/>
      <c r="DT34" s="230"/>
      <c r="DU34" s="230"/>
      <c r="DV34" s="230"/>
      <c r="DW34" s="230"/>
      <c r="DX34" s="230"/>
      <c r="DY34" s="230"/>
      <c r="DZ34" s="230"/>
      <c r="EA34" s="230"/>
      <c r="EB34" s="230"/>
      <c r="EC34" s="230"/>
    </row>
    <row r="35" spans="1:321" outlineLevel="1">
      <c r="A35" s="325"/>
      <c r="B35" s="329"/>
      <c r="C35" s="320"/>
      <c r="D35" s="328"/>
      <c r="E35" s="328"/>
      <c r="F35" s="328"/>
      <c r="G35" s="328"/>
      <c r="H35" s="328"/>
      <c r="I35" s="328"/>
      <c r="J35" s="328"/>
      <c r="K35" s="328"/>
      <c r="L35" s="328"/>
      <c r="M35" s="328"/>
      <c r="N35" s="328"/>
      <c r="O35" s="328"/>
      <c r="P35" s="328"/>
      <c r="Q35" s="328"/>
      <c r="R35" s="421"/>
      <c r="S35" s="319">
        <f t="shared" si="2"/>
        <v>0</v>
      </c>
      <c r="T35" s="292"/>
      <c r="U35" s="292"/>
      <c r="V35" s="292"/>
      <c r="W35" s="292"/>
      <c r="X35" s="292"/>
      <c r="Y35" s="292"/>
      <c r="Z35" s="292"/>
      <c r="AA35" s="292"/>
      <c r="AB35" s="292"/>
      <c r="AC35" s="230"/>
      <c r="AD35" s="230"/>
      <c r="AE35" s="230"/>
      <c r="AF35" s="230"/>
      <c r="AG35" s="230"/>
      <c r="AH35" s="230"/>
      <c r="AI35" s="230"/>
      <c r="AJ35" s="230"/>
      <c r="AK35" s="230"/>
      <c r="AL35" s="230"/>
      <c r="AM35" s="230"/>
      <c r="AN35" s="230"/>
      <c r="AO35" s="230"/>
      <c r="AP35" s="230"/>
      <c r="AQ35" s="230"/>
      <c r="AR35" s="230"/>
      <c r="AS35" s="230"/>
      <c r="AT35" s="230"/>
      <c r="AU35" s="230"/>
      <c r="AV35" s="230"/>
      <c r="AW35" s="230"/>
      <c r="AX35" s="230"/>
      <c r="AY35" s="230"/>
      <c r="AZ35" s="230"/>
      <c r="BA35" s="230"/>
      <c r="BB35" s="230"/>
      <c r="BC35" s="230"/>
      <c r="BD35" s="230"/>
      <c r="BE35" s="230"/>
      <c r="BF35" s="230"/>
      <c r="BG35" s="230"/>
      <c r="BH35" s="230"/>
      <c r="BI35" s="230"/>
      <c r="BJ35" s="230"/>
      <c r="BK35" s="230"/>
      <c r="BL35" s="230"/>
      <c r="BM35" s="230"/>
      <c r="BN35" s="230"/>
      <c r="BO35" s="230"/>
      <c r="BP35" s="230"/>
      <c r="BQ35" s="230"/>
      <c r="BR35" s="230"/>
      <c r="BS35" s="230"/>
      <c r="BT35" s="230"/>
      <c r="BU35" s="230"/>
      <c r="BV35" s="230"/>
      <c r="BW35" s="230"/>
      <c r="BX35" s="230"/>
      <c r="BY35" s="230"/>
      <c r="BZ35" s="230"/>
      <c r="CA35" s="230"/>
      <c r="CB35" s="230"/>
      <c r="CC35" s="230"/>
      <c r="CD35" s="230"/>
      <c r="CE35" s="230"/>
      <c r="CF35" s="230"/>
      <c r="CG35" s="230"/>
      <c r="CH35" s="230"/>
      <c r="CI35" s="230"/>
      <c r="CJ35" s="230"/>
      <c r="CK35" s="230"/>
      <c r="CL35" s="230"/>
      <c r="CM35" s="230"/>
      <c r="CN35" s="230"/>
      <c r="CO35" s="230"/>
      <c r="CP35" s="230"/>
      <c r="CQ35" s="230"/>
      <c r="CR35" s="230"/>
      <c r="CS35" s="230"/>
      <c r="CT35" s="230"/>
      <c r="CU35" s="230"/>
      <c r="CV35" s="230"/>
      <c r="CW35" s="230"/>
      <c r="CX35" s="230"/>
      <c r="CY35" s="230"/>
      <c r="CZ35" s="230"/>
      <c r="DA35" s="230"/>
      <c r="DB35" s="230"/>
      <c r="DC35" s="230"/>
      <c r="DD35" s="230"/>
      <c r="DE35" s="230"/>
      <c r="DF35" s="230"/>
      <c r="DG35" s="230"/>
      <c r="DH35" s="230"/>
      <c r="DI35" s="230"/>
      <c r="DJ35" s="230"/>
      <c r="DK35" s="230"/>
      <c r="DL35" s="230"/>
      <c r="DM35" s="230"/>
      <c r="DN35" s="230"/>
      <c r="DO35" s="230"/>
      <c r="DP35" s="230"/>
      <c r="DQ35" s="230"/>
      <c r="DR35" s="230"/>
      <c r="DS35" s="230"/>
      <c r="DT35" s="230"/>
      <c r="DU35" s="230"/>
      <c r="DV35" s="230"/>
      <c r="DW35" s="230"/>
      <c r="DX35" s="230"/>
      <c r="DY35" s="230"/>
      <c r="DZ35" s="230"/>
      <c r="EA35" s="230"/>
      <c r="EB35" s="230"/>
      <c r="EC35" s="230"/>
    </row>
    <row r="36" spans="1:321" outlineLevel="1">
      <c r="A36" s="325"/>
      <c r="B36" s="264"/>
      <c r="C36" s="330"/>
      <c r="D36" s="422"/>
      <c r="E36" s="422"/>
      <c r="F36" s="422"/>
      <c r="G36" s="422"/>
      <c r="H36" s="422"/>
      <c r="I36" s="422"/>
      <c r="J36" s="422"/>
      <c r="K36" s="422"/>
      <c r="L36" s="422"/>
      <c r="M36" s="422"/>
      <c r="N36" s="422"/>
      <c r="O36" s="422"/>
      <c r="P36" s="422"/>
      <c r="Q36" s="422"/>
      <c r="R36" s="423"/>
      <c r="S36" s="319">
        <f t="shared" si="2"/>
        <v>0</v>
      </c>
      <c r="T36" s="292"/>
      <c r="U36" s="292"/>
      <c r="V36" s="292"/>
      <c r="W36" s="292"/>
      <c r="X36" s="292"/>
      <c r="Y36" s="292"/>
      <c r="Z36" s="292"/>
      <c r="AA36" s="292"/>
      <c r="AB36" s="292"/>
      <c r="AC36" s="230"/>
      <c r="AD36" s="230"/>
      <c r="AE36" s="230"/>
      <c r="AF36" s="230"/>
      <c r="AG36" s="230"/>
      <c r="AH36" s="230"/>
      <c r="AI36" s="230"/>
      <c r="AJ36" s="230"/>
      <c r="AK36" s="230"/>
      <c r="AL36" s="230"/>
      <c r="AM36" s="230"/>
      <c r="AN36" s="230"/>
      <c r="AO36" s="230"/>
      <c r="AP36" s="230"/>
      <c r="AQ36" s="230"/>
      <c r="AR36" s="230"/>
      <c r="AS36" s="230"/>
      <c r="AT36" s="230"/>
      <c r="AU36" s="230"/>
      <c r="AV36" s="230"/>
      <c r="AW36" s="230"/>
      <c r="AX36" s="230"/>
      <c r="AY36" s="230"/>
      <c r="AZ36" s="230"/>
      <c r="BA36" s="230"/>
      <c r="BB36" s="230"/>
      <c r="BC36" s="230"/>
      <c r="BD36" s="230"/>
      <c r="BE36" s="230"/>
      <c r="BF36" s="230"/>
      <c r="BG36" s="230"/>
      <c r="BH36" s="230"/>
      <c r="BI36" s="230"/>
      <c r="BJ36" s="230"/>
      <c r="BK36" s="230"/>
      <c r="BL36" s="230"/>
      <c r="BM36" s="230"/>
      <c r="BN36" s="230"/>
      <c r="BO36" s="230"/>
      <c r="BP36" s="230"/>
      <c r="BQ36" s="230"/>
      <c r="BR36" s="230"/>
      <c r="BS36" s="230"/>
      <c r="BT36" s="230"/>
      <c r="BU36" s="230"/>
      <c r="BV36" s="230"/>
      <c r="BW36" s="230"/>
      <c r="BX36" s="230"/>
      <c r="BY36" s="230"/>
      <c r="BZ36" s="230"/>
      <c r="CA36" s="230"/>
      <c r="CB36" s="230"/>
      <c r="CC36" s="230"/>
      <c r="CD36" s="230"/>
      <c r="CE36" s="230"/>
      <c r="CF36" s="230"/>
      <c r="CG36" s="230"/>
      <c r="CH36" s="230"/>
      <c r="CI36" s="230"/>
      <c r="CJ36" s="230"/>
      <c r="CK36" s="230"/>
      <c r="CL36" s="230"/>
      <c r="CM36" s="230"/>
      <c r="CN36" s="230"/>
      <c r="CO36" s="230"/>
      <c r="CP36" s="230"/>
      <c r="CQ36" s="230"/>
      <c r="CR36" s="230"/>
      <c r="CS36" s="230"/>
      <c r="CT36" s="230"/>
      <c r="CU36" s="230"/>
      <c r="CV36" s="230"/>
      <c r="CW36" s="230"/>
      <c r="CX36" s="230"/>
      <c r="CY36" s="230"/>
      <c r="CZ36" s="230"/>
      <c r="DA36" s="230"/>
      <c r="DB36" s="230"/>
      <c r="DC36" s="230"/>
      <c r="DD36" s="230"/>
      <c r="DE36" s="230"/>
      <c r="DF36" s="230"/>
      <c r="DG36" s="230"/>
      <c r="DH36" s="230"/>
      <c r="DI36" s="230"/>
      <c r="DJ36" s="230"/>
      <c r="DK36" s="230"/>
      <c r="DL36" s="230"/>
      <c r="DM36" s="230"/>
      <c r="DN36" s="230"/>
      <c r="DO36" s="230"/>
      <c r="DP36" s="230"/>
      <c r="DQ36" s="230"/>
      <c r="DR36" s="230"/>
      <c r="DS36" s="230"/>
      <c r="DT36" s="230"/>
      <c r="DU36" s="230"/>
      <c r="DV36" s="230"/>
      <c r="DW36" s="230"/>
      <c r="DX36" s="230"/>
      <c r="DY36" s="230"/>
      <c r="DZ36" s="230"/>
      <c r="EA36" s="230"/>
      <c r="EB36" s="230"/>
      <c r="EC36" s="230"/>
    </row>
    <row r="37" spans="1:321" outlineLevel="1">
      <c r="A37" s="325"/>
      <c r="B37" s="264"/>
      <c r="C37" s="330"/>
      <c r="D37" s="422"/>
      <c r="E37" s="422"/>
      <c r="F37" s="422"/>
      <c r="G37" s="422"/>
      <c r="H37" s="422"/>
      <c r="I37" s="422"/>
      <c r="J37" s="422"/>
      <c r="K37" s="422"/>
      <c r="L37" s="422"/>
      <c r="M37" s="422"/>
      <c r="N37" s="422"/>
      <c r="O37" s="422"/>
      <c r="P37" s="422"/>
      <c r="Q37" s="422"/>
      <c r="R37" s="423"/>
      <c r="S37" s="319">
        <f t="shared" si="2"/>
        <v>0</v>
      </c>
      <c r="T37" s="292"/>
      <c r="U37" s="292"/>
      <c r="V37" s="292"/>
      <c r="W37" s="292"/>
      <c r="X37" s="292"/>
      <c r="Y37" s="292"/>
      <c r="Z37" s="292"/>
      <c r="AA37" s="292"/>
      <c r="AB37" s="292"/>
      <c r="AC37" s="230"/>
      <c r="AD37" s="230"/>
      <c r="AE37" s="230"/>
      <c r="AF37" s="230"/>
      <c r="AG37" s="230"/>
      <c r="AH37" s="230"/>
      <c r="AI37" s="230"/>
      <c r="AJ37" s="230"/>
      <c r="AK37" s="230"/>
      <c r="AL37" s="230"/>
      <c r="AM37" s="230"/>
      <c r="AN37" s="230"/>
      <c r="AO37" s="230"/>
      <c r="AP37" s="230"/>
      <c r="AQ37" s="230"/>
      <c r="AR37" s="230"/>
      <c r="AS37" s="230"/>
      <c r="AT37" s="230"/>
      <c r="AU37" s="230"/>
      <c r="AV37" s="230"/>
      <c r="AW37" s="230"/>
      <c r="AX37" s="230"/>
      <c r="AY37" s="230"/>
      <c r="AZ37" s="230"/>
      <c r="BA37" s="230"/>
      <c r="BB37" s="230"/>
      <c r="BC37" s="230"/>
      <c r="BD37" s="230"/>
      <c r="BE37" s="230"/>
      <c r="BF37" s="230"/>
      <c r="BG37" s="230"/>
      <c r="BH37" s="230"/>
      <c r="BI37" s="230"/>
      <c r="BJ37" s="230"/>
      <c r="BK37" s="230"/>
      <c r="BL37" s="230"/>
      <c r="BM37" s="230"/>
      <c r="BN37" s="230"/>
      <c r="BO37" s="230"/>
      <c r="BP37" s="230"/>
      <c r="BQ37" s="230"/>
      <c r="BR37" s="230"/>
      <c r="BS37" s="230"/>
      <c r="BT37" s="230"/>
      <c r="BU37" s="230"/>
      <c r="BV37" s="230"/>
      <c r="BW37" s="230"/>
      <c r="BX37" s="230"/>
      <c r="BY37" s="230"/>
      <c r="BZ37" s="230"/>
      <c r="CA37" s="230"/>
      <c r="CB37" s="230"/>
      <c r="CC37" s="230"/>
      <c r="CD37" s="230"/>
      <c r="CE37" s="230"/>
      <c r="CF37" s="230"/>
      <c r="CG37" s="230"/>
      <c r="CH37" s="230"/>
      <c r="CI37" s="230"/>
      <c r="CJ37" s="230"/>
      <c r="CK37" s="230"/>
      <c r="CL37" s="230"/>
      <c r="CM37" s="230"/>
      <c r="CN37" s="230"/>
      <c r="CO37" s="230"/>
      <c r="CP37" s="230"/>
      <c r="CQ37" s="230"/>
      <c r="CR37" s="230"/>
      <c r="CS37" s="230"/>
      <c r="CT37" s="230"/>
      <c r="CU37" s="230"/>
      <c r="CV37" s="230"/>
      <c r="CW37" s="230"/>
      <c r="CX37" s="230"/>
      <c r="CY37" s="230"/>
      <c r="CZ37" s="230"/>
      <c r="DA37" s="230"/>
      <c r="DB37" s="230"/>
      <c r="DC37" s="230"/>
      <c r="DD37" s="230"/>
      <c r="DE37" s="230"/>
      <c r="DF37" s="230"/>
      <c r="DG37" s="230"/>
      <c r="DH37" s="230"/>
      <c r="DI37" s="230"/>
      <c r="DJ37" s="230"/>
      <c r="DK37" s="230"/>
      <c r="DL37" s="230"/>
      <c r="DM37" s="230"/>
      <c r="DN37" s="230"/>
      <c r="DO37" s="230"/>
      <c r="DP37" s="230"/>
      <c r="DQ37" s="230"/>
      <c r="DR37" s="230"/>
      <c r="DS37" s="230"/>
      <c r="DT37" s="230"/>
      <c r="DU37" s="230"/>
      <c r="DV37" s="230"/>
      <c r="DW37" s="230"/>
      <c r="DX37" s="230"/>
      <c r="DY37" s="230"/>
      <c r="DZ37" s="230"/>
      <c r="EA37" s="230"/>
      <c r="EB37" s="230"/>
      <c r="EC37" s="230"/>
    </row>
    <row r="38" spans="1:321" outlineLevel="1">
      <c r="A38" s="325"/>
      <c r="B38" s="264"/>
      <c r="C38" s="330"/>
      <c r="D38" s="422"/>
      <c r="E38" s="422"/>
      <c r="F38" s="422"/>
      <c r="G38" s="422"/>
      <c r="H38" s="422"/>
      <c r="I38" s="422"/>
      <c r="J38" s="422"/>
      <c r="K38" s="422"/>
      <c r="L38" s="422"/>
      <c r="M38" s="422"/>
      <c r="N38" s="422"/>
      <c r="O38" s="422"/>
      <c r="P38" s="422"/>
      <c r="Q38" s="422"/>
      <c r="R38" s="423"/>
      <c r="S38" s="319">
        <f t="shared" si="2"/>
        <v>0</v>
      </c>
      <c r="T38" s="292"/>
      <c r="U38" s="292"/>
      <c r="V38" s="292"/>
      <c r="W38" s="292"/>
      <c r="X38" s="292"/>
      <c r="Y38" s="292"/>
      <c r="Z38" s="292"/>
      <c r="AA38" s="292"/>
      <c r="AB38" s="292"/>
      <c r="AC38" s="230"/>
      <c r="AD38" s="230"/>
      <c r="AE38" s="230"/>
      <c r="AF38" s="230"/>
      <c r="AG38" s="230"/>
      <c r="AH38" s="230"/>
      <c r="AI38" s="230"/>
      <c r="AJ38" s="230"/>
      <c r="AK38" s="230"/>
      <c r="AL38" s="230"/>
      <c r="AM38" s="230"/>
      <c r="AN38" s="230"/>
      <c r="AO38" s="230"/>
      <c r="AP38" s="230"/>
      <c r="AQ38" s="230"/>
      <c r="AR38" s="230"/>
      <c r="AS38" s="230"/>
      <c r="AT38" s="230"/>
      <c r="AU38" s="230"/>
      <c r="AV38" s="230"/>
      <c r="AW38" s="230"/>
      <c r="AX38" s="230"/>
      <c r="AY38" s="230"/>
      <c r="AZ38" s="230"/>
      <c r="BA38" s="230"/>
      <c r="BB38" s="230"/>
      <c r="BC38" s="230"/>
      <c r="BD38" s="230"/>
      <c r="BE38" s="230"/>
      <c r="BF38" s="230"/>
      <c r="BG38" s="230"/>
      <c r="BH38" s="230"/>
      <c r="BI38" s="230"/>
      <c r="BJ38" s="230"/>
      <c r="BK38" s="230"/>
      <c r="BL38" s="230"/>
      <c r="BM38" s="230"/>
      <c r="BN38" s="230"/>
      <c r="BO38" s="230"/>
      <c r="BP38" s="230"/>
      <c r="BQ38" s="230"/>
      <c r="BR38" s="230"/>
      <c r="BS38" s="230"/>
      <c r="BT38" s="230"/>
      <c r="BU38" s="230"/>
      <c r="BV38" s="230"/>
      <c r="BW38" s="230"/>
      <c r="BX38" s="230"/>
      <c r="BY38" s="230"/>
      <c r="BZ38" s="230"/>
      <c r="CA38" s="230"/>
      <c r="CB38" s="230"/>
      <c r="CC38" s="230"/>
      <c r="CD38" s="230"/>
      <c r="CE38" s="230"/>
      <c r="CF38" s="230"/>
      <c r="CG38" s="230"/>
      <c r="CH38" s="230"/>
      <c r="CI38" s="230"/>
      <c r="CJ38" s="230"/>
      <c r="CK38" s="230"/>
      <c r="CL38" s="230"/>
      <c r="CM38" s="230"/>
      <c r="CN38" s="230"/>
      <c r="CO38" s="230"/>
      <c r="CP38" s="230"/>
      <c r="CQ38" s="230"/>
      <c r="CR38" s="230"/>
      <c r="CS38" s="230"/>
      <c r="CT38" s="230"/>
      <c r="CU38" s="230"/>
      <c r="CV38" s="230"/>
      <c r="CW38" s="230"/>
      <c r="CX38" s="230"/>
      <c r="CY38" s="230"/>
      <c r="CZ38" s="230"/>
      <c r="DA38" s="230"/>
      <c r="DB38" s="230"/>
      <c r="DC38" s="230"/>
      <c r="DD38" s="230"/>
      <c r="DE38" s="230"/>
      <c r="DF38" s="230"/>
      <c r="DG38" s="230"/>
      <c r="DH38" s="230"/>
      <c r="DI38" s="230"/>
      <c r="DJ38" s="230"/>
      <c r="DK38" s="230"/>
      <c r="DL38" s="230"/>
      <c r="DM38" s="230"/>
      <c r="DN38" s="230"/>
      <c r="DO38" s="230"/>
      <c r="DP38" s="230"/>
      <c r="DQ38" s="230"/>
      <c r="DR38" s="230"/>
      <c r="DS38" s="230"/>
      <c r="DT38" s="230"/>
      <c r="DU38" s="230"/>
      <c r="DV38" s="230"/>
      <c r="DW38" s="230"/>
      <c r="DX38" s="230"/>
      <c r="DY38" s="230"/>
      <c r="DZ38" s="230"/>
      <c r="EA38" s="230"/>
      <c r="EB38" s="230"/>
      <c r="EC38" s="230"/>
    </row>
    <row r="39" spans="1:321" s="336" customFormat="1" outlineLevel="1">
      <c r="A39" s="331"/>
      <c r="B39" s="332" t="s">
        <v>145</v>
      </c>
      <c r="C39" s="333"/>
      <c r="D39" s="424">
        <f>'Amortization Table 15y'!$D16</f>
        <v>280999.8847103414</v>
      </c>
      <c r="E39" s="424">
        <f>'Amortization Table 15y'!$D17</f>
        <v>288867.88148223102</v>
      </c>
      <c r="F39" s="424">
        <f>'Amortization Table 15y'!$D18</f>
        <v>296956.18216373347</v>
      </c>
      <c r="G39" s="424">
        <f>'Amortization Table 15y'!$D19</f>
        <v>305270.95526431804</v>
      </c>
      <c r="H39" s="424">
        <f>'Amortization Table 15y'!$D20</f>
        <v>313818.54201171891</v>
      </c>
      <c r="I39" s="424">
        <f>'Amortization Table 15y'!$D21</f>
        <v>322605.46118804702</v>
      </c>
      <c r="J39" s="424">
        <f>'Amortization Table 15y'!$D22</f>
        <v>331638.41410131234</v>
      </c>
      <c r="K39" s="424">
        <f>'Amortization Table 15y'!$D23</f>
        <v>340924.28969614912</v>
      </c>
      <c r="L39" s="424">
        <f>'Amortization Table 15y'!$D24</f>
        <v>350470.1698076413</v>
      </c>
      <c r="M39" s="424">
        <f>'Amortization Table 15y'!$D25</f>
        <v>360283.33456225524</v>
      </c>
      <c r="N39" s="424">
        <f>'Amortization Table 15y'!$D26</f>
        <v>370371.2679299984</v>
      </c>
      <c r="O39" s="424">
        <f>'Amortization Table 15y'!$D27</f>
        <v>380741.66343203839</v>
      </c>
      <c r="P39" s="424">
        <f>'Amortization Table 15y'!$D28</f>
        <v>391402.43000813544</v>
      </c>
      <c r="Q39" s="424">
        <f>'Amortization Table 15y'!$D29</f>
        <v>402361.69804836321</v>
      </c>
      <c r="R39" s="425">
        <f>'Amortization Table 15y'!$D30</f>
        <v>413627.8255937174</v>
      </c>
      <c r="S39" s="319">
        <f t="shared" si="2"/>
        <v>5150340.0000000009</v>
      </c>
      <c r="T39" s="334"/>
      <c r="U39" s="334"/>
      <c r="V39" s="334"/>
      <c r="W39" s="334"/>
      <c r="X39" s="334"/>
      <c r="Y39" s="334"/>
      <c r="Z39" s="334"/>
      <c r="AA39" s="334"/>
      <c r="AB39" s="334"/>
      <c r="AC39" s="292"/>
      <c r="AD39" s="292"/>
      <c r="AE39" s="292"/>
      <c r="AF39" s="292"/>
      <c r="AG39" s="292"/>
      <c r="AH39" s="292"/>
      <c r="AI39" s="292"/>
      <c r="AJ39" s="292"/>
      <c r="AK39" s="292"/>
      <c r="AL39" s="292"/>
      <c r="AM39" s="292"/>
      <c r="AN39" s="292"/>
      <c r="AO39" s="292"/>
      <c r="AP39" s="292"/>
      <c r="AQ39" s="292"/>
      <c r="AR39" s="292"/>
      <c r="AS39" s="292"/>
      <c r="AT39" s="292"/>
      <c r="AU39" s="292"/>
      <c r="AV39" s="292"/>
      <c r="AW39" s="292"/>
      <c r="AX39" s="292"/>
      <c r="AY39" s="292"/>
      <c r="AZ39" s="292"/>
      <c r="BA39" s="292"/>
      <c r="BB39" s="292"/>
      <c r="BC39" s="292"/>
      <c r="BD39" s="292"/>
      <c r="BE39" s="292"/>
      <c r="BF39" s="292"/>
      <c r="BG39" s="292"/>
      <c r="BH39" s="292"/>
      <c r="BI39" s="292"/>
      <c r="BJ39" s="292"/>
      <c r="BK39" s="292"/>
      <c r="BL39" s="292"/>
      <c r="BM39" s="292"/>
      <c r="BN39" s="292"/>
      <c r="BO39" s="292"/>
      <c r="BP39" s="292"/>
      <c r="BQ39" s="292"/>
      <c r="BR39" s="292"/>
      <c r="BS39" s="292"/>
      <c r="BT39" s="292"/>
      <c r="BU39" s="292"/>
      <c r="BV39" s="292"/>
      <c r="BW39" s="292"/>
      <c r="BX39" s="292"/>
      <c r="BY39" s="292"/>
      <c r="BZ39" s="292"/>
      <c r="CA39" s="292"/>
      <c r="CB39" s="292"/>
      <c r="CC39" s="292"/>
      <c r="CD39" s="292"/>
      <c r="CE39" s="292"/>
      <c r="CF39" s="292"/>
      <c r="CG39" s="292"/>
      <c r="CH39" s="292"/>
      <c r="CI39" s="292"/>
      <c r="CJ39" s="292"/>
      <c r="CK39" s="292"/>
      <c r="CL39" s="292"/>
      <c r="CM39" s="292"/>
      <c r="CN39" s="292"/>
      <c r="CO39" s="292"/>
      <c r="CP39" s="292"/>
      <c r="CQ39" s="292"/>
      <c r="CR39" s="292"/>
      <c r="CS39" s="292"/>
      <c r="CT39" s="292"/>
      <c r="CU39" s="292"/>
      <c r="CV39" s="292"/>
      <c r="CW39" s="292"/>
      <c r="CX39" s="292"/>
      <c r="CY39" s="292"/>
      <c r="CZ39" s="292"/>
      <c r="DA39" s="292"/>
      <c r="DB39" s="292"/>
      <c r="DC39" s="292"/>
      <c r="DD39" s="292"/>
      <c r="DE39" s="292"/>
      <c r="DF39" s="292"/>
      <c r="DG39" s="292"/>
      <c r="DH39" s="292"/>
      <c r="DI39" s="292"/>
      <c r="DJ39" s="292"/>
      <c r="DK39" s="292"/>
      <c r="DL39" s="292"/>
      <c r="DM39" s="292"/>
      <c r="DN39" s="292"/>
      <c r="DO39" s="292"/>
      <c r="DP39" s="292"/>
      <c r="DQ39" s="292"/>
      <c r="DR39" s="292"/>
      <c r="DS39" s="292"/>
      <c r="DT39" s="292"/>
      <c r="DU39" s="292"/>
      <c r="DV39" s="292"/>
      <c r="DW39" s="292"/>
      <c r="DX39" s="292"/>
      <c r="DY39" s="292"/>
      <c r="DZ39" s="292"/>
      <c r="EA39" s="292">
        <f>[5]TAM!CO44</f>
        <v>0</v>
      </c>
      <c r="EB39" s="292">
        <f>[5]TAM!CP44</f>
        <v>0</v>
      </c>
      <c r="EC39" s="292">
        <f>[5]TAM!CQ44</f>
        <v>0</v>
      </c>
      <c r="ED39" s="335">
        <f>[5]TAM!CR44</f>
        <v>0</v>
      </c>
      <c r="EE39" s="335">
        <f>[5]TAM!CS44</f>
        <v>0</v>
      </c>
      <c r="EF39" s="335">
        <f>[5]TAM!CT44</f>
        <v>0</v>
      </c>
      <c r="EG39" s="335">
        <f>[5]TAM!CU44</f>
        <v>0</v>
      </c>
      <c r="EH39" s="335">
        <f>[5]TAM!CV44</f>
        <v>0</v>
      </c>
      <c r="EI39" s="335">
        <f>[5]TAM!CW44</f>
        <v>0</v>
      </c>
      <c r="EJ39" s="335">
        <f>[5]TAM!CX44</f>
        <v>0</v>
      </c>
      <c r="EK39" s="335">
        <f>[5]TAM!CY44</f>
        <v>0</v>
      </c>
      <c r="EL39" s="335">
        <f>[5]TAM!CZ44</f>
        <v>0</v>
      </c>
      <c r="EM39" s="335">
        <f>[5]TAM!DA44</f>
        <v>0</v>
      </c>
      <c r="EN39" s="335">
        <f>[5]TAM!DB44</f>
        <v>0</v>
      </c>
      <c r="EO39" s="335">
        <f>[5]TAM!DC44</f>
        <v>0</v>
      </c>
      <c r="EP39" s="335">
        <f>[5]TAM!DD44</f>
        <v>0</v>
      </c>
      <c r="EQ39" s="335">
        <f>[5]TAM!DE44</f>
        <v>0</v>
      </c>
      <c r="ER39" s="335">
        <f>[5]TAM!DF44</f>
        <v>0</v>
      </c>
      <c r="ES39" s="335">
        <f>[5]TAM!DG44</f>
        <v>0</v>
      </c>
      <c r="ET39" s="335">
        <f>[5]TAM!DH44</f>
        <v>0</v>
      </c>
      <c r="EU39" s="335">
        <f>[5]TAM!DI44</f>
        <v>0</v>
      </c>
      <c r="EV39" s="335">
        <f>[5]TAM!DJ44</f>
        <v>0</v>
      </c>
      <c r="EW39" s="335">
        <f>[5]TAM!DK44</f>
        <v>0</v>
      </c>
      <c r="EX39" s="335">
        <f>[5]TAM!DL44</f>
        <v>0</v>
      </c>
      <c r="EY39" s="335">
        <f>[5]TAM!DM44</f>
        <v>0</v>
      </c>
      <c r="EZ39" s="335">
        <f>[5]TAM!DN44</f>
        <v>0</v>
      </c>
      <c r="FA39" s="335">
        <f>[5]TAM!DO44</f>
        <v>0</v>
      </c>
      <c r="FB39" s="335">
        <f>[5]TAM!DP44</f>
        <v>0</v>
      </c>
      <c r="FC39" s="335">
        <f>[5]TAM!DQ44</f>
        <v>0</v>
      </c>
      <c r="FD39" s="335">
        <f>[5]TAM!DR44</f>
        <v>0</v>
      </c>
      <c r="FE39" s="335">
        <f>[5]TAM!DS44</f>
        <v>0</v>
      </c>
      <c r="FF39" s="335">
        <f>[5]TAM!DT44</f>
        <v>0</v>
      </c>
      <c r="FG39" s="335">
        <f>[5]TAM!DU44</f>
        <v>0</v>
      </c>
      <c r="FH39" s="335">
        <f>[5]TAM!DV44</f>
        <v>0</v>
      </c>
      <c r="FI39" s="335">
        <f>[5]TAM!DW44</f>
        <v>0</v>
      </c>
      <c r="FJ39" s="335">
        <f>[5]TAM!DX44</f>
        <v>0</v>
      </c>
      <c r="FK39" s="335">
        <f>[5]TAM!DY44</f>
        <v>0</v>
      </c>
      <c r="FL39" s="335">
        <f>[5]TAM!DZ44</f>
        <v>0</v>
      </c>
      <c r="FM39" s="335">
        <f>[5]TAM!EA44</f>
        <v>0</v>
      </c>
      <c r="FN39" s="335">
        <f>[5]TAM!EB44</f>
        <v>0</v>
      </c>
      <c r="FO39" s="335">
        <f>[5]TAM!EC44</f>
        <v>0</v>
      </c>
      <c r="FP39" s="335">
        <f>[5]TAM!ED44</f>
        <v>0</v>
      </c>
      <c r="FQ39" s="335">
        <f>[5]TAM!EE44</f>
        <v>0</v>
      </c>
      <c r="FR39" s="335">
        <f>[5]TAM!EF44</f>
        <v>0</v>
      </c>
      <c r="FS39" s="335">
        <f>[5]TAM!EG44</f>
        <v>0</v>
      </c>
      <c r="FT39" s="335">
        <f>[5]TAM!EH44</f>
        <v>0</v>
      </c>
      <c r="FU39" s="335">
        <f>[5]TAM!EI44</f>
        <v>0</v>
      </c>
      <c r="FV39" s="335">
        <f>[5]TAM!EJ44</f>
        <v>0</v>
      </c>
      <c r="FW39" s="335">
        <f>[5]TAM!EK44</f>
        <v>0</v>
      </c>
      <c r="FX39" s="335">
        <f>[5]TAM!EL44</f>
        <v>0</v>
      </c>
      <c r="FY39" s="335">
        <f>[5]TAM!EM44</f>
        <v>0</v>
      </c>
      <c r="FZ39" s="335">
        <f>[5]TAM!EN44</f>
        <v>0</v>
      </c>
      <c r="GA39" s="335">
        <f>[5]TAM!EO44</f>
        <v>0</v>
      </c>
      <c r="GB39" s="335">
        <f>[5]TAM!EP44</f>
        <v>0</v>
      </c>
      <c r="GC39" s="335">
        <f>[5]TAM!EQ44</f>
        <v>0</v>
      </c>
      <c r="GD39" s="335">
        <f>[5]TAM!ER44</f>
        <v>0</v>
      </c>
      <c r="GE39" s="335">
        <f>[5]TAM!ES44</f>
        <v>0</v>
      </c>
      <c r="GF39" s="335">
        <f>[5]TAM!ET44</f>
        <v>0</v>
      </c>
      <c r="GG39" s="335">
        <f>[5]TAM!EU44</f>
        <v>0</v>
      </c>
      <c r="GH39" s="335">
        <f>[5]TAM!EV44</f>
        <v>0</v>
      </c>
      <c r="GI39" s="335">
        <f>[5]TAM!EW44</f>
        <v>0</v>
      </c>
      <c r="GJ39" s="335">
        <f>[5]TAM!EX44</f>
        <v>0</v>
      </c>
      <c r="GK39" s="335">
        <f>[5]TAM!EY44</f>
        <v>0</v>
      </c>
      <c r="GL39" s="335">
        <f>[5]TAM!EZ44</f>
        <v>0</v>
      </c>
      <c r="GM39" s="335">
        <f>[5]TAM!FA44</f>
        <v>0</v>
      </c>
      <c r="GN39" s="335">
        <f>[5]TAM!FB44</f>
        <v>0</v>
      </c>
      <c r="GO39" s="335">
        <f>[5]TAM!FC44</f>
        <v>0</v>
      </c>
      <c r="GP39" s="335">
        <f>[5]TAM!FD44</f>
        <v>0</v>
      </c>
      <c r="GQ39" s="335">
        <f>[5]TAM!FE44</f>
        <v>0</v>
      </c>
      <c r="GR39" s="335">
        <f>[5]TAM!FF44</f>
        <v>0</v>
      </c>
      <c r="GS39" s="335">
        <f>[5]TAM!FG44</f>
        <v>0</v>
      </c>
      <c r="GT39" s="335">
        <f>[5]TAM!FH44</f>
        <v>0</v>
      </c>
      <c r="GU39" s="335">
        <f>[5]TAM!FI44</f>
        <v>0</v>
      </c>
      <c r="GV39" s="335">
        <f>[5]TAM!FJ44</f>
        <v>0</v>
      </c>
      <c r="GW39" s="335">
        <f>[5]TAM!FK44</f>
        <v>0</v>
      </c>
      <c r="GX39" s="335">
        <f>[5]TAM!FL44</f>
        <v>0</v>
      </c>
      <c r="GY39" s="335">
        <f>[5]TAM!FM44</f>
        <v>0</v>
      </c>
      <c r="GZ39" s="335">
        <f>[5]TAM!FN44</f>
        <v>0</v>
      </c>
      <c r="HA39" s="335">
        <f>[5]TAM!FO44</f>
        <v>0</v>
      </c>
      <c r="HB39" s="335">
        <f>[5]TAM!FP44</f>
        <v>0</v>
      </c>
      <c r="HC39" s="335">
        <f>[5]TAM!FQ44</f>
        <v>0</v>
      </c>
      <c r="HD39" s="335">
        <f>[5]TAM!FR44</f>
        <v>0</v>
      </c>
      <c r="HE39" s="335">
        <f>[5]TAM!FS44</f>
        <v>0</v>
      </c>
      <c r="HF39" s="335">
        <f>[5]TAM!FT44</f>
        <v>0</v>
      </c>
      <c r="HG39" s="335">
        <f>[5]TAM!FU44</f>
        <v>0</v>
      </c>
      <c r="HH39" s="335">
        <f>[5]TAM!FV44</f>
        <v>0</v>
      </c>
      <c r="HI39" s="335">
        <f>[5]TAM!FW44</f>
        <v>0</v>
      </c>
      <c r="HJ39" s="335">
        <f>[5]TAM!FX44</f>
        <v>0</v>
      </c>
      <c r="HK39" s="335">
        <f>[5]TAM!FY44</f>
        <v>0</v>
      </c>
      <c r="HL39" s="335">
        <f>[5]TAM!FZ44</f>
        <v>0</v>
      </c>
      <c r="HM39" s="335">
        <f>[5]TAM!GA44</f>
        <v>0</v>
      </c>
      <c r="HN39" s="335">
        <f>[5]TAM!GB44</f>
        <v>0</v>
      </c>
      <c r="HO39" s="335">
        <f>[5]TAM!GC44</f>
        <v>0</v>
      </c>
      <c r="HP39" s="335">
        <f>[5]TAM!GD44</f>
        <v>0</v>
      </c>
      <c r="HQ39" s="335">
        <f>[5]TAM!GE44</f>
        <v>0</v>
      </c>
      <c r="HR39" s="335">
        <f>[5]TAM!GF44</f>
        <v>0</v>
      </c>
      <c r="HS39" s="335">
        <f>[5]TAM!GG44</f>
        <v>0</v>
      </c>
      <c r="HT39" s="335">
        <f>[5]TAM!GH44</f>
        <v>0</v>
      </c>
      <c r="HU39" s="335">
        <f>[5]TAM!GI44</f>
        <v>0</v>
      </c>
      <c r="HV39" s="335">
        <f>[5]TAM!GJ44</f>
        <v>0</v>
      </c>
      <c r="HW39" s="335">
        <f>[5]TAM!GK44</f>
        <v>0</v>
      </c>
      <c r="HX39" s="335">
        <f>[5]TAM!GL44</f>
        <v>0</v>
      </c>
      <c r="HY39" s="335">
        <f>[5]TAM!GM44</f>
        <v>0</v>
      </c>
      <c r="HZ39" s="335">
        <f>[5]TAM!GN44</f>
        <v>0</v>
      </c>
      <c r="IA39" s="335">
        <f>[5]TAM!GO44</f>
        <v>0</v>
      </c>
      <c r="IB39" s="335">
        <f>[5]TAM!GP44</f>
        <v>0</v>
      </c>
      <c r="IC39" s="335">
        <f>[5]TAM!GQ44</f>
        <v>0</v>
      </c>
      <c r="ID39" s="335">
        <f>[5]TAM!GR44</f>
        <v>0</v>
      </c>
      <c r="IE39" s="335">
        <f>[5]TAM!GS44</f>
        <v>0</v>
      </c>
      <c r="IF39" s="335">
        <f>[5]TAM!GT44</f>
        <v>0</v>
      </c>
      <c r="IG39" s="335">
        <f>[5]TAM!GU44</f>
        <v>0</v>
      </c>
      <c r="IH39" s="335">
        <f>[5]TAM!GV44</f>
        <v>0</v>
      </c>
      <c r="II39" s="335">
        <f>[5]TAM!GW44</f>
        <v>0</v>
      </c>
      <c r="IJ39" s="335">
        <f>[5]TAM!GX44</f>
        <v>0</v>
      </c>
      <c r="IK39" s="335">
        <f>[5]TAM!GY44</f>
        <v>0</v>
      </c>
      <c r="IL39" s="335">
        <f>[5]TAM!GZ44</f>
        <v>0</v>
      </c>
      <c r="IM39" s="335">
        <f>[5]TAM!HA44</f>
        <v>0</v>
      </c>
      <c r="IN39" s="335">
        <f>[5]TAM!HB44</f>
        <v>0</v>
      </c>
      <c r="IO39" s="335">
        <f>[5]TAM!HC44</f>
        <v>0</v>
      </c>
      <c r="IP39" s="335">
        <f>[5]TAM!HD44</f>
        <v>0</v>
      </c>
      <c r="IQ39" s="335">
        <f>[5]TAM!HE44</f>
        <v>0</v>
      </c>
      <c r="IR39" s="335">
        <f>[5]TAM!HF44</f>
        <v>0</v>
      </c>
      <c r="IS39" s="335">
        <f>[5]TAM!HG44</f>
        <v>0</v>
      </c>
      <c r="IT39" s="335">
        <f>[5]TAM!HH44</f>
        <v>0</v>
      </c>
      <c r="IU39" s="335">
        <f>[5]TAM!HI44</f>
        <v>0</v>
      </c>
      <c r="IV39" s="335">
        <f>[5]TAM!HJ44</f>
        <v>0</v>
      </c>
      <c r="IW39" s="335">
        <f>[5]TAM!HK44</f>
        <v>0</v>
      </c>
      <c r="IX39" s="335">
        <f>[5]TAM!HL44</f>
        <v>0</v>
      </c>
      <c r="IY39" s="335">
        <f>[5]TAM!HM44</f>
        <v>0</v>
      </c>
      <c r="IZ39" s="335">
        <f>[5]TAM!HN44</f>
        <v>0</v>
      </c>
      <c r="JA39" s="335">
        <f>[5]TAM!HO44</f>
        <v>0</v>
      </c>
      <c r="JB39" s="335">
        <f>[5]TAM!HP44</f>
        <v>0</v>
      </c>
      <c r="JC39" s="335">
        <f>[5]TAM!HQ44</f>
        <v>0</v>
      </c>
      <c r="JD39" s="335">
        <f>[5]TAM!HR44</f>
        <v>0</v>
      </c>
      <c r="JE39" s="335">
        <f>[5]TAM!HS44</f>
        <v>0</v>
      </c>
      <c r="JF39" s="335">
        <f>[5]TAM!HT44</f>
        <v>0</v>
      </c>
      <c r="JG39" s="335">
        <f>[5]TAM!HU44</f>
        <v>0</v>
      </c>
      <c r="JH39" s="335">
        <f>[5]TAM!HV44</f>
        <v>0</v>
      </c>
      <c r="JI39" s="335">
        <f>[5]TAM!HW44</f>
        <v>0</v>
      </c>
      <c r="JJ39" s="335">
        <f>[5]TAM!HX44</f>
        <v>0</v>
      </c>
      <c r="JK39" s="335">
        <f>[5]TAM!HY44</f>
        <v>0</v>
      </c>
      <c r="JL39" s="335">
        <f>[5]TAM!HZ44</f>
        <v>0</v>
      </c>
      <c r="JM39" s="335">
        <f>[5]TAM!IA44</f>
        <v>0</v>
      </c>
      <c r="JN39" s="335">
        <f>[5]TAM!IB44</f>
        <v>0</v>
      </c>
      <c r="JO39" s="335">
        <f>[5]TAM!IC44</f>
        <v>0</v>
      </c>
      <c r="JP39" s="335">
        <f>[5]TAM!ID44</f>
        <v>0</v>
      </c>
      <c r="JQ39" s="335">
        <f>[5]TAM!IE44</f>
        <v>0</v>
      </c>
      <c r="JR39" s="335">
        <f>[5]TAM!IF44</f>
        <v>0</v>
      </c>
      <c r="JS39" s="335">
        <f>[5]TAM!IG44</f>
        <v>0</v>
      </c>
      <c r="JT39" s="335">
        <f>[5]TAM!IH44</f>
        <v>0</v>
      </c>
      <c r="JU39" s="335">
        <f>[5]TAM!II44</f>
        <v>0</v>
      </c>
      <c r="JV39" s="335">
        <f>[5]TAM!IJ44</f>
        <v>0</v>
      </c>
      <c r="JW39" s="335">
        <f>[5]TAM!IK44</f>
        <v>0</v>
      </c>
      <c r="JX39" s="335">
        <f>[5]TAM!IL44</f>
        <v>0</v>
      </c>
      <c r="JY39" s="335">
        <f>[5]TAM!IM44</f>
        <v>0</v>
      </c>
      <c r="JZ39" s="335">
        <f>[5]TAM!IN44</f>
        <v>0</v>
      </c>
      <c r="KA39" s="335">
        <f>[5]TAM!IO44</f>
        <v>0</v>
      </c>
      <c r="KB39" s="335">
        <f>[5]TAM!IP44</f>
        <v>0</v>
      </c>
      <c r="KC39" s="335">
        <f>[5]TAM!IQ44</f>
        <v>0</v>
      </c>
      <c r="KD39" s="335">
        <f>[5]TAM!IR44</f>
        <v>0</v>
      </c>
      <c r="KE39" s="335">
        <f>[5]TAM!IS44</f>
        <v>0</v>
      </c>
      <c r="KF39" s="335">
        <f>[5]TAM!IT44</f>
        <v>0</v>
      </c>
      <c r="KG39" s="335">
        <f>[5]TAM!IU44</f>
        <v>0</v>
      </c>
      <c r="KH39" s="335">
        <f>[5]TAM!IV44</f>
        <v>0</v>
      </c>
      <c r="KI39" s="335">
        <f>[5]TAM!IW44</f>
        <v>0</v>
      </c>
      <c r="KJ39" s="335">
        <f>[5]TAM!IX44</f>
        <v>0</v>
      </c>
      <c r="KK39" s="335">
        <f>[5]TAM!IY44</f>
        <v>0</v>
      </c>
      <c r="KL39" s="335">
        <f>[5]TAM!IZ44</f>
        <v>0</v>
      </c>
      <c r="KM39" s="335">
        <f>[5]TAM!JA44</f>
        <v>0</v>
      </c>
      <c r="KN39" s="335">
        <f>[5]TAM!JB44</f>
        <v>0</v>
      </c>
      <c r="KO39" s="335">
        <f>[5]TAM!JC44</f>
        <v>0</v>
      </c>
      <c r="KP39" s="335">
        <f>[5]TAM!JD44</f>
        <v>0</v>
      </c>
      <c r="KQ39" s="335">
        <f>[5]TAM!JE44</f>
        <v>0</v>
      </c>
      <c r="KR39" s="335">
        <f>[5]TAM!JF44</f>
        <v>0</v>
      </c>
      <c r="KS39" s="335">
        <f>[5]TAM!JG44</f>
        <v>0</v>
      </c>
      <c r="KT39" s="335">
        <f>[5]TAM!JH44</f>
        <v>0</v>
      </c>
      <c r="KU39" s="335">
        <f>[5]TAM!JI44</f>
        <v>0</v>
      </c>
      <c r="KV39" s="335">
        <f>[5]TAM!JJ44</f>
        <v>0</v>
      </c>
      <c r="KW39" s="335">
        <f>[5]TAM!JK44</f>
        <v>0</v>
      </c>
      <c r="KX39" s="335">
        <f>[5]TAM!JL44</f>
        <v>0</v>
      </c>
      <c r="KY39" s="335">
        <f>[5]TAM!JM44</f>
        <v>0</v>
      </c>
      <c r="KZ39" s="335">
        <f>[5]TAM!JN44</f>
        <v>0</v>
      </c>
      <c r="LA39" s="335">
        <f>[5]TAM!JO44</f>
        <v>0</v>
      </c>
      <c r="LB39" s="335">
        <f>[5]TAM!JP44</f>
        <v>0</v>
      </c>
      <c r="LC39" s="335">
        <f>[5]TAM!JQ44</f>
        <v>0</v>
      </c>
      <c r="LD39" s="335">
        <f>[5]TAM!JR44</f>
        <v>0</v>
      </c>
      <c r="LE39" s="335">
        <f>[5]TAM!JS44</f>
        <v>0</v>
      </c>
      <c r="LF39" s="335">
        <f>[5]TAM!JT44</f>
        <v>0</v>
      </c>
      <c r="LG39" s="335">
        <f>[5]TAM!JU44</f>
        <v>0</v>
      </c>
      <c r="LH39" s="335">
        <f>[5]TAM!JV44</f>
        <v>0</v>
      </c>
      <c r="LI39" s="335">
        <f>[5]TAM!JW44</f>
        <v>0</v>
      </c>
    </row>
    <row r="40" spans="1:321" s="336" customFormat="1" outlineLevel="1">
      <c r="A40" s="325">
        <f>Assumptions!D21</f>
        <v>2.8000000000000001E-2</v>
      </c>
      <c r="B40" s="293" t="s">
        <v>120</v>
      </c>
      <c r="C40" s="337"/>
      <c r="D40" s="426">
        <f>'Amortization Table 15y'!$E16</f>
        <v>144209.51999999999</v>
      </c>
      <c r="E40" s="426">
        <f>'Amortization Table 15y'!$E17</f>
        <v>136341.52322811043</v>
      </c>
      <c r="F40" s="426">
        <f>'Amortization Table 15y'!$E18</f>
        <v>128253.22254660798</v>
      </c>
      <c r="G40" s="426">
        <f>'Amortization Table 15y'!$E19</f>
        <v>119938.44944602343</v>
      </c>
      <c r="H40" s="426">
        <f>'Amortization Table 15y'!$E20</f>
        <v>111390.86269862253</v>
      </c>
      <c r="I40" s="426">
        <f>'Amortization Table 15y'!$E21</f>
        <v>102603.9435222944</v>
      </c>
      <c r="J40" s="426">
        <f>'Amortization Table 15y'!$E22</f>
        <v>93570.990609029104</v>
      </c>
      <c r="K40" s="426">
        <f>'Amortization Table 15y'!$E23</f>
        <v>84285.115014192357</v>
      </c>
      <c r="L40" s="426">
        <f>'Amortization Table 15y'!$E24</f>
        <v>74739.234902700162</v>
      </c>
      <c r="M40" s="426">
        <f>'Amortization Table 15y'!$E25</f>
        <v>64926.070148086219</v>
      </c>
      <c r="N40" s="426">
        <f>'Amortization Table 15y'!$E26</f>
        <v>54838.136780343077</v>
      </c>
      <c r="O40" s="426">
        <f>'Amortization Table 15y'!$E27</f>
        <v>44467.741278303118</v>
      </c>
      <c r="P40" s="426">
        <f>'Amortization Table 15y'!$E28</f>
        <v>33806.974702206047</v>
      </c>
      <c r="Q40" s="426">
        <f>'Amortization Table 15y'!$E29</f>
        <v>22847.706661978253</v>
      </c>
      <c r="R40" s="427">
        <f>'Amortization Table 15y'!$E30</f>
        <v>11581.579116624085</v>
      </c>
      <c r="S40" s="319">
        <f t="shared" si="2"/>
        <v>1227801.070655121</v>
      </c>
      <c r="T40" s="334"/>
      <c r="U40" s="334"/>
      <c r="V40" s="334"/>
      <c r="W40" s="334"/>
      <c r="X40" s="334"/>
      <c r="Y40" s="334"/>
      <c r="Z40" s="334"/>
      <c r="AA40" s="334"/>
      <c r="AB40" s="334"/>
      <c r="AC40" s="334"/>
      <c r="AD40" s="334"/>
      <c r="AE40" s="334"/>
      <c r="AF40" s="334"/>
      <c r="AG40" s="334"/>
      <c r="AH40" s="334"/>
      <c r="AI40" s="334"/>
      <c r="AJ40" s="334"/>
      <c r="AK40" s="334"/>
      <c r="AL40" s="334"/>
      <c r="AM40" s="334"/>
      <c r="AN40" s="334"/>
      <c r="AO40" s="334"/>
      <c r="AP40" s="334"/>
      <c r="AQ40" s="334"/>
      <c r="AR40" s="334"/>
      <c r="AS40" s="334"/>
      <c r="AT40" s="334"/>
      <c r="AU40" s="334"/>
      <c r="AV40" s="334"/>
      <c r="AW40" s="334"/>
      <c r="AX40" s="334"/>
      <c r="AY40" s="334"/>
      <c r="AZ40" s="334"/>
      <c r="BA40" s="334"/>
      <c r="BB40" s="334"/>
      <c r="BC40" s="334"/>
      <c r="BD40" s="334"/>
      <c r="BE40" s="334"/>
      <c r="BF40" s="334"/>
      <c r="BG40" s="334"/>
      <c r="BH40" s="334"/>
      <c r="BI40" s="334"/>
      <c r="BJ40" s="334"/>
      <c r="BK40" s="334"/>
      <c r="BL40" s="334"/>
      <c r="BM40" s="334"/>
      <c r="BN40" s="334"/>
      <c r="BO40" s="334"/>
      <c r="BP40" s="334"/>
      <c r="BQ40" s="334"/>
      <c r="BR40" s="334"/>
      <c r="BS40" s="334"/>
      <c r="BT40" s="334"/>
      <c r="BU40" s="334"/>
      <c r="BV40" s="334"/>
      <c r="BW40" s="334"/>
      <c r="BX40" s="334"/>
      <c r="BY40" s="334"/>
      <c r="BZ40" s="334"/>
      <c r="CA40" s="334"/>
      <c r="CB40" s="334"/>
      <c r="CC40" s="334"/>
      <c r="CD40" s="334"/>
      <c r="CE40" s="334"/>
      <c r="CF40" s="334"/>
      <c r="CG40" s="334"/>
      <c r="CH40" s="334"/>
      <c r="CI40" s="334"/>
      <c r="CJ40" s="334"/>
      <c r="CK40" s="334"/>
      <c r="CL40" s="334"/>
      <c r="CM40" s="334"/>
      <c r="CN40" s="334"/>
      <c r="CO40" s="334"/>
      <c r="CP40" s="334"/>
      <c r="CQ40" s="334"/>
      <c r="CR40" s="334"/>
      <c r="CS40" s="334"/>
      <c r="CT40" s="334"/>
      <c r="CU40" s="334"/>
      <c r="CV40" s="334"/>
      <c r="CW40" s="334"/>
      <c r="CX40" s="334"/>
      <c r="CY40" s="334"/>
      <c r="CZ40" s="334"/>
      <c r="DA40" s="334"/>
      <c r="DB40" s="334"/>
      <c r="DC40" s="334"/>
      <c r="DD40" s="334"/>
      <c r="DE40" s="334"/>
      <c r="DF40" s="334"/>
      <c r="DG40" s="334"/>
      <c r="DH40" s="334"/>
      <c r="DI40" s="334"/>
      <c r="DJ40" s="334"/>
      <c r="DK40" s="334"/>
      <c r="DL40" s="334"/>
      <c r="DM40" s="334"/>
      <c r="DN40" s="338"/>
      <c r="DO40" s="338"/>
      <c r="DP40" s="338"/>
      <c r="DQ40" s="338"/>
      <c r="DR40" s="338"/>
      <c r="DS40" s="338"/>
      <c r="DT40" s="338"/>
      <c r="DU40" s="338"/>
      <c r="DV40" s="338"/>
      <c r="DW40" s="338"/>
      <c r="DX40" s="338"/>
      <c r="DY40" s="338"/>
      <c r="DZ40" s="338"/>
      <c r="EA40" s="338"/>
      <c r="EB40" s="338"/>
      <c r="EC40" s="338"/>
    </row>
    <row r="41" spans="1:321" ht="16.5" outlineLevel="1" thickBot="1">
      <c r="A41" s="339">
        <f>Assumptions!D22</f>
        <v>3.1E-2</v>
      </c>
      <c r="B41" s="293" t="s">
        <v>122</v>
      </c>
      <c r="C41" s="340"/>
      <c r="D41" s="428">
        <f>(($N$17)*$A$41)</f>
        <v>85971.06</v>
      </c>
      <c r="E41" s="429">
        <f>($N$17)*$A$41</f>
        <v>85971.06</v>
      </c>
      <c r="F41" s="429">
        <f>IF($M$14&gt;=1,($N$17)*$A$41,"")</f>
        <v>85971.06</v>
      </c>
      <c r="G41" s="429">
        <f>IF($M$14&gt;=2,($N$17)*$A$41,"")</f>
        <v>85971.06</v>
      </c>
      <c r="H41" s="429">
        <f>IF($M$14&gt;=3,($N$17)*$A$41,"")</f>
        <v>85971.06</v>
      </c>
      <c r="I41" s="429">
        <f>IF($M$14&gt;=4,($N$17)*$A$41,"")</f>
        <v>85971.06</v>
      </c>
      <c r="J41" s="429">
        <f>IF($M$14&gt;=5,($N$17)*$A$41,"")</f>
        <v>85971.06</v>
      </c>
      <c r="K41" s="429">
        <f>IF($M$14&gt;=6,($N$17)*$A$41,"")</f>
        <v>85971.06</v>
      </c>
      <c r="L41" s="429">
        <f>IF($M$14&gt;=7,($N$17)*$A$41,"")</f>
        <v>85971.06</v>
      </c>
      <c r="M41" s="429">
        <f>IF($M$14&gt;=8,($N$17)*$A$41,"")</f>
        <v>85971.06</v>
      </c>
      <c r="N41" s="429">
        <f>IF($M$14&gt;=9,($N$17)*$A$41,"")</f>
        <v>85971.06</v>
      </c>
      <c r="O41" s="429">
        <f>IF($M$14&gt;=10,($N$17)*$A$41,"")</f>
        <v>85971.06</v>
      </c>
      <c r="P41" s="429">
        <f>IF($M$14&gt;=11,($N$17)*$A$41,"")</f>
        <v>85971.06</v>
      </c>
      <c r="Q41" s="429">
        <f>IF($M$14&gt;=12,($N$17)*$A$41,"")</f>
        <v>85971.06</v>
      </c>
      <c r="R41" s="430">
        <f>IF($M$14&gt;=13,($N$17)*$A$41,"")</f>
        <v>85971.06</v>
      </c>
      <c r="S41" s="319">
        <f t="shared" si="2"/>
        <v>1289565.9000000004</v>
      </c>
      <c r="T41" s="322"/>
      <c r="U41" s="322"/>
      <c r="V41" s="322"/>
      <c r="W41" s="322"/>
      <c r="X41" s="322"/>
      <c r="Y41" s="322"/>
      <c r="Z41" s="322"/>
      <c r="AA41" s="322"/>
      <c r="AB41" s="322"/>
      <c r="AC41" s="230"/>
      <c r="AD41" s="230"/>
      <c r="AE41" s="230"/>
      <c r="AF41" s="230"/>
      <c r="AG41" s="230"/>
      <c r="AH41" s="230"/>
      <c r="AI41" s="230"/>
      <c r="AJ41" s="230"/>
      <c r="AK41" s="230"/>
      <c r="AL41" s="230"/>
      <c r="AM41" s="230"/>
      <c r="AN41" s="230"/>
      <c r="AO41" s="230"/>
      <c r="AP41" s="230"/>
      <c r="AQ41" s="230"/>
      <c r="AR41" s="230"/>
      <c r="AS41" s="230"/>
      <c r="AT41" s="230"/>
      <c r="AU41" s="230"/>
      <c r="AV41" s="230"/>
      <c r="AW41" s="230"/>
      <c r="AX41" s="230"/>
      <c r="AY41" s="230"/>
      <c r="AZ41" s="230"/>
      <c r="BA41" s="230"/>
      <c r="BB41" s="230"/>
      <c r="BC41" s="230"/>
      <c r="BD41" s="230"/>
      <c r="BE41" s="230"/>
      <c r="BF41" s="230"/>
      <c r="BG41" s="230"/>
      <c r="BH41" s="230"/>
      <c r="BI41" s="230"/>
      <c r="BJ41" s="230"/>
      <c r="BK41" s="230"/>
      <c r="BL41" s="230"/>
      <c r="BM41" s="230"/>
      <c r="BN41" s="230"/>
      <c r="BO41" s="230"/>
      <c r="BP41" s="230"/>
      <c r="BQ41" s="230"/>
      <c r="BR41" s="230"/>
      <c r="BS41" s="230"/>
      <c r="BT41" s="230"/>
      <c r="BU41" s="230"/>
      <c r="BV41" s="230"/>
      <c r="BW41" s="230"/>
      <c r="BX41" s="230"/>
      <c r="BY41" s="230"/>
      <c r="BZ41" s="230"/>
      <c r="CA41" s="230"/>
      <c r="CB41" s="230"/>
      <c r="CC41" s="230"/>
      <c r="CD41" s="230"/>
      <c r="CE41" s="230"/>
      <c r="CF41" s="230"/>
      <c r="CG41" s="230"/>
      <c r="CH41" s="230"/>
      <c r="CI41" s="230"/>
      <c r="CJ41" s="230"/>
      <c r="CK41" s="230"/>
      <c r="CL41" s="230"/>
      <c r="CM41" s="230"/>
      <c r="CN41" s="230"/>
      <c r="CO41" s="230"/>
      <c r="CP41" s="230"/>
      <c r="CQ41" s="230"/>
      <c r="CR41" s="230"/>
      <c r="CS41" s="230"/>
      <c r="CT41" s="230"/>
      <c r="CU41" s="230"/>
      <c r="CV41" s="230"/>
      <c r="CW41" s="230"/>
      <c r="CX41" s="230"/>
      <c r="CY41" s="230"/>
      <c r="CZ41" s="230"/>
      <c r="DA41" s="230"/>
      <c r="DB41" s="230"/>
      <c r="DC41" s="230"/>
      <c r="DD41" s="230"/>
      <c r="DE41" s="230"/>
      <c r="DF41" s="230"/>
      <c r="DG41" s="230"/>
      <c r="DH41" s="230"/>
      <c r="DI41" s="230"/>
      <c r="DJ41" s="230"/>
      <c r="DK41" s="230"/>
      <c r="DL41" s="230"/>
      <c r="DM41" s="230"/>
      <c r="DN41" s="230"/>
      <c r="DO41" s="230"/>
      <c r="DP41" s="230"/>
      <c r="DQ41" s="230"/>
      <c r="DR41" s="230"/>
      <c r="DS41" s="230"/>
      <c r="DT41" s="230"/>
      <c r="DU41" s="230"/>
      <c r="DV41" s="230"/>
      <c r="DW41" s="230"/>
      <c r="DX41" s="230"/>
      <c r="DY41" s="230"/>
      <c r="DZ41" s="230"/>
      <c r="EA41" s="230"/>
      <c r="EB41" s="230"/>
      <c r="EC41" s="230"/>
    </row>
    <row r="42" spans="1:321" ht="16.5" outlineLevel="1" thickBot="1">
      <c r="A42" s="313"/>
      <c r="B42" s="341" t="s">
        <v>146</v>
      </c>
      <c r="C42" s="342"/>
      <c r="D42" s="431">
        <f>D41+D40+D39</f>
        <v>511180.46471034142</v>
      </c>
      <c r="E42" s="432">
        <f>E41+E40+E39</f>
        <v>511180.46471034142</v>
      </c>
      <c r="F42" s="432">
        <f>IF($M$14&gt;=1,F41+F40+F39,"")</f>
        <v>511180.46471034142</v>
      </c>
      <c r="G42" s="432">
        <f>IF($M$14&gt;=2,G41+G40+G39,"")</f>
        <v>511180.46471034148</v>
      </c>
      <c r="H42" s="432">
        <f>IF($M$14&gt;=3,H41+H40+H39,"")</f>
        <v>511180.46471034142</v>
      </c>
      <c r="I42" s="432">
        <f>IF($M$14&gt;=4,I41+I40+I39,"")</f>
        <v>511180.46471034142</v>
      </c>
      <c r="J42" s="432">
        <f>IF($M$14&gt;=5,J41+J40+J39,"")</f>
        <v>511180.46471034142</v>
      </c>
      <c r="K42" s="432">
        <f>IF($M$14&gt;=6,K41+K40+K39,"")</f>
        <v>511180.46471034148</v>
      </c>
      <c r="L42" s="432">
        <f>IF($M$14&gt;=7,L41+L40+L39,"")</f>
        <v>511180.46471034148</v>
      </c>
      <c r="M42" s="432">
        <f>IF($M$14&gt;=8,M41+M40+M39,"")</f>
        <v>511180.46471034148</v>
      </c>
      <c r="N42" s="432">
        <f>IF($M$14&gt;=9,N41+N40+N39,"")</f>
        <v>511180.46471034148</v>
      </c>
      <c r="O42" s="432">
        <f>IF($M$14&gt;=10,O41+O40+O39,"")</f>
        <v>511180.46471034153</v>
      </c>
      <c r="P42" s="432">
        <f>IF($M$14&gt;=11,P41+P40+P39,"")</f>
        <v>511180.46471034148</v>
      </c>
      <c r="Q42" s="432">
        <f>IF($M$14&gt;=12,Q41+Q40+Q39,"")</f>
        <v>511180.46471034148</v>
      </c>
      <c r="R42" s="433">
        <f>IF($M$14&gt;=13,R41+R40+R39,"")</f>
        <v>511180.46471034148</v>
      </c>
      <c r="S42" s="343">
        <f t="shared" si="2"/>
        <v>7667706.9706551237</v>
      </c>
      <c r="T42" s="344"/>
      <c r="U42" s="344"/>
      <c r="V42" s="344"/>
      <c r="W42" s="344"/>
      <c r="X42" s="344"/>
      <c r="Y42" s="344"/>
      <c r="Z42" s="344"/>
      <c r="AA42" s="344"/>
      <c r="AB42" s="344"/>
      <c r="AC42" s="230"/>
      <c r="AD42" s="230"/>
      <c r="AE42" s="230"/>
      <c r="AF42" s="230"/>
      <c r="AG42" s="230"/>
      <c r="AH42" s="230"/>
      <c r="AI42" s="230"/>
      <c r="AJ42" s="230"/>
      <c r="AK42" s="230"/>
      <c r="AL42" s="230"/>
      <c r="AM42" s="230"/>
      <c r="AN42" s="230"/>
      <c r="AO42" s="230"/>
      <c r="AP42" s="230"/>
      <c r="AQ42" s="230"/>
      <c r="AR42" s="230"/>
      <c r="AS42" s="230"/>
      <c r="AT42" s="230"/>
      <c r="AU42" s="230"/>
      <c r="AV42" s="230"/>
      <c r="AW42" s="230"/>
      <c r="AX42" s="230"/>
      <c r="AY42" s="230"/>
      <c r="AZ42" s="230"/>
      <c r="BA42" s="230"/>
      <c r="BB42" s="230"/>
      <c r="BC42" s="230"/>
      <c r="BD42" s="230"/>
      <c r="BE42" s="230"/>
      <c r="BF42" s="230"/>
      <c r="BG42" s="230"/>
      <c r="BH42" s="230"/>
      <c r="BI42" s="230"/>
      <c r="BJ42" s="230"/>
      <c r="BK42" s="230"/>
      <c r="BL42" s="230"/>
      <c r="BM42" s="230"/>
      <c r="BN42" s="230"/>
      <c r="BO42" s="230"/>
      <c r="BP42" s="230"/>
      <c r="BQ42" s="230"/>
      <c r="BR42" s="230"/>
      <c r="BS42" s="230"/>
      <c r="BT42" s="230"/>
      <c r="BU42" s="230"/>
      <c r="BV42" s="230"/>
      <c r="BW42" s="230"/>
      <c r="BX42" s="230"/>
      <c r="BY42" s="230"/>
      <c r="BZ42" s="230"/>
      <c r="CA42" s="230"/>
      <c r="CB42" s="230"/>
      <c r="CC42" s="230"/>
      <c r="CD42" s="230"/>
      <c r="CE42" s="230"/>
      <c r="CF42" s="230"/>
      <c r="CG42" s="230"/>
      <c r="CH42" s="230"/>
      <c r="CI42" s="230"/>
      <c r="CJ42" s="230"/>
      <c r="CK42" s="230"/>
      <c r="CL42" s="230"/>
      <c r="CM42" s="230"/>
      <c r="CN42" s="230"/>
      <c r="CO42" s="230"/>
      <c r="CP42" s="230"/>
      <c r="CQ42" s="230"/>
      <c r="CR42" s="230"/>
      <c r="CS42" s="230"/>
      <c r="CT42" s="230"/>
      <c r="CU42" s="230"/>
      <c r="CV42" s="230"/>
      <c r="CW42" s="230"/>
      <c r="CX42" s="230"/>
      <c r="CY42" s="230"/>
      <c r="CZ42" s="230"/>
      <c r="DA42" s="230"/>
      <c r="DB42" s="230"/>
      <c r="DC42" s="230"/>
      <c r="DD42" s="230"/>
      <c r="DE42" s="230"/>
      <c r="DF42" s="230"/>
      <c r="DG42" s="230"/>
      <c r="DH42" s="230"/>
      <c r="DI42" s="230"/>
      <c r="DJ42" s="230"/>
      <c r="DK42" s="230"/>
      <c r="DL42" s="230"/>
      <c r="DM42" s="230"/>
      <c r="DN42" s="230"/>
      <c r="DO42" s="230"/>
      <c r="DP42" s="230"/>
      <c r="DQ42" s="230"/>
      <c r="DR42" s="230"/>
      <c r="DS42" s="230"/>
      <c r="DT42" s="230"/>
      <c r="DU42" s="230"/>
      <c r="DV42" s="230"/>
      <c r="DW42" s="230"/>
      <c r="DX42" s="230"/>
      <c r="DY42" s="230"/>
      <c r="DZ42" s="230"/>
      <c r="EA42" s="230"/>
      <c r="EB42" s="230"/>
      <c r="EC42" s="230"/>
    </row>
    <row r="43" spans="1:321" ht="16.5" outlineLevel="1" thickBot="1">
      <c r="A43" s="313"/>
      <c r="B43" s="264" t="s">
        <v>147</v>
      </c>
      <c r="C43" s="345"/>
      <c r="D43" s="434"/>
      <c r="E43" s="435" t="str">
        <f>IF($M$15=E19,N17,"")</f>
        <v/>
      </c>
      <c r="F43" s="435" t="str">
        <f>IF($M$15=F19,$N$17,"")</f>
        <v/>
      </c>
      <c r="G43" s="435" t="str">
        <f>IF($M$15=G19,N17,"")</f>
        <v/>
      </c>
      <c r="H43" s="435" t="str">
        <f>IF($M$15=H19,N17,"")</f>
        <v/>
      </c>
      <c r="I43" s="435" t="str">
        <f>IF($M$15=I19,N17,"")</f>
        <v/>
      </c>
      <c r="J43" s="435" t="str">
        <f>IF($M$15=J19,N17,"")</f>
        <v/>
      </c>
      <c r="K43" s="435" t="str">
        <f>IF($M$15=K19,N17,"")</f>
        <v/>
      </c>
      <c r="L43" s="435" t="str">
        <f>IF($M$15=L19,N17,"")</f>
        <v/>
      </c>
      <c r="M43" s="435" t="str">
        <f>IF($M$15=M19,N17,"")</f>
        <v/>
      </c>
      <c r="N43" s="435" t="str">
        <f>IF($M$15=N19,N17,"")</f>
        <v/>
      </c>
      <c r="O43" s="435" t="str">
        <f>IF($M$15=O19,N17,"")</f>
        <v/>
      </c>
      <c r="P43" s="435" t="str">
        <f>IF($M$15=P19,N17,"")</f>
        <v/>
      </c>
      <c r="Q43" s="435" t="str">
        <f>IF($M$15=Q19,N17,"")</f>
        <v/>
      </c>
      <c r="R43" s="436">
        <f>IF($M$15=R19,N17,"")</f>
        <v>2773260</v>
      </c>
      <c r="S43" s="319">
        <f t="shared" si="2"/>
        <v>2773260</v>
      </c>
      <c r="T43" s="346"/>
      <c r="U43" s="346"/>
      <c r="V43" s="346"/>
      <c r="W43" s="346"/>
      <c r="X43" s="346"/>
      <c r="Y43" s="346"/>
      <c r="Z43" s="346"/>
      <c r="AA43" s="346"/>
      <c r="AB43" s="346"/>
      <c r="AC43" s="230"/>
      <c r="AD43" s="230"/>
      <c r="AE43" s="230"/>
      <c r="AF43" s="230"/>
      <c r="AG43" s="230"/>
      <c r="AH43" s="230"/>
      <c r="AI43" s="230"/>
      <c r="AJ43" s="230"/>
      <c r="AK43" s="230"/>
      <c r="AL43" s="230"/>
      <c r="AM43" s="230"/>
      <c r="AN43" s="230"/>
      <c r="AO43" s="230"/>
      <c r="AP43" s="230"/>
      <c r="AQ43" s="230"/>
      <c r="AR43" s="230"/>
      <c r="AS43" s="230"/>
      <c r="AT43" s="230"/>
      <c r="AU43" s="230"/>
      <c r="AV43" s="230"/>
      <c r="AW43" s="230"/>
      <c r="AX43" s="230"/>
      <c r="AY43" s="230"/>
      <c r="AZ43" s="230"/>
      <c r="BA43" s="230"/>
      <c r="BB43" s="230"/>
      <c r="BC43" s="230"/>
      <c r="BD43" s="230"/>
      <c r="BE43" s="230"/>
      <c r="BF43" s="230"/>
      <c r="BG43" s="230"/>
      <c r="BH43" s="230"/>
      <c r="BI43" s="230"/>
      <c r="BJ43" s="230"/>
      <c r="BK43" s="230"/>
      <c r="BL43" s="230"/>
      <c r="BM43" s="230"/>
      <c r="BN43" s="230"/>
      <c r="BO43" s="230"/>
      <c r="BP43" s="230"/>
      <c r="BQ43" s="230"/>
      <c r="BR43" s="230"/>
      <c r="BS43" s="230"/>
      <c r="BT43" s="230"/>
      <c r="BU43" s="230"/>
      <c r="BV43" s="230"/>
      <c r="BW43" s="230"/>
      <c r="BX43" s="230"/>
      <c r="BY43" s="230"/>
      <c r="BZ43" s="230"/>
      <c r="CA43" s="230"/>
      <c r="CB43" s="230"/>
      <c r="CC43" s="230"/>
      <c r="CD43" s="230"/>
      <c r="CE43" s="230"/>
      <c r="CF43" s="230"/>
      <c r="CG43" s="230"/>
      <c r="CH43" s="230"/>
      <c r="CI43" s="230"/>
      <c r="CJ43" s="230"/>
      <c r="CK43" s="230"/>
      <c r="CL43" s="230"/>
      <c r="CM43" s="230"/>
      <c r="CN43" s="230"/>
      <c r="CO43" s="230"/>
      <c r="CP43" s="230"/>
      <c r="CQ43" s="230"/>
      <c r="CR43" s="230"/>
      <c r="CS43" s="230"/>
      <c r="CT43" s="230"/>
      <c r="CU43" s="230"/>
      <c r="CV43" s="230"/>
      <c r="CW43" s="230"/>
      <c r="CX43" s="230"/>
      <c r="CY43" s="230"/>
      <c r="CZ43" s="230"/>
      <c r="DA43" s="230"/>
      <c r="DB43" s="230"/>
      <c r="DC43" s="230"/>
      <c r="DD43" s="230"/>
      <c r="DE43" s="230"/>
      <c r="DF43" s="230"/>
      <c r="DG43" s="230"/>
      <c r="DH43" s="230"/>
      <c r="DI43" s="230"/>
      <c r="DJ43" s="230"/>
      <c r="DK43" s="230"/>
      <c r="DL43" s="230"/>
      <c r="DM43" s="230"/>
      <c r="DN43" s="230"/>
      <c r="DO43" s="230"/>
      <c r="DP43" s="230"/>
      <c r="DQ43" s="230"/>
      <c r="DR43" s="230"/>
      <c r="DS43" s="230"/>
      <c r="DT43" s="230"/>
      <c r="DU43" s="230"/>
      <c r="DV43" s="230"/>
      <c r="DW43" s="230"/>
      <c r="DX43" s="230"/>
      <c r="DY43" s="230"/>
      <c r="DZ43" s="230"/>
      <c r="EA43" s="230"/>
      <c r="EB43" s="230"/>
      <c r="EC43" s="230"/>
    </row>
    <row r="44" spans="1:321" ht="16.5" thickBot="1">
      <c r="A44" s="313"/>
      <c r="B44" s="347" t="s">
        <v>148</v>
      </c>
      <c r="C44" s="348">
        <f>-SUM(C25:C43)</f>
        <v>-10700000</v>
      </c>
      <c r="D44" s="348">
        <f>-SUM(D25:D38)-D42</f>
        <v>-1763430.4647103413</v>
      </c>
      <c r="E44" s="437">
        <f>IF($M$14=1,-SUM(E25:E41)+$S$43,IF($M$14&gt;1,-SUM(E25:E43)+E42,""))</f>
        <v>-1792240.8457639129</v>
      </c>
      <c r="F44" s="437">
        <f>IF($M$14=2,-SUM(F25:F41)+$S$43,IF($M$14&gt;2,-SUM(F25:F43)+F42,""))</f>
        <v>-590075.43136391265</v>
      </c>
      <c r="G44" s="437">
        <f>IF($M$14=3,-SUM(G25:G41)+$S$43,IF($M$14&gt;3,-SUM(G25:G43)+G42,""))</f>
        <v>-579962.89536391292</v>
      </c>
      <c r="H44" s="437">
        <f>IF($M$14=4,-SUM(H25:H41)+$S$43,IF($M$14&gt;4,-SUM(H25:H43)+H42,""))</f>
        <v>-579962.85936391295</v>
      </c>
      <c r="I44" s="437">
        <f>IF($M$14=5,-SUM(I25:I41)+$S$43,IF($M$14&gt;5,-SUM(I25:I43)+I42,""))</f>
        <v>-579962.82336391264</v>
      </c>
      <c r="J44" s="437">
        <f>IF($M$14=6,-SUM(J25:J41)+$S$43,IF($M$14&gt;6,-SUM(J25:J43)+J42,""))</f>
        <v>-580188.2116677555</v>
      </c>
      <c r="K44" s="437">
        <f>IF($M$14=7,-SUM(K25:K41)+$S$43,IF($M$14&gt;7,-SUM(K25:K43)+K42,""))</f>
        <v>-580416.30463124462</v>
      </c>
      <c r="L44" s="437">
        <f>IF($M$14=8,-SUM(L25:L41)+$S$43,IF($M$14&gt;8,-SUM(L25:L43)+L42,""))</f>
        <v>-580647.13471029559</v>
      </c>
      <c r="M44" s="437">
        <f>IF($M$14=9,-SUM(M25:M41)+$S$43,IF($M$14&gt;9,-SUM(M25:M43)+M42,""))</f>
        <v>-580880.73475029506</v>
      </c>
      <c r="N44" s="437">
        <f>IF($M$14=10,-SUM(N25:N41)+$S$43,IF($M$14&gt;10,-SUM(N25:N43)+N42,""))</f>
        <v>-581117.13799077435</v>
      </c>
      <c r="O44" s="437">
        <f>IF($M$14=11,-SUM(O25:O41)+$S$43,IF($M$14&gt;11,-SUM(O25:O43)+O42,""))</f>
        <v>-581356.37807013979</v>
      </c>
      <c r="P44" s="437">
        <f>IF($M$14=12,-SUM(P25:P41)+$S$43,IF($M$14&gt;12,-SUM(P25:P43)+P42,""))</f>
        <v>-581598.4890304571</v>
      </c>
      <c r="Q44" s="437">
        <f>IF($M$14=13,-SUM(Q25:Q41)+$S$43,IF($M$14&gt;13,-SUM(Q25:Q43)+Q42,""))</f>
        <v>-581843.5053222985</v>
      </c>
      <c r="R44" s="343">
        <f>IF($M$14=14,-SUM(R25:R41)+$S$43,IF($M$14&gt;14,-SUM(R25:R43)+R42,""))</f>
        <v>-3355351.4618096421</v>
      </c>
      <c r="S44" s="343">
        <f t="shared" si="2"/>
        <v>-24589034.677912809</v>
      </c>
      <c r="T44" s="349"/>
      <c r="U44" s="349"/>
      <c r="V44" s="349"/>
      <c r="W44" s="349"/>
      <c r="X44" s="349"/>
      <c r="Y44" s="349"/>
      <c r="Z44" s="349"/>
      <c r="AA44" s="349"/>
      <c r="AB44" s="349"/>
      <c r="AC44" s="230"/>
      <c r="AD44" s="230"/>
      <c r="AE44" s="230"/>
      <c r="AF44" s="230"/>
      <c r="AG44" s="230"/>
      <c r="AH44" s="230"/>
      <c r="AI44" s="230"/>
      <c r="AJ44" s="230"/>
      <c r="AK44" s="230"/>
      <c r="AL44" s="230"/>
      <c r="AM44" s="230"/>
      <c r="AN44" s="230"/>
      <c r="AO44" s="230"/>
      <c r="AP44" s="230"/>
      <c r="AQ44" s="230"/>
      <c r="AR44" s="230"/>
      <c r="AS44" s="230"/>
      <c r="AT44" s="230"/>
      <c r="AU44" s="230"/>
      <c r="AV44" s="230"/>
      <c r="AW44" s="230"/>
      <c r="AX44" s="230"/>
      <c r="AY44" s="230"/>
      <c r="AZ44" s="230"/>
      <c r="BA44" s="230"/>
      <c r="BB44" s="230"/>
      <c r="BC44" s="230"/>
      <c r="BD44" s="230"/>
      <c r="BE44" s="230"/>
      <c r="BF44" s="230"/>
      <c r="BG44" s="230"/>
      <c r="BH44" s="230"/>
      <c r="BI44" s="230"/>
      <c r="BJ44" s="230"/>
      <c r="BK44" s="230"/>
      <c r="BL44" s="230"/>
      <c r="BM44" s="230"/>
      <c r="BN44" s="230"/>
      <c r="BO44" s="230"/>
      <c r="BP44" s="230"/>
      <c r="BQ44" s="230"/>
      <c r="BR44" s="230"/>
      <c r="BS44" s="230"/>
      <c r="BT44" s="230"/>
      <c r="BU44" s="230"/>
      <c r="BV44" s="230"/>
      <c r="BW44" s="230"/>
      <c r="BX44" s="230"/>
      <c r="BY44" s="230"/>
      <c r="BZ44" s="230"/>
      <c r="CA44" s="230"/>
      <c r="CB44" s="230"/>
      <c r="CC44" s="230"/>
      <c r="CD44" s="230"/>
      <c r="CE44" s="230"/>
      <c r="CF44" s="230"/>
      <c r="CG44" s="230"/>
      <c r="CH44" s="230"/>
      <c r="CI44" s="230"/>
      <c r="CJ44" s="230"/>
      <c r="CK44" s="230"/>
      <c r="CL44" s="230"/>
      <c r="CM44" s="230"/>
      <c r="CN44" s="230"/>
      <c r="CO44" s="230"/>
      <c r="CP44" s="230"/>
      <c r="CQ44" s="230"/>
      <c r="CR44" s="230"/>
      <c r="CS44" s="230"/>
      <c r="CT44" s="230"/>
      <c r="CU44" s="230"/>
      <c r="CV44" s="230"/>
      <c r="CW44" s="230"/>
      <c r="CX44" s="230"/>
      <c r="CY44" s="230"/>
      <c r="CZ44" s="230"/>
      <c r="DA44" s="230"/>
      <c r="DB44" s="230"/>
      <c r="DC44" s="230"/>
      <c r="DD44" s="230"/>
      <c r="DE44" s="230"/>
      <c r="DF44" s="230"/>
      <c r="DG44" s="230"/>
      <c r="DH44" s="230"/>
      <c r="DI44" s="230"/>
      <c r="DJ44" s="230"/>
      <c r="DK44" s="230"/>
      <c r="DL44" s="230"/>
      <c r="DM44" s="230"/>
      <c r="DN44" s="230"/>
      <c r="DO44" s="230"/>
      <c r="DP44" s="230"/>
      <c r="DQ44" s="230"/>
      <c r="DR44" s="230"/>
      <c r="DS44" s="230"/>
      <c r="DT44" s="230"/>
      <c r="DU44" s="230"/>
      <c r="DV44" s="230"/>
      <c r="DW44" s="230"/>
      <c r="DX44" s="230"/>
      <c r="DY44" s="230"/>
      <c r="DZ44" s="230"/>
      <c r="EA44" s="230"/>
      <c r="EB44" s="230"/>
      <c r="EC44" s="230"/>
    </row>
    <row r="45" spans="1:321" outlineLevel="1">
      <c r="A45" s="313"/>
      <c r="B45" s="350" t="s">
        <v>149</v>
      </c>
      <c r="C45" s="351"/>
      <c r="D45" s="351"/>
      <c r="E45" s="351" t="str">
        <f>IF($M$14=1,$D$17/$A$46,"")</f>
        <v/>
      </c>
      <c r="F45" s="351" t="str">
        <f>IF($M$14=2,$D$17/$A$46,"")</f>
        <v/>
      </c>
      <c r="G45" s="351" t="str">
        <f>IF($M$14=3,$D$17/$A$46,"")</f>
        <v/>
      </c>
      <c r="H45" s="351" t="str">
        <f>IF($M$14=4,$D$17/$A$46,"")</f>
        <v/>
      </c>
      <c r="I45" s="351" t="str">
        <f>IF($M$14=5,$D$17/$A$46,"")</f>
        <v/>
      </c>
      <c r="J45" s="351" t="str">
        <f>IF($M$14=6,$D$17/$A$46,"")</f>
        <v/>
      </c>
      <c r="K45" s="351" t="str">
        <f>IF($M$14=7,$D$17/$A$46,"")</f>
        <v/>
      </c>
      <c r="L45" s="351" t="str">
        <f>IF($M$14=8,$D$17/$A$46,"")</f>
        <v/>
      </c>
      <c r="M45" s="351" t="str">
        <f>IF($M$14=9,$D$17/$A$46,"")</f>
        <v/>
      </c>
      <c r="N45" s="351" t="str">
        <f>IF($M$14=10,$D$17/$A$46,"")</f>
        <v/>
      </c>
      <c r="O45" s="351" t="str">
        <f>IF($M$14=11,$D$17/$A$46,"")</f>
        <v/>
      </c>
      <c r="P45" s="351" t="str">
        <f>IF($M$14=12,$D$17/$A$46,"")</f>
        <v/>
      </c>
      <c r="Q45" s="351" t="str">
        <f>IF($M$14=13,$D$17/$A$46,"")</f>
        <v/>
      </c>
      <c r="R45" s="438">
        <f>$D$17/$A$46</f>
        <v>19009997.581182398</v>
      </c>
      <c r="S45" s="311">
        <f t="shared" si="2"/>
        <v>19009997.581182398</v>
      </c>
      <c r="T45" s="352"/>
      <c r="U45" s="353"/>
      <c r="V45" s="353"/>
      <c r="W45" s="353"/>
      <c r="X45" s="353"/>
      <c r="Y45" s="353"/>
      <c r="Z45" s="353"/>
      <c r="AA45" s="353"/>
      <c r="AB45" s="353"/>
      <c r="AC45" s="230"/>
      <c r="AD45" s="230"/>
      <c r="AE45" s="230"/>
      <c r="AF45" s="230"/>
      <c r="AG45" s="230"/>
      <c r="AH45" s="230"/>
      <c r="AI45" s="230"/>
      <c r="AJ45" s="230"/>
      <c r="AK45" s="230"/>
      <c r="AL45" s="230"/>
      <c r="AM45" s="230"/>
      <c r="AN45" s="230"/>
      <c r="AO45" s="230"/>
      <c r="AP45" s="230"/>
      <c r="AQ45" s="230"/>
      <c r="AR45" s="230"/>
      <c r="AS45" s="230"/>
      <c r="AT45" s="230"/>
      <c r="AU45" s="230"/>
      <c r="AV45" s="230"/>
      <c r="AW45" s="230"/>
      <c r="AX45" s="230"/>
      <c r="AY45" s="230"/>
      <c r="AZ45" s="230"/>
      <c r="BA45" s="230"/>
      <c r="BB45" s="230"/>
      <c r="BC45" s="230"/>
      <c r="BD45" s="230"/>
      <c r="BE45" s="230"/>
      <c r="BF45" s="230"/>
      <c r="BG45" s="230"/>
      <c r="BH45" s="230"/>
      <c r="BI45" s="230"/>
      <c r="BJ45" s="230"/>
      <c r="BK45" s="230"/>
      <c r="BL45" s="230"/>
      <c r="BM45" s="230"/>
      <c r="BN45" s="230"/>
      <c r="BO45" s="230"/>
      <c r="BP45" s="230"/>
      <c r="BQ45" s="230"/>
      <c r="BR45" s="230"/>
      <c r="BS45" s="230"/>
      <c r="BT45" s="230"/>
      <c r="BU45" s="230"/>
      <c r="BV45" s="230"/>
      <c r="BW45" s="230"/>
      <c r="BX45" s="230"/>
      <c r="BY45" s="230"/>
      <c r="BZ45" s="230"/>
      <c r="CA45" s="230"/>
      <c r="CB45" s="230"/>
      <c r="CC45" s="230"/>
      <c r="CD45" s="230"/>
      <c r="CE45" s="230"/>
      <c r="CF45" s="230"/>
      <c r="CG45" s="230"/>
      <c r="CH45" s="230"/>
      <c r="CI45" s="230"/>
      <c r="CJ45" s="230"/>
      <c r="CK45" s="230"/>
      <c r="CL45" s="230"/>
      <c r="CM45" s="230"/>
      <c r="CN45" s="230"/>
      <c r="CO45" s="230"/>
      <c r="CP45" s="230"/>
      <c r="CQ45" s="230"/>
      <c r="CR45" s="230"/>
      <c r="CS45" s="230"/>
      <c r="CT45" s="230"/>
      <c r="CU45" s="230"/>
      <c r="CV45" s="230"/>
      <c r="CW45" s="230"/>
      <c r="CX45" s="230"/>
      <c r="CY45" s="230"/>
      <c r="CZ45" s="230"/>
      <c r="DA45" s="230"/>
      <c r="DB45" s="230"/>
      <c r="DC45" s="230"/>
      <c r="DD45" s="230"/>
      <c r="DE45" s="230"/>
      <c r="DF45" s="230"/>
      <c r="DG45" s="230"/>
      <c r="DH45" s="230"/>
      <c r="DI45" s="230"/>
      <c r="DJ45" s="230"/>
      <c r="DK45" s="230"/>
      <c r="DL45" s="230"/>
      <c r="DM45" s="230"/>
      <c r="DN45" s="230"/>
      <c r="DO45" s="230"/>
      <c r="DP45" s="230"/>
      <c r="DQ45" s="230"/>
      <c r="DR45" s="230"/>
      <c r="DS45" s="230"/>
      <c r="DT45" s="230"/>
      <c r="DU45" s="230"/>
      <c r="DV45" s="230"/>
      <c r="DW45" s="230"/>
      <c r="DX45" s="230"/>
      <c r="DY45" s="230"/>
      <c r="DZ45" s="230"/>
      <c r="EA45" s="230"/>
      <c r="EB45" s="230"/>
      <c r="EC45" s="230"/>
    </row>
    <row r="46" spans="1:321" outlineLevel="1">
      <c r="A46" s="354">
        <f>Assumptions!D32</f>
        <v>5.5E-2</v>
      </c>
      <c r="B46" s="264" t="s">
        <v>170</v>
      </c>
      <c r="C46" s="355"/>
      <c r="D46" s="355"/>
      <c r="E46" s="355"/>
      <c r="F46" s="355"/>
      <c r="G46" s="355"/>
      <c r="H46" s="355"/>
      <c r="I46" s="355"/>
      <c r="J46" s="355"/>
      <c r="K46" s="355"/>
      <c r="L46" s="355"/>
      <c r="M46" s="355"/>
      <c r="N46" s="355"/>
      <c r="O46" s="355"/>
      <c r="P46" s="355"/>
      <c r="Q46" s="355"/>
      <c r="R46" s="311"/>
      <c r="S46" s="311">
        <f t="shared" ref="S46:S51" si="5">SUM(C46:R46)</f>
        <v>0</v>
      </c>
      <c r="T46" s="292"/>
      <c r="U46" s="292"/>
      <c r="V46" s="292"/>
      <c r="W46" s="292"/>
      <c r="X46" s="292"/>
      <c r="Y46" s="292"/>
      <c r="Z46" s="292"/>
      <c r="AA46" s="292"/>
      <c r="AB46" s="292"/>
      <c r="AC46" s="230"/>
      <c r="AD46" s="230"/>
      <c r="AE46" s="230"/>
      <c r="AF46" s="230"/>
      <c r="AG46" s="230"/>
      <c r="AH46" s="230"/>
      <c r="AI46" s="230"/>
      <c r="AJ46" s="230"/>
      <c r="AK46" s="230"/>
      <c r="AL46" s="230"/>
      <c r="AM46" s="230"/>
      <c r="AN46" s="230"/>
      <c r="AO46" s="230"/>
      <c r="AP46" s="230"/>
      <c r="AQ46" s="230"/>
      <c r="AR46" s="230"/>
      <c r="AS46" s="230"/>
      <c r="AT46" s="230"/>
      <c r="AU46" s="230"/>
      <c r="AV46" s="230"/>
      <c r="AW46" s="230"/>
      <c r="AX46" s="230"/>
      <c r="AY46" s="230"/>
      <c r="AZ46" s="230"/>
      <c r="BA46" s="230"/>
      <c r="BB46" s="230"/>
      <c r="BC46" s="230"/>
      <c r="BD46" s="230"/>
      <c r="BE46" s="230"/>
      <c r="BF46" s="230"/>
      <c r="BG46" s="230"/>
      <c r="BH46" s="230"/>
      <c r="BI46" s="230"/>
      <c r="BJ46" s="230"/>
      <c r="BK46" s="230"/>
      <c r="BL46" s="230"/>
      <c r="BM46" s="230"/>
      <c r="BN46" s="230"/>
      <c r="BO46" s="230"/>
      <c r="BP46" s="230"/>
      <c r="BQ46" s="230"/>
      <c r="BR46" s="230"/>
      <c r="BS46" s="230"/>
      <c r="BT46" s="230"/>
      <c r="BU46" s="230"/>
      <c r="BV46" s="230"/>
      <c r="BW46" s="230"/>
      <c r="BX46" s="230"/>
      <c r="BY46" s="230"/>
      <c r="BZ46" s="230"/>
      <c r="CA46" s="230"/>
      <c r="CB46" s="230"/>
      <c r="CC46" s="230"/>
      <c r="CD46" s="230"/>
      <c r="CE46" s="230"/>
      <c r="CF46" s="230"/>
      <c r="CG46" s="230"/>
      <c r="CH46" s="230"/>
      <c r="CI46" s="230"/>
      <c r="CJ46" s="230"/>
      <c r="CK46" s="230"/>
      <c r="CL46" s="230"/>
      <c r="CM46" s="230"/>
      <c r="CN46" s="230"/>
      <c r="CO46" s="230"/>
      <c r="CP46" s="230"/>
      <c r="CQ46" s="230"/>
      <c r="CR46" s="230"/>
      <c r="CS46" s="230"/>
      <c r="CT46" s="230"/>
      <c r="CU46" s="230"/>
      <c r="CV46" s="230"/>
      <c r="CW46" s="230"/>
      <c r="CX46" s="230"/>
      <c r="CY46" s="230"/>
      <c r="CZ46" s="230"/>
      <c r="DA46" s="230"/>
      <c r="DB46" s="230"/>
      <c r="DC46" s="230"/>
      <c r="DD46" s="230"/>
      <c r="DE46" s="230"/>
      <c r="DF46" s="230"/>
      <c r="DG46" s="230"/>
      <c r="DH46" s="230"/>
      <c r="DI46" s="230"/>
      <c r="DJ46" s="230"/>
      <c r="DK46" s="230"/>
      <c r="DL46" s="230"/>
      <c r="DM46" s="230"/>
      <c r="DN46" s="230"/>
      <c r="DO46" s="230"/>
      <c r="DP46" s="230"/>
      <c r="DQ46" s="230"/>
      <c r="DR46" s="230"/>
      <c r="DS46" s="230"/>
      <c r="DT46" s="230"/>
      <c r="DU46" s="230"/>
      <c r="DV46" s="230"/>
      <c r="DW46" s="230"/>
      <c r="DX46" s="230"/>
      <c r="DY46" s="230"/>
      <c r="DZ46" s="230"/>
      <c r="EA46" s="230"/>
      <c r="EB46" s="230"/>
      <c r="EC46" s="230"/>
    </row>
    <row r="47" spans="1:321" outlineLevel="1">
      <c r="A47" s="357">
        <v>5.0000000000000001E-3</v>
      </c>
      <c r="B47" s="358" t="s">
        <v>152</v>
      </c>
      <c r="C47" s="355"/>
      <c r="D47" s="355"/>
      <c r="E47" s="355"/>
      <c r="F47" s="355"/>
      <c r="G47" s="355"/>
      <c r="H47" s="355"/>
      <c r="I47" s="355"/>
      <c r="J47" s="355"/>
      <c r="K47" s="355"/>
      <c r="L47" s="355"/>
      <c r="M47" s="355"/>
      <c r="N47" s="355"/>
      <c r="O47" s="355"/>
      <c r="P47" s="355"/>
      <c r="Q47" s="355"/>
      <c r="R47" s="311">
        <f>-$R$45*A47</f>
        <v>-95049.987905911985</v>
      </c>
      <c r="S47" s="311">
        <f t="shared" si="5"/>
        <v>-95049.987905911985</v>
      </c>
      <c r="T47" s="292"/>
      <c r="U47" s="292"/>
      <c r="V47" s="292"/>
      <c r="W47" s="292"/>
      <c r="X47" s="292"/>
      <c r="Y47" s="292"/>
      <c r="Z47" s="292"/>
      <c r="AA47" s="292"/>
      <c r="AB47" s="292"/>
      <c r="AC47" s="230"/>
      <c r="AD47" s="230"/>
      <c r="AE47" s="230"/>
      <c r="AF47" s="230"/>
      <c r="AG47" s="230"/>
      <c r="AH47" s="230"/>
      <c r="AI47" s="230"/>
      <c r="AJ47" s="230"/>
      <c r="AK47" s="230"/>
      <c r="AL47" s="230"/>
      <c r="AM47" s="230"/>
      <c r="AN47" s="230"/>
      <c r="AO47" s="230"/>
      <c r="AP47" s="230"/>
      <c r="AQ47" s="230"/>
      <c r="AR47" s="230"/>
      <c r="AS47" s="230"/>
      <c r="AT47" s="230"/>
      <c r="AU47" s="230"/>
      <c r="AV47" s="230"/>
      <c r="AW47" s="230"/>
      <c r="AX47" s="230"/>
      <c r="AY47" s="230"/>
      <c r="AZ47" s="230"/>
      <c r="BA47" s="230"/>
      <c r="BB47" s="230"/>
      <c r="BC47" s="230"/>
      <c r="BD47" s="230"/>
      <c r="BE47" s="230"/>
      <c r="BF47" s="230"/>
      <c r="BG47" s="230"/>
      <c r="BH47" s="230"/>
      <c r="BI47" s="230"/>
      <c r="BJ47" s="230"/>
      <c r="BK47" s="230"/>
      <c r="BL47" s="230"/>
      <c r="BM47" s="230"/>
      <c r="BN47" s="230"/>
      <c r="BO47" s="230"/>
      <c r="BP47" s="230"/>
      <c r="BQ47" s="230"/>
      <c r="BR47" s="230"/>
      <c r="BS47" s="230"/>
      <c r="BT47" s="230"/>
      <c r="BU47" s="230"/>
      <c r="BV47" s="230"/>
      <c r="BW47" s="230"/>
      <c r="BX47" s="230"/>
      <c r="BY47" s="230"/>
      <c r="BZ47" s="230"/>
      <c r="CA47" s="230"/>
      <c r="CB47" s="230"/>
      <c r="CC47" s="230"/>
      <c r="CD47" s="230"/>
      <c r="CE47" s="230"/>
      <c r="CF47" s="230"/>
      <c r="CG47" s="230"/>
      <c r="CH47" s="230"/>
      <c r="CI47" s="230"/>
      <c r="CJ47" s="230"/>
      <c r="CK47" s="230"/>
      <c r="CL47" s="230"/>
      <c r="CM47" s="230"/>
      <c r="CN47" s="230"/>
      <c r="CO47" s="230"/>
      <c r="CP47" s="230"/>
      <c r="CQ47" s="230"/>
      <c r="CR47" s="230"/>
      <c r="CS47" s="230"/>
      <c r="CT47" s="230"/>
      <c r="CU47" s="230"/>
      <c r="CV47" s="230"/>
      <c r="CW47" s="230"/>
      <c r="CX47" s="230"/>
      <c r="CY47" s="230"/>
      <c r="CZ47" s="230"/>
      <c r="DA47" s="230"/>
      <c r="DB47" s="230"/>
      <c r="DC47" s="230"/>
      <c r="DD47" s="230"/>
      <c r="DE47" s="230"/>
      <c r="DF47" s="230"/>
      <c r="DG47" s="230"/>
      <c r="DH47" s="230"/>
      <c r="DI47" s="230"/>
      <c r="DJ47" s="230"/>
      <c r="DK47" s="230"/>
      <c r="DL47" s="230"/>
      <c r="DM47" s="230"/>
      <c r="DN47" s="230"/>
      <c r="DO47" s="230"/>
      <c r="DP47" s="230"/>
      <c r="DQ47" s="230"/>
      <c r="DR47" s="230"/>
      <c r="DS47" s="230"/>
      <c r="DT47" s="230"/>
      <c r="DU47" s="230"/>
      <c r="DV47" s="230"/>
      <c r="DW47" s="230"/>
      <c r="DX47" s="230"/>
      <c r="DY47" s="230"/>
      <c r="DZ47" s="230"/>
      <c r="EA47" s="230"/>
      <c r="EB47" s="230"/>
      <c r="EC47" s="230"/>
    </row>
    <row r="48" spans="1:321" outlineLevel="1">
      <c r="A48" s="325">
        <v>5.0000000000000001E-3</v>
      </c>
      <c r="B48" s="359" t="s">
        <v>151</v>
      </c>
      <c r="C48" s="355"/>
      <c r="D48" s="355"/>
      <c r="E48" s="355"/>
      <c r="F48" s="355"/>
      <c r="G48" s="355"/>
      <c r="H48" s="355"/>
      <c r="I48" s="355"/>
      <c r="J48" s="355"/>
      <c r="K48" s="355"/>
      <c r="L48" s="355"/>
      <c r="M48" s="355"/>
      <c r="N48" s="355"/>
      <c r="O48" s="355"/>
      <c r="P48" s="355"/>
      <c r="Q48" s="355"/>
      <c r="R48" s="311">
        <f>-$R$45*A48</f>
        <v>-95049.987905911985</v>
      </c>
      <c r="S48" s="311">
        <f t="shared" si="5"/>
        <v>-95049.987905911985</v>
      </c>
      <c r="T48" s="292"/>
      <c r="U48" s="292"/>
      <c r="V48" s="292"/>
      <c r="W48" s="292"/>
      <c r="X48" s="292"/>
      <c r="Y48" s="292"/>
      <c r="Z48" s="292"/>
      <c r="AA48" s="292"/>
      <c r="AB48" s="292"/>
      <c r="AC48" s="230"/>
      <c r="AD48" s="230"/>
      <c r="AE48" s="230"/>
      <c r="AF48" s="230"/>
      <c r="AG48" s="230"/>
      <c r="AH48" s="230"/>
      <c r="AI48" s="230"/>
      <c r="AJ48" s="230"/>
      <c r="AK48" s="230"/>
      <c r="AL48" s="230"/>
      <c r="AM48" s="230"/>
      <c r="AN48" s="230"/>
      <c r="AO48" s="230"/>
      <c r="AP48" s="230"/>
      <c r="AQ48" s="230"/>
      <c r="AR48" s="230"/>
      <c r="AS48" s="230"/>
      <c r="AT48" s="230"/>
      <c r="AU48" s="230"/>
      <c r="AV48" s="230"/>
      <c r="AW48" s="230"/>
      <c r="AX48" s="230"/>
      <c r="AY48" s="230"/>
      <c r="AZ48" s="230"/>
      <c r="BA48" s="230"/>
      <c r="BB48" s="230"/>
      <c r="BC48" s="230"/>
      <c r="BD48" s="230"/>
      <c r="BE48" s="230"/>
      <c r="BF48" s="230"/>
      <c r="BG48" s="230"/>
      <c r="BH48" s="230"/>
      <c r="BI48" s="230"/>
      <c r="BJ48" s="230"/>
      <c r="BK48" s="230"/>
      <c r="BL48" s="230"/>
      <c r="BM48" s="230"/>
      <c r="BN48" s="230"/>
      <c r="BO48" s="230"/>
      <c r="BP48" s="230"/>
      <c r="BQ48" s="230"/>
      <c r="BR48" s="230"/>
      <c r="BS48" s="230"/>
      <c r="BT48" s="230"/>
      <c r="BU48" s="230"/>
      <c r="BV48" s="230"/>
      <c r="BW48" s="230"/>
      <c r="BX48" s="230"/>
      <c r="BY48" s="230"/>
      <c r="BZ48" s="230"/>
      <c r="CA48" s="230"/>
      <c r="CB48" s="230"/>
      <c r="CC48" s="230"/>
      <c r="CD48" s="230"/>
      <c r="CE48" s="230"/>
      <c r="CF48" s="230"/>
      <c r="CG48" s="230"/>
      <c r="CH48" s="230"/>
      <c r="CI48" s="230"/>
      <c r="CJ48" s="230"/>
      <c r="CK48" s="230"/>
      <c r="CL48" s="230"/>
      <c r="CM48" s="230"/>
      <c r="CN48" s="230"/>
      <c r="CO48" s="230"/>
      <c r="CP48" s="230"/>
      <c r="CQ48" s="230"/>
      <c r="CR48" s="230"/>
      <c r="CS48" s="230"/>
      <c r="CT48" s="230"/>
      <c r="CU48" s="230"/>
      <c r="CV48" s="230"/>
      <c r="CW48" s="230"/>
      <c r="CX48" s="230"/>
      <c r="CY48" s="230"/>
      <c r="CZ48" s="230"/>
      <c r="DA48" s="230"/>
      <c r="DB48" s="230"/>
      <c r="DC48" s="230"/>
      <c r="DD48" s="230"/>
      <c r="DE48" s="230"/>
      <c r="DF48" s="230"/>
      <c r="DG48" s="230"/>
      <c r="DH48" s="230"/>
      <c r="DI48" s="230"/>
      <c r="DJ48" s="230"/>
      <c r="DK48" s="230"/>
      <c r="DL48" s="230"/>
      <c r="DM48" s="230"/>
      <c r="DN48" s="230"/>
      <c r="DO48" s="230"/>
      <c r="DP48" s="230"/>
      <c r="DQ48" s="230"/>
      <c r="DR48" s="230"/>
      <c r="DS48" s="230"/>
      <c r="DT48" s="230"/>
      <c r="DU48" s="230"/>
      <c r="DV48" s="230"/>
      <c r="DW48" s="230"/>
      <c r="DX48" s="230"/>
      <c r="DY48" s="230"/>
      <c r="DZ48" s="230"/>
      <c r="EA48" s="230"/>
      <c r="EB48" s="230"/>
      <c r="EC48" s="230"/>
    </row>
    <row r="49" spans="1:133" outlineLevel="1">
      <c r="A49" s="325">
        <v>0.01</v>
      </c>
      <c r="B49" s="359" t="s">
        <v>150</v>
      </c>
      <c r="C49" s="355"/>
      <c r="D49" s="355"/>
      <c r="E49" s="355"/>
      <c r="F49" s="355"/>
      <c r="G49" s="355"/>
      <c r="H49" s="355"/>
      <c r="I49" s="355"/>
      <c r="J49" s="355"/>
      <c r="K49" s="355"/>
      <c r="L49" s="355"/>
      <c r="M49" s="355"/>
      <c r="N49" s="355"/>
      <c r="O49" s="355"/>
      <c r="P49" s="355"/>
      <c r="Q49" s="355"/>
      <c r="R49" s="311">
        <f>-$R$45*A49</f>
        <v>-190099.97581182397</v>
      </c>
      <c r="S49" s="311">
        <f t="shared" si="5"/>
        <v>-190099.97581182397</v>
      </c>
      <c r="T49" s="292"/>
      <c r="U49" s="292"/>
      <c r="V49" s="292"/>
      <c r="W49" s="292"/>
      <c r="X49" s="292"/>
      <c r="Y49" s="292"/>
      <c r="Z49" s="292"/>
      <c r="AA49" s="292"/>
      <c r="AB49" s="292"/>
      <c r="AC49" s="230"/>
      <c r="AD49" s="230"/>
      <c r="AE49" s="230"/>
      <c r="AF49" s="230"/>
      <c r="AG49" s="230"/>
      <c r="AH49" s="230"/>
      <c r="AI49" s="230"/>
      <c r="AJ49" s="230"/>
      <c r="AK49" s="230"/>
      <c r="AL49" s="230"/>
      <c r="AM49" s="230"/>
      <c r="AN49" s="230"/>
      <c r="AO49" s="230"/>
      <c r="AP49" s="230"/>
      <c r="AQ49" s="230"/>
      <c r="AR49" s="230"/>
      <c r="AS49" s="230"/>
      <c r="AT49" s="230"/>
      <c r="AU49" s="230"/>
      <c r="AV49" s="230"/>
      <c r="AW49" s="230"/>
      <c r="AX49" s="230"/>
      <c r="AY49" s="230"/>
      <c r="AZ49" s="230"/>
      <c r="BA49" s="230"/>
      <c r="BB49" s="230"/>
      <c r="BC49" s="230"/>
      <c r="BD49" s="230"/>
      <c r="BE49" s="230"/>
      <c r="BF49" s="230"/>
      <c r="BG49" s="230"/>
      <c r="BH49" s="230"/>
      <c r="BI49" s="230"/>
      <c r="BJ49" s="230"/>
      <c r="BK49" s="230"/>
      <c r="BL49" s="230"/>
      <c r="BM49" s="230"/>
      <c r="BN49" s="230"/>
      <c r="BO49" s="230"/>
      <c r="BP49" s="230"/>
      <c r="BQ49" s="230"/>
      <c r="BR49" s="230"/>
      <c r="BS49" s="230"/>
      <c r="BT49" s="230"/>
      <c r="BU49" s="230"/>
      <c r="BV49" s="230"/>
      <c r="BW49" s="230"/>
      <c r="BX49" s="230"/>
      <c r="BY49" s="230"/>
      <c r="BZ49" s="230"/>
      <c r="CA49" s="230"/>
      <c r="CB49" s="230"/>
      <c r="CC49" s="230"/>
      <c r="CD49" s="230"/>
      <c r="CE49" s="230"/>
      <c r="CF49" s="230"/>
      <c r="CG49" s="230"/>
      <c r="CH49" s="230"/>
      <c r="CI49" s="230"/>
      <c r="CJ49" s="230"/>
      <c r="CK49" s="230"/>
      <c r="CL49" s="230"/>
      <c r="CM49" s="230"/>
      <c r="CN49" s="230"/>
      <c r="CO49" s="230"/>
      <c r="CP49" s="230"/>
      <c r="CQ49" s="230"/>
      <c r="CR49" s="230"/>
      <c r="CS49" s="230"/>
      <c r="CT49" s="230"/>
      <c r="CU49" s="230"/>
      <c r="CV49" s="230"/>
      <c r="CW49" s="230"/>
      <c r="CX49" s="230"/>
      <c r="CY49" s="230"/>
      <c r="CZ49" s="230"/>
      <c r="DA49" s="230"/>
      <c r="DB49" s="230"/>
      <c r="DC49" s="230"/>
      <c r="DD49" s="230"/>
      <c r="DE49" s="230"/>
      <c r="DF49" s="230"/>
      <c r="DG49" s="230"/>
      <c r="DH49" s="230"/>
      <c r="DI49" s="230"/>
      <c r="DJ49" s="230"/>
      <c r="DK49" s="230"/>
      <c r="DL49" s="230"/>
      <c r="DM49" s="230"/>
      <c r="DN49" s="230"/>
      <c r="DO49" s="230"/>
      <c r="DP49" s="230"/>
      <c r="DQ49" s="230"/>
      <c r="DR49" s="230"/>
      <c r="DS49" s="230"/>
      <c r="DT49" s="230"/>
      <c r="DU49" s="230"/>
      <c r="DV49" s="230"/>
      <c r="DW49" s="230"/>
      <c r="DX49" s="230"/>
      <c r="DY49" s="230"/>
      <c r="DZ49" s="230"/>
      <c r="EA49" s="230"/>
      <c r="EB49" s="230"/>
      <c r="EC49" s="230"/>
    </row>
    <row r="50" spans="1:133" ht="16.5" thickBot="1">
      <c r="A50" s="360"/>
      <c r="B50" s="264" t="s">
        <v>129</v>
      </c>
      <c r="C50" s="355"/>
      <c r="D50" s="355" t="str">
        <f>IF(C19=$M$15,$S$45/$C$11,"")</f>
        <v/>
      </c>
      <c r="E50" s="355" t="str">
        <f t="shared" ref="E50:R50" si="6">IF(E19=$M$15,$S$45/$C$11,"")</f>
        <v/>
      </c>
      <c r="F50" s="355" t="str">
        <f t="shared" si="6"/>
        <v/>
      </c>
      <c r="G50" s="355" t="str">
        <f t="shared" si="6"/>
        <v/>
      </c>
      <c r="H50" s="355" t="str">
        <f t="shared" si="6"/>
        <v/>
      </c>
      <c r="I50" s="355" t="str">
        <f t="shared" si="6"/>
        <v/>
      </c>
      <c r="J50" s="355" t="str">
        <f t="shared" si="6"/>
        <v/>
      </c>
      <c r="K50" s="355" t="str">
        <f t="shared" si="6"/>
        <v/>
      </c>
      <c r="L50" s="355" t="str">
        <f t="shared" si="6"/>
        <v/>
      </c>
      <c r="M50" s="355" t="str">
        <f t="shared" si="6"/>
        <v/>
      </c>
      <c r="N50" s="355" t="str">
        <f t="shared" si="6"/>
        <v/>
      </c>
      <c r="O50" s="355" t="str">
        <f t="shared" si="6"/>
        <v/>
      </c>
      <c r="P50" s="355" t="str">
        <f t="shared" si="6"/>
        <v/>
      </c>
      <c r="Q50" s="355" t="str">
        <f t="shared" si="6"/>
        <v/>
      </c>
      <c r="R50" s="361">
        <f t="shared" si="6"/>
        <v>11859.012839165563</v>
      </c>
      <c r="S50" s="361">
        <f t="shared" si="5"/>
        <v>11859.012839165563</v>
      </c>
      <c r="T50" s="271"/>
      <c r="U50" s="271"/>
      <c r="V50" s="271"/>
      <c r="W50" s="271"/>
      <c r="X50" s="271"/>
      <c r="Y50" s="271"/>
      <c r="Z50" s="271"/>
      <c r="AA50" s="271"/>
      <c r="AB50" s="271"/>
      <c r="AC50" s="230"/>
      <c r="AD50" s="230"/>
      <c r="AE50" s="230"/>
      <c r="AF50" s="230"/>
      <c r="AG50" s="230"/>
      <c r="AH50" s="230"/>
      <c r="AI50" s="230"/>
      <c r="AJ50" s="230"/>
      <c r="AK50" s="230"/>
      <c r="AL50" s="230"/>
      <c r="AM50" s="230"/>
      <c r="AN50" s="230"/>
      <c r="AO50" s="230"/>
      <c r="AP50" s="230"/>
      <c r="AQ50" s="230"/>
      <c r="AR50" s="230"/>
      <c r="AS50" s="230"/>
      <c r="AT50" s="230"/>
      <c r="AU50" s="230"/>
      <c r="AV50" s="230"/>
      <c r="AW50" s="230"/>
      <c r="AX50" s="230"/>
      <c r="AY50" s="230"/>
      <c r="AZ50" s="230"/>
      <c r="BA50" s="230"/>
      <c r="BB50" s="230"/>
      <c r="BC50" s="230"/>
      <c r="BD50" s="230"/>
      <c r="BE50" s="230"/>
      <c r="BF50" s="230"/>
      <c r="BG50" s="230"/>
      <c r="BH50" s="230"/>
      <c r="BI50" s="230"/>
      <c r="BJ50" s="230"/>
      <c r="BK50" s="230"/>
      <c r="BL50" s="230"/>
      <c r="BM50" s="230"/>
      <c r="BN50" s="230"/>
      <c r="BO50" s="230"/>
      <c r="BP50" s="230"/>
      <c r="BQ50" s="230"/>
      <c r="BR50" s="230"/>
      <c r="BS50" s="230"/>
      <c r="BT50" s="230"/>
      <c r="BU50" s="230"/>
      <c r="BV50" s="230"/>
      <c r="BW50" s="230"/>
      <c r="BX50" s="230"/>
      <c r="BY50" s="230"/>
      <c r="BZ50" s="230"/>
      <c r="CA50" s="230"/>
      <c r="CB50" s="230"/>
      <c r="CC50" s="230"/>
      <c r="CD50" s="230"/>
      <c r="CE50" s="230"/>
      <c r="CF50" s="230"/>
      <c r="CG50" s="230"/>
      <c r="CH50" s="230"/>
      <c r="CI50" s="230"/>
      <c r="CJ50" s="230"/>
      <c r="CK50" s="230"/>
      <c r="CL50" s="230"/>
      <c r="CM50" s="230"/>
      <c r="CN50" s="230"/>
      <c r="CO50" s="230"/>
      <c r="CP50" s="230"/>
      <c r="CQ50" s="230"/>
      <c r="CR50" s="230"/>
      <c r="CS50" s="230"/>
      <c r="CT50" s="230"/>
      <c r="CU50" s="230"/>
      <c r="CV50" s="230"/>
      <c r="CW50" s="230"/>
      <c r="CX50" s="230"/>
      <c r="CY50" s="230"/>
      <c r="CZ50" s="230"/>
      <c r="DA50" s="230"/>
      <c r="DB50" s="230"/>
      <c r="DC50" s="230"/>
      <c r="DD50" s="230"/>
      <c r="DE50" s="230"/>
      <c r="DF50" s="230"/>
      <c r="DG50" s="230"/>
      <c r="DH50" s="230"/>
      <c r="DI50" s="230"/>
      <c r="DJ50" s="230"/>
      <c r="DK50" s="230"/>
      <c r="DL50" s="230"/>
      <c r="DM50" s="230"/>
      <c r="DN50" s="230"/>
      <c r="DO50" s="230"/>
      <c r="DP50" s="230"/>
      <c r="DQ50" s="230"/>
      <c r="DR50" s="230"/>
      <c r="DS50" s="230"/>
      <c r="DT50" s="230"/>
      <c r="DU50" s="230"/>
      <c r="DV50" s="230"/>
      <c r="DW50" s="230"/>
      <c r="DX50" s="230"/>
      <c r="DY50" s="230"/>
      <c r="DZ50" s="230"/>
      <c r="EA50" s="230"/>
      <c r="EB50" s="230"/>
      <c r="EC50" s="230"/>
    </row>
    <row r="51" spans="1:133" s="370" customFormat="1" ht="16.5" thickBot="1">
      <c r="A51" s="362"/>
      <c r="B51" s="363" t="s">
        <v>154</v>
      </c>
      <c r="C51" s="364">
        <f>IF(C45="",C24+C44,IF(C45=$S$45,C24+C44+$S$45,C24+C44))</f>
        <v>-4700000</v>
      </c>
      <c r="D51" s="365">
        <f>IF(D45="",D24+D44,IF(D45=$S$45,D24+D44+$S$45,D24+D44))</f>
        <v>-801630.45271034131</v>
      </c>
      <c r="E51" s="365">
        <f>IF($M$14=1,E24+E44+E45,IF($M$14&gt;1,E24+E44,""))</f>
        <v>104453.21891465853</v>
      </c>
      <c r="F51" s="365">
        <f>IF($M$14=2,F24+F44+F45,IF($M$14&gt;2,F24+F44,""))</f>
        <v>349047.9133146588</v>
      </c>
      <c r="G51" s="365">
        <f>IF($M$14=3,G24+G44+G45,IF($M$14&gt;3,G24+G44,""))</f>
        <v>359158.64931465848</v>
      </c>
      <c r="H51" s="365">
        <f>IF($M$14=4,H24+H44+H45,IF($M$14&gt;4,H24+H44,""))</f>
        <v>359156.8853146584</v>
      </c>
      <c r="I51" s="365">
        <f>IF($M$14=5,I24+I44+I45,IF($M$14&gt;5,I24+I44,""))</f>
        <v>359155.12131465878</v>
      </c>
      <c r="J51" s="365">
        <f>IF($M$14=6,J24+J44+J45,IF($M$14&gt;6,J24+J44,""))</f>
        <v>370199.14820295875</v>
      </c>
      <c r="K51" s="365">
        <f>IF($M$14=7,K24+K44+K45,IF($M$14&gt;7,K24+K44,""))</f>
        <v>381375.70341391815</v>
      </c>
      <c r="L51" s="365">
        <f>IF($M$14=8,L24+L44+L45,IF($M$14&gt;8,L24+L44,""))</f>
        <v>392686.37728740915</v>
      </c>
      <c r="M51" s="365">
        <f>IF($M$14=9,M24+M44+M45,IF($M$14&gt;9,M24+M44,""))</f>
        <v>404132.77924738219</v>
      </c>
      <c r="N51" s="365">
        <f>IF($M$14=10,N24+N44+N45,IF($M$14&gt;10,N24+N44,""))</f>
        <v>415716.53803087503</v>
      </c>
      <c r="O51" s="365">
        <f>IF($M$14=11,O24+O44+O45,IF($M$14&gt;11,O24+O44,""))</f>
        <v>427439.30191976938</v>
      </c>
      <c r="P51" s="365">
        <f>IF($M$14=12,P24+P44+P45,IF($M$14&gt;12,P24+P44,""))</f>
        <v>439302.73897533095</v>
      </c>
      <c r="Q51" s="365">
        <f>IF($M$14=13,Q24+Q44+Q45,IF($M$14&gt;13,Q24+Q44,""))</f>
        <v>451308.53727555904</v>
      </c>
      <c r="R51" s="366">
        <f>IF($M$14=15,R24+R44+R45+R47+R48+R49,IF($M$14&gt;14,R24+R44,""))</f>
        <v>16319996.03471414</v>
      </c>
      <c r="S51" s="315">
        <f t="shared" si="5"/>
        <v>15631498.494530294</v>
      </c>
      <c r="T51" s="367"/>
      <c r="U51" s="368"/>
      <c r="V51" s="368"/>
      <c r="W51" s="368"/>
      <c r="X51" s="368"/>
      <c r="Y51" s="368"/>
      <c r="Z51" s="368"/>
      <c r="AA51" s="368"/>
      <c r="AB51" s="368"/>
      <c r="AC51" s="369"/>
      <c r="AD51" s="369"/>
      <c r="AE51" s="369"/>
      <c r="AF51" s="369"/>
      <c r="AG51" s="369"/>
      <c r="AH51" s="369"/>
      <c r="AI51" s="369"/>
      <c r="AJ51" s="369"/>
      <c r="AK51" s="369"/>
      <c r="AL51" s="369"/>
      <c r="AM51" s="369"/>
      <c r="AN51" s="369"/>
      <c r="AO51" s="369"/>
      <c r="AP51" s="369"/>
      <c r="AQ51" s="369"/>
      <c r="AR51" s="369"/>
      <c r="AS51" s="369"/>
      <c r="AT51" s="369"/>
      <c r="AU51" s="369"/>
      <c r="AV51" s="369"/>
      <c r="AW51" s="369"/>
      <c r="AX51" s="369"/>
      <c r="AY51" s="369"/>
      <c r="AZ51" s="369"/>
      <c r="BA51" s="369"/>
      <c r="BB51" s="369"/>
      <c r="BC51" s="369"/>
      <c r="BD51" s="369"/>
      <c r="BE51" s="369"/>
      <c r="BF51" s="369"/>
      <c r="BG51" s="369"/>
      <c r="BH51" s="369"/>
      <c r="BI51" s="369"/>
      <c r="BJ51" s="369"/>
      <c r="BK51" s="369"/>
      <c r="BL51" s="369"/>
      <c r="BM51" s="369"/>
      <c r="BN51" s="369"/>
      <c r="BO51" s="369"/>
      <c r="BP51" s="369"/>
      <c r="BQ51" s="369"/>
      <c r="BR51" s="369"/>
      <c r="BS51" s="369"/>
      <c r="BT51" s="369"/>
      <c r="BU51" s="369"/>
      <c r="BV51" s="369"/>
      <c r="BW51" s="369"/>
      <c r="BX51" s="369"/>
      <c r="BY51" s="369"/>
      <c r="BZ51" s="369"/>
      <c r="CA51" s="369"/>
      <c r="CB51" s="369"/>
      <c r="CC51" s="369"/>
      <c r="CD51" s="369"/>
      <c r="CE51" s="369"/>
      <c r="CF51" s="369"/>
      <c r="CG51" s="369"/>
      <c r="CH51" s="369"/>
      <c r="CI51" s="369"/>
      <c r="CJ51" s="369"/>
      <c r="CK51" s="369"/>
      <c r="CL51" s="369"/>
      <c r="CM51" s="369"/>
      <c r="CN51" s="369"/>
      <c r="CO51" s="369"/>
      <c r="CP51" s="369"/>
      <c r="CQ51" s="369"/>
      <c r="CR51" s="369"/>
      <c r="CS51" s="369"/>
      <c r="CT51" s="369"/>
      <c r="CU51" s="369"/>
      <c r="CV51" s="369"/>
      <c r="CW51" s="369"/>
      <c r="CX51" s="369"/>
      <c r="CY51" s="369"/>
      <c r="CZ51" s="369"/>
      <c r="DA51" s="369"/>
      <c r="DB51" s="369"/>
      <c r="DC51" s="369"/>
      <c r="DD51" s="369"/>
      <c r="DE51" s="369"/>
      <c r="DF51" s="369"/>
      <c r="DG51" s="369"/>
      <c r="DH51" s="369"/>
      <c r="DI51" s="369"/>
      <c r="DJ51" s="369"/>
      <c r="DK51" s="369"/>
      <c r="DL51" s="369"/>
      <c r="DM51" s="369"/>
      <c r="DN51" s="369"/>
      <c r="DO51" s="369"/>
      <c r="DP51" s="369"/>
      <c r="DQ51" s="369"/>
      <c r="DR51" s="369"/>
      <c r="DS51" s="369"/>
      <c r="DT51" s="369"/>
      <c r="DU51" s="369"/>
      <c r="DV51" s="369"/>
      <c r="DW51" s="369"/>
      <c r="DX51" s="369"/>
      <c r="DY51" s="369"/>
      <c r="DZ51" s="369"/>
      <c r="EA51" s="369"/>
      <c r="EB51" s="369"/>
      <c r="EC51" s="369"/>
    </row>
    <row r="52" spans="1:133" s="377" customFormat="1" ht="16.5" thickBot="1">
      <c r="A52" s="371"/>
      <c r="B52" s="372" t="s">
        <v>153</v>
      </c>
      <c r="C52" s="373">
        <f>C51</f>
        <v>-4700000</v>
      </c>
      <c r="D52" s="374">
        <f>IF($M$14&gt;=0,D51+C52,"")</f>
        <v>-5501630.4527103417</v>
      </c>
      <c r="E52" s="374">
        <f>IF($M$14&gt;=1,E51+D52,"")</f>
        <v>-5397177.2337956829</v>
      </c>
      <c r="F52" s="374">
        <f>IF($M$14&gt;=2,F51+E52,"")</f>
        <v>-5048129.3204810238</v>
      </c>
      <c r="G52" s="374">
        <f>IF($M$14&gt;=3,G51+F52,"")</f>
        <v>-4688970.671166365</v>
      </c>
      <c r="H52" s="374">
        <f>IF($M$14&gt;=4,H51+G52,"")</f>
        <v>-4329813.7858517068</v>
      </c>
      <c r="I52" s="374">
        <f>IF($M$14&gt;=5,I51+H52,"")</f>
        <v>-3970658.664537048</v>
      </c>
      <c r="J52" s="374">
        <f>IF($M$14&gt;=6,J51+I52,"")</f>
        <v>-3600459.5163340895</v>
      </c>
      <c r="K52" s="374">
        <f>IF($M$14&gt;=7,K51+J52,"")</f>
        <v>-3219083.8129201713</v>
      </c>
      <c r="L52" s="374">
        <f>IF($M$14&gt;=8,L51+K52,"")</f>
        <v>-2826397.435632762</v>
      </c>
      <c r="M52" s="374">
        <f>IF($M$14&gt;=9,M51+L52,"")</f>
        <v>-2422264.6563853798</v>
      </c>
      <c r="N52" s="374">
        <f>IF($M$14&gt;=10,N51+M52,"")</f>
        <v>-2006548.1183545049</v>
      </c>
      <c r="O52" s="374">
        <f>IF($M$14&gt;=11,O51+N52,"")</f>
        <v>-1579108.8164347354</v>
      </c>
      <c r="P52" s="374">
        <f>IF($M$14&gt;=12,P51+O52,"")</f>
        <v>-1139806.0774594045</v>
      </c>
      <c r="Q52" s="374">
        <f>IF($M$14&gt;=13,Q51+P52,"")</f>
        <v>-688497.54018384544</v>
      </c>
      <c r="R52" s="375">
        <f>IF($M$14&gt;=14,R51+Q52,"")</f>
        <v>15631498.494530294</v>
      </c>
      <c r="S52" s="356"/>
      <c r="T52" s="376"/>
      <c r="U52" s="376"/>
      <c r="V52" s="376"/>
      <c r="W52" s="376"/>
      <c r="X52" s="376"/>
      <c r="Y52" s="376"/>
      <c r="Z52" s="376"/>
      <c r="AA52" s="376"/>
      <c r="AB52" s="376"/>
      <c r="AC52" s="371"/>
      <c r="AD52" s="371"/>
      <c r="AE52" s="371"/>
      <c r="AF52" s="371"/>
      <c r="AG52" s="371"/>
      <c r="AH52" s="371"/>
      <c r="AI52" s="371"/>
      <c r="AJ52" s="371"/>
      <c r="AK52" s="371"/>
      <c r="AL52" s="371"/>
      <c r="AM52" s="371"/>
      <c r="AN52" s="371"/>
      <c r="AO52" s="371"/>
      <c r="AP52" s="371"/>
      <c r="AQ52" s="371"/>
      <c r="AR52" s="371"/>
      <c r="AS52" s="371"/>
      <c r="AT52" s="371"/>
      <c r="AU52" s="371"/>
      <c r="AV52" s="371"/>
      <c r="AW52" s="371"/>
      <c r="AX52" s="371"/>
      <c r="AY52" s="371"/>
      <c r="AZ52" s="371"/>
      <c r="BA52" s="371"/>
      <c r="BB52" s="371"/>
      <c r="BC52" s="371"/>
      <c r="BD52" s="371"/>
      <c r="BE52" s="371"/>
      <c r="BF52" s="371"/>
      <c r="BG52" s="371"/>
      <c r="BH52" s="371"/>
      <c r="BI52" s="371"/>
      <c r="BJ52" s="371"/>
      <c r="BK52" s="371"/>
      <c r="BL52" s="371"/>
      <c r="BM52" s="371"/>
      <c r="BN52" s="371"/>
      <c r="BO52" s="371"/>
      <c r="BP52" s="371"/>
      <c r="BQ52" s="371"/>
      <c r="BR52" s="371"/>
      <c r="BS52" s="371"/>
      <c r="BT52" s="371"/>
      <c r="BU52" s="371"/>
      <c r="BV52" s="371"/>
      <c r="BW52" s="371"/>
      <c r="BX52" s="371"/>
      <c r="BY52" s="371"/>
      <c r="BZ52" s="371"/>
      <c r="CA52" s="371"/>
      <c r="CB52" s="371"/>
      <c r="CC52" s="371"/>
      <c r="CD52" s="371"/>
      <c r="CE52" s="371"/>
      <c r="CF52" s="371"/>
      <c r="CG52" s="371"/>
      <c r="CH52" s="371"/>
      <c r="CI52" s="371"/>
      <c r="CJ52" s="371"/>
      <c r="CK52" s="371"/>
      <c r="CL52" s="371"/>
      <c r="CM52" s="371"/>
      <c r="CN52" s="371"/>
      <c r="CO52" s="371"/>
      <c r="CP52" s="371"/>
      <c r="CQ52" s="371"/>
      <c r="CR52" s="371"/>
      <c r="CS52" s="371"/>
      <c r="CT52" s="371"/>
      <c r="CU52" s="371"/>
      <c r="CV52" s="371"/>
      <c r="CW52" s="371"/>
      <c r="CX52" s="371"/>
      <c r="CY52" s="371"/>
      <c r="CZ52" s="371"/>
      <c r="DA52" s="371"/>
      <c r="DB52" s="371"/>
      <c r="DC52" s="371"/>
      <c r="DD52" s="371"/>
      <c r="DE52" s="371"/>
      <c r="DF52" s="371"/>
      <c r="DG52" s="371"/>
      <c r="DH52" s="371"/>
      <c r="DI52" s="371"/>
      <c r="DJ52" s="371"/>
      <c r="DK52" s="371"/>
      <c r="DL52" s="371"/>
      <c r="DM52" s="371"/>
      <c r="DN52" s="371"/>
      <c r="DO52" s="371"/>
      <c r="DP52" s="371"/>
      <c r="DQ52" s="371"/>
      <c r="DR52" s="371"/>
      <c r="DS52" s="371"/>
      <c r="DT52" s="371"/>
      <c r="DU52" s="371"/>
      <c r="DV52" s="371"/>
      <c r="DW52" s="371"/>
      <c r="DX52" s="371"/>
      <c r="DY52" s="371"/>
      <c r="DZ52" s="371"/>
      <c r="EA52" s="371"/>
      <c r="EB52" s="371"/>
      <c r="EC52" s="371"/>
    </row>
    <row r="53" spans="1:133">
      <c r="A53" s="230"/>
      <c r="B53" s="378" t="s">
        <v>22</v>
      </c>
      <c r="C53" s="379"/>
      <c r="D53" s="380">
        <f>(D20)/D42</f>
        <v>0</v>
      </c>
      <c r="E53" s="380">
        <f t="shared" ref="E53:R53" si="7">(E20)/E42</f>
        <v>1.8288923721064454</v>
      </c>
      <c r="F53" s="380">
        <f t="shared" si="7"/>
        <v>1.8371659277134589</v>
      </c>
      <c r="G53" s="380">
        <f t="shared" si="7"/>
        <v>1.8371624064521346</v>
      </c>
      <c r="H53" s="380">
        <f t="shared" si="7"/>
        <v>1.8371588851908107</v>
      </c>
      <c r="I53" s="380">
        <f t="shared" si="7"/>
        <v>1.8371553639294866</v>
      </c>
      <c r="J53" s="380">
        <f t="shared" si="7"/>
        <v>1.8592012282966406</v>
      </c>
      <c r="K53" s="380">
        <f t="shared" si="7"/>
        <v>1.8815116430362</v>
      </c>
      <c r="L53" s="380">
        <f t="shared" si="7"/>
        <v>1.9040897827526344</v>
      </c>
      <c r="M53" s="380">
        <f t="shared" si="7"/>
        <v>1.9269388601456661</v>
      </c>
      <c r="N53" s="380">
        <f t="shared" si="7"/>
        <v>1.9500621264674141</v>
      </c>
      <c r="O53" s="380">
        <f t="shared" si="7"/>
        <v>1.9734628719850227</v>
      </c>
      <c r="P53" s="380">
        <f t="shared" si="7"/>
        <v>1.9971444264488432</v>
      </c>
      <c r="Q53" s="380">
        <f t="shared" si="7"/>
        <v>2.0211101595662293</v>
      </c>
      <c r="R53" s="381">
        <f t="shared" si="7"/>
        <v>2.045363481481024</v>
      </c>
      <c r="S53" s="382"/>
      <c r="T53" s="292"/>
      <c r="U53" s="292"/>
      <c r="V53" s="292"/>
      <c r="W53" s="292"/>
      <c r="X53" s="292"/>
      <c r="Y53" s="292"/>
      <c r="Z53" s="292"/>
      <c r="AA53" s="292"/>
      <c r="AB53" s="292"/>
      <c r="AC53" s="230"/>
      <c r="AD53" s="230"/>
      <c r="AE53" s="230"/>
      <c r="AF53" s="230"/>
      <c r="AG53" s="230"/>
      <c r="AH53" s="230"/>
      <c r="AI53" s="230"/>
      <c r="AJ53" s="230"/>
      <c r="AK53" s="230"/>
      <c r="AL53" s="230"/>
      <c r="AM53" s="230"/>
      <c r="AN53" s="230"/>
      <c r="AO53" s="230"/>
      <c r="AP53" s="230"/>
      <c r="AQ53" s="230"/>
      <c r="AR53" s="230"/>
      <c r="AS53" s="230"/>
      <c r="AT53" s="230"/>
      <c r="AU53" s="230"/>
      <c r="AV53" s="230"/>
      <c r="AW53" s="230"/>
      <c r="AX53" s="230"/>
      <c r="AY53" s="230"/>
      <c r="AZ53" s="230"/>
      <c r="BA53" s="230"/>
      <c r="BB53" s="230"/>
      <c r="BC53" s="230"/>
      <c r="BD53" s="230"/>
      <c r="BE53" s="230"/>
      <c r="BF53" s="230"/>
      <c r="BG53" s="230"/>
      <c r="BH53" s="230"/>
      <c r="BI53" s="230"/>
      <c r="BJ53" s="230"/>
      <c r="BK53" s="230"/>
      <c r="BL53" s="230"/>
      <c r="BM53" s="230"/>
      <c r="BN53" s="230"/>
      <c r="BO53" s="230"/>
      <c r="BP53" s="230"/>
      <c r="BQ53" s="230"/>
      <c r="BR53" s="230"/>
      <c r="BS53" s="230"/>
      <c r="BT53" s="230"/>
      <c r="BU53" s="230"/>
      <c r="BV53" s="230"/>
      <c r="BW53" s="230"/>
      <c r="BX53" s="230"/>
      <c r="BY53" s="230"/>
      <c r="BZ53" s="230"/>
      <c r="CA53" s="230"/>
      <c r="CB53" s="230"/>
      <c r="CC53" s="230"/>
      <c r="CD53" s="230"/>
      <c r="CE53" s="230"/>
      <c r="CF53" s="230"/>
      <c r="CG53" s="230"/>
      <c r="CH53" s="230"/>
      <c r="CI53" s="230"/>
      <c r="CJ53" s="230"/>
      <c r="CK53" s="230"/>
      <c r="CL53" s="230"/>
      <c r="CM53" s="230"/>
      <c r="CN53" s="230"/>
      <c r="CO53" s="230"/>
      <c r="CP53" s="230"/>
      <c r="CQ53" s="230"/>
      <c r="CR53" s="230"/>
      <c r="CS53" s="230"/>
      <c r="CT53" s="230"/>
      <c r="CU53" s="230"/>
      <c r="CV53" s="230"/>
      <c r="CW53" s="230"/>
      <c r="CX53" s="230"/>
      <c r="CY53" s="230"/>
      <c r="CZ53" s="230"/>
      <c r="DA53" s="230"/>
      <c r="DB53" s="230"/>
      <c r="DC53" s="230"/>
      <c r="DD53" s="230"/>
      <c r="DE53" s="230"/>
      <c r="DF53" s="230"/>
      <c r="DG53" s="230"/>
      <c r="DH53" s="230"/>
      <c r="DI53" s="230"/>
      <c r="DJ53" s="230"/>
      <c r="DK53" s="230"/>
      <c r="DL53" s="230"/>
      <c r="DM53" s="230"/>
      <c r="DN53" s="230"/>
      <c r="DO53" s="230"/>
      <c r="DP53" s="230"/>
      <c r="DQ53" s="230"/>
      <c r="DR53" s="230"/>
      <c r="DS53" s="230"/>
      <c r="DT53" s="230"/>
      <c r="DU53" s="230"/>
      <c r="DV53" s="230"/>
      <c r="DW53" s="230"/>
      <c r="DX53" s="230"/>
      <c r="DY53" s="230"/>
      <c r="DZ53" s="230"/>
      <c r="EA53" s="230"/>
      <c r="EB53" s="230"/>
      <c r="EC53" s="230"/>
    </row>
    <row r="54" spans="1:133" ht="16.5" thickBot="1">
      <c r="A54" s="230"/>
      <c r="B54" s="383"/>
      <c r="C54" s="384"/>
      <c r="D54" s="384"/>
      <c r="E54" s="384"/>
      <c r="F54" s="384"/>
      <c r="G54" s="384"/>
      <c r="H54" s="384"/>
      <c r="I54" s="385"/>
      <c r="J54" s="385"/>
      <c r="K54" s="292"/>
      <c r="L54" s="292"/>
      <c r="M54" s="292"/>
      <c r="N54" s="292"/>
      <c r="O54" s="292"/>
      <c r="P54" s="292"/>
      <c r="Q54" s="292"/>
      <c r="R54" s="386"/>
      <c r="S54" s="387"/>
      <c r="T54" s="292"/>
      <c r="U54" s="292"/>
      <c r="V54" s="292"/>
      <c r="W54" s="292"/>
      <c r="X54" s="292"/>
      <c r="Y54" s="292"/>
      <c r="Z54" s="292"/>
      <c r="AA54" s="292"/>
      <c r="AB54" s="292"/>
      <c r="AC54" s="230"/>
      <c r="AD54" s="230"/>
      <c r="AE54" s="230"/>
      <c r="AF54" s="230"/>
      <c r="AG54" s="230"/>
      <c r="AH54" s="230"/>
      <c r="AI54" s="230"/>
      <c r="AJ54" s="230"/>
      <c r="AK54" s="230"/>
      <c r="AL54" s="230"/>
      <c r="AM54" s="230"/>
      <c r="AN54" s="230"/>
      <c r="AO54" s="230"/>
      <c r="AP54" s="230"/>
      <c r="AQ54" s="230"/>
      <c r="AR54" s="230"/>
      <c r="AS54" s="230"/>
      <c r="AT54" s="230"/>
      <c r="AU54" s="230"/>
      <c r="AV54" s="230"/>
      <c r="AW54" s="230"/>
      <c r="AX54" s="230"/>
      <c r="AY54" s="230"/>
      <c r="AZ54" s="230"/>
      <c r="BA54" s="230"/>
      <c r="BB54" s="230"/>
      <c r="BC54" s="230"/>
      <c r="BD54" s="230"/>
      <c r="BE54" s="230"/>
      <c r="BF54" s="230"/>
      <c r="BG54" s="230"/>
      <c r="BH54" s="230"/>
      <c r="BI54" s="230"/>
      <c r="BJ54" s="230"/>
      <c r="BK54" s="230"/>
      <c r="BL54" s="230"/>
      <c r="BM54" s="230"/>
      <c r="BN54" s="230"/>
      <c r="BO54" s="230"/>
      <c r="BP54" s="230"/>
      <c r="BQ54" s="230"/>
      <c r="BR54" s="230"/>
      <c r="BS54" s="230"/>
      <c r="BT54" s="230"/>
      <c r="BU54" s="230"/>
      <c r="BV54" s="230"/>
      <c r="BW54" s="230"/>
      <c r="BX54" s="230"/>
      <c r="BY54" s="230"/>
      <c r="BZ54" s="230"/>
      <c r="CA54" s="230"/>
      <c r="CB54" s="230"/>
      <c r="CC54" s="230"/>
      <c r="CD54" s="230"/>
      <c r="CE54" s="230"/>
      <c r="CF54" s="230"/>
      <c r="CG54" s="230"/>
      <c r="CH54" s="230"/>
      <c r="CI54" s="230"/>
      <c r="CJ54" s="230"/>
      <c r="CK54" s="230"/>
      <c r="CL54" s="230"/>
      <c r="CM54" s="230"/>
      <c r="CN54" s="230"/>
      <c r="CO54" s="230"/>
      <c r="CP54" s="230"/>
      <c r="CQ54" s="230"/>
      <c r="CR54" s="230"/>
      <c r="CS54" s="230"/>
      <c r="CT54" s="230"/>
      <c r="CU54" s="230"/>
      <c r="CV54" s="230"/>
      <c r="CW54" s="230"/>
      <c r="CX54" s="230"/>
      <c r="CY54" s="230"/>
      <c r="CZ54" s="230"/>
      <c r="DA54" s="230"/>
      <c r="DB54" s="230"/>
      <c r="DC54" s="230"/>
      <c r="DD54" s="230"/>
      <c r="DE54" s="230"/>
      <c r="DF54" s="230"/>
      <c r="DG54" s="230"/>
      <c r="DH54" s="230"/>
      <c r="DI54" s="230"/>
      <c r="DJ54" s="230"/>
      <c r="DK54" s="230"/>
      <c r="DL54" s="230"/>
      <c r="DM54" s="230"/>
      <c r="DN54" s="230"/>
      <c r="DO54" s="230"/>
      <c r="DP54" s="230"/>
      <c r="DQ54" s="230"/>
      <c r="DR54" s="230"/>
      <c r="DS54" s="230"/>
      <c r="DT54" s="230"/>
      <c r="DU54" s="230"/>
      <c r="DV54" s="230"/>
      <c r="DW54" s="230"/>
      <c r="DX54" s="230"/>
      <c r="DY54" s="230"/>
      <c r="DZ54" s="230"/>
      <c r="EA54" s="230"/>
      <c r="EB54" s="230"/>
      <c r="EC54" s="230"/>
    </row>
    <row r="55" spans="1:133">
      <c r="A55" s="230"/>
      <c r="B55" s="388" t="s">
        <v>103</v>
      </c>
      <c r="C55" s="475">
        <f>IRR(C51:R51)</f>
        <v>0.11139768064343136</v>
      </c>
      <c r="D55" s="389"/>
      <c r="E55" s="390"/>
      <c r="F55" s="389"/>
      <c r="G55" s="389"/>
      <c r="H55" s="389"/>
      <c r="I55" s="292"/>
      <c r="J55" s="292"/>
      <c r="K55" s="292"/>
      <c r="L55" s="292"/>
      <c r="M55" s="292"/>
      <c r="N55" s="292"/>
      <c r="O55" s="292"/>
      <c r="P55" s="292"/>
      <c r="Q55" s="292"/>
      <c r="R55" s="386"/>
      <c r="S55" s="387"/>
      <c r="T55" s="292"/>
      <c r="U55" s="292"/>
      <c r="V55" s="292"/>
      <c r="W55" s="292"/>
      <c r="X55" s="292"/>
      <c r="Y55" s="292"/>
      <c r="Z55" s="292"/>
      <c r="AA55" s="292"/>
      <c r="AB55" s="292"/>
      <c r="AC55" s="230"/>
      <c r="AD55" s="230"/>
      <c r="AE55" s="230"/>
      <c r="AF55" s="230"/>
      <c r="AG55" s="230"/>
      <c r="AH55" s="230"/>
      <c r="AI55" s="230"/>
      <c r="AJ55" s="230"/>
      <c r="AK55" s="230"/>
      <c r="AL55" s="230"/>
      <c r="AM55" s="230"/>
      <c r="AN55" s="230"/>
      <c r="AO55" s="230"/>
      <c r="AP55" s="230"/>
      <c r="AQ55" s="230"/>
      <c r="AR55" s="230"/>
      <c r="AS55" s="230"/>
      <c r="AT55" s="230"/>
      <c r="AU55" s="230"/>
      <c r="AV55" s="230"/>
      <c r="AW55" s="230"/>
      <c r="AX55" s="230"/>
      <c r="AY55" s="230"/>
      <c r="AZ55" s="230"/>
      <c r="BA55" s="230"/>
      <c r="BB55" s="230"/>
      <c r="BC55" s="230"/>
      <c r="BD55" s="230"/>
      <c r="BE55" s="230"/>
      <c r="BF55" s="230"/>
      <c r="BG55" s="230"/>
      <c r="BH55" s="230"/>
      <c r="BI55" s="230"/>
      <c r="BJ55" s="230"/>
      <c r="BK55" s="230"/>
      <c r="BL55" s="230"/>
      <c r="BM55" s="230"/>
      <c r="BN55" s="230"/>
      <c r="BO55" s="230"/>
      <c r="BP55" s="230"/>
      <c r="BQ55" s="230"/>
      <c r="BR55" s="230"/>
      <c r="BS55" s="230"/>
      <c r="BT55" s="230"/>
      <c r="BU55" s="230"/>
      <c r="BV55" s="230"/>
      <c r="BW55" s="230"/>
      <c r="BX55" s="230"/>
      <c r="BY55" s="230"/>
      <c r="BZ55" s="230"/>
      <c r="CA55" s="230"/>
      <c r="CB55" s="230"/>
      <c r="CC55" s="230"/>
      <c r="CD55" s="230"/>
      <c r="CE55" s="230"/>
      <c r="CF55" s="230"/>
      <c r="CG55" s="230"/>
      <c r="CH55" s="230"/>
      <c r="CI55" s="230"/>
      <c r="CJ55" s="230"/>
      <c r="CK55" s="230"/>
      <c r="CL55" s="230"/>
      <c r="CM55" s="230"/>
      <c r="CN55" s="230"/>
      <c r="CO55" s="230"/>
      <c r="CP55" s="230"/>
      <c r="CQ55" s="230"/>
      <c r="CR55" s="230"/>
      <c r="CS55" s="230"/>
      <c r="CT55" s="230"/>
      <c r="CU55" s="230"/>
      <c r="CV55" s="230"/>
      <c r="CW55" s="230"/>
      <c r="CX55" s="230"/>
      <c r="CY55" s="230"/>
      <c r="CZ55" s="230"/>
      <c r="DA55" s="230"/>
      <c r="DB55" s="230"/>
      <c r="DC55" s="230"/>
      <c r="DD55" s="230"/>
      <c r="DE55" s="230"/>
      <c r="DF55" s="230"/>
      <c r="DG55" s="230"/>
      <c r="DH55" s="230"/>
      <c r="DI55" s="230"/>
      <c r="DJ55" s="230"/>
      <c r="DK55" s="230"/>
      <c r="DL55" s="230"/>
      <c r="DM55" s="230"/>
      <c r="DN55" s="230"/>
      <c r="DO55" s="230"/>
      <c r="DP55" s="230"/>
      <c r="DQ55" s="230"/>
      <c r="DR55" s="230"/>
      <c r="DS55" s="230"/>
      <c r="DT55" s="230"/>
      <c r="DU55" s="230"/>
      <c r="DV55" s="230"/>
      <c r="DW55" s="230"/>
      <c r="DX55" s="230"/>
      <c r="DY55" s="230"/>
      <c r="DZ55" s="230"/>
      <c r="EA55" s="230"/>
      <c r="EB55" s="230"/>
      <c r="EC55" s="230"/>
    </row>
    <row r="56" spans="1:133">
      <c r="A56" s="230"/>
      <c r="B56" s="391" t="s">
        <v>104</v>
      </c>
      <c r="C56" s="476">
        <f>SUM(C51:R51)</f>
        <v>15631498.494530294</v>
      </c>
      <c r="D56" s="385"/>
      <c r="E56" s="392"/>
      <c r="F56" s="392"/>
      <c r="G56" s="392"/>
      <c r="H56" s="392"/>
      <c r="I56" s="292"/>
      <c r="J56" s="292"/>
      <c r="K56" s="292"/>
      <c r="L56" s="292"/>
      <c r="M56" s="292"/>
      <c r="N56" s="292"/>
      <c r="O56" s="292"/>
      <c r="P56" s="292"/>
      <c r="Q56" s="292"/>
      <c r="R56" s="386"/>
      <c r="S56" s="387"/>
      <c r="T56" s="292"/>
      <c r="U56" s="292"/>
      <c r="V56" s="292"/>
      <c r="W56" s="292"/>
      <c r="X56" s="292"/>
      <c r="Y56" s="292"/>
      <c r="Z56" s="292"/>
      <c r="AA56" s="292"/>
      <c r="AB56" s="292"/>
      <c r="AC56" s="230"/>
      <c r="AD56" s="230"/>
      <c r="AE56" s="230"/>
      <c r="AF56" s="230"/>
      <c r="AG56" s="230"/>
      <c r="AH56" s="230"/>
      <c r="AI56" s="230"/>
      <c r="AJ56" s="230"/>
      <c r="AK56" s="230"/>
      <c r="AL56" s="230"/>
      <c r="AM56" s="230"/>
      <c r="AN56" s="230"/>
      <c r="AO56" s="230"/>
      <c r="AP56" s="230"/>
      <c r="AQ56" s="230"/>
      <c r="AR56" s="230"/>
      <c r="AS56" s="230"/>
      <c r="AT56" s="230"/>
      <c r="AU56" s="230"/>
      <c r="AV56" s="230"/>
      <c r="AW56" s="230"/>
      <c r="AX56" s="230"/>
      <c r="AY56" s="230"/>
      <c r="AZ56" s="230"/>
      <c r="BA56" s="230"/>
      <c r="BB56" s="230"/>
      <c r="BC56" s="230"/>
      <c r="BD56" s="230"/>
      <c r="BE56" s="230"/>
      <c r="BF56" s="230"/>
      <c r="BG56" s="230"/>
      <c r="BH56" s="230"/>
      <c r="BI56" s="230"/>
      <c r="BJ56" s="230"/>
      <c r="BK56" s="230"/>
      <c r="BL56" s="230"/>
      <c r="BM56" s="230"/>
      <c r="BN56" s="230"/>
      <c r="BO56" s="230"/>
      <c r="BP56" s="230"/>
      <c r="BQ56" s="230"/>
      <c r="BR56" s="230"/>
      <c r="BS56" s="230"/>
      <c r="BT56" s="230"/>
      <c r="BU56" s="230"/>
      <c r="BV56" s="230"/>
      <c r="BW56" s="230"/>
      <c r="BX56" s="230"/>
      <c r="BY56" s="230"/>
      <c r="BZ56" s="230"/>
      <c r="CA56" s="230"/>
      <c r="CB56" s="230"/>
      <c r="CC56" s="230"/>
      <c r="CD56" s="230"/>
      <c r="CE56" s="230"/>
      <c r="CF56" s="230"/>
      <c r="CG56" s="230"/>
      <c r="CH56" s="230"/>
      <c r="CI56" s="230"/>
      <c r="CJ56" s="230"/>
      <c r="CK56" s="230"/>
      <c r="CL56" s="230"/>
      <c r="CM56" s="230"/>
      <c r="CN56" s="230"/>
      <c r="CO56" s="230"/>
      <c r="CP56" s="230"/>
      <c r="CQ56" s="230"/>
      <c r="CR56" s="230"/>
      <c r="CS56" s="230"/>
      <c r="CT56" s="230"/>
      <c r="CU56" s="230"/>
      <c r="CV56" s="230"/>
      <c r="CW56" s="230"/>
      <c r="CX56" s="230"/>
      <c r="CY56" s="230"/>
      <c r="CZ56" s="230"/>
      <c r="DA56" s="230"/>
      <c r="DB56" s="230"/>
      <c r="DC56" s="230"/>
      <c r="DD56" s="230"/>
      <c r="DE56" s="230"/>
      <c r="DF56" s="230"/>
      <c r="DG56" s="230"/>
      <c r="DH56" s="230"/>
      <c r="DI56" s="230"/>
      <c r="DJ56" s="230"/>
      <c r="DK56" s="230"/>
      <c r="DL56" s="230"/>
      <c r="DM56" s="230"/>
      <c r="DN56" s="230"/>
      <c r="DO56" s="230"/>
      <c r="DP56" s="230"/>
      <c r="DQ56" s="230"/>
      <c r="DR56" s="230"/>
      <c r="DS56" s="230"/>
      <c r="DT56" s="230"/>
      <c r="DU56" s="230"/>
      <c r="DV56" s="230"/>
      <c r="DW56" s="230"/>
      <c r="DX56" s="230"/>
      <c r="DY56" s="230"/>
      <c r="DZ56" s="230"/>
      <c r="EA56" s="230"/>
      <c r="EB56" s="230"/>
      <c r="EC56" s="230"/>
    </row>
    <row r="57" spans="1:133" ht="16.5" thickBot="1">
      <c r="A57" s="230"/>
      <c r="B57" s="393" t="s">
        <v>79</v>
      </c>
      <c r="C57" s="477">
        <f>MAX(C51:R51)/-MIN(C52:R52)</f>
        <v>2.9663926312379272</v>
      </c>
      <c r="D57" s="234"/>
      <c r="E57" s="394"/>
      <c r="F57" s="394"/>
      <c r="G57" s="394"/>
      <c r="H57" s="394"/>
      <c r="I57" s="235"/>
      <c r="J57" s="235"/>
      <c r="K57" s="235"/>
      <c r="L57" s="235"/>
      <c r="M57" s="235"/>
      <c r="N57" s="235"/>
      <c r="O57" s="235"/>
      <c r="P57" s="235"/>
      <c r="Q57" s="235"/>
      <c r="R57" s="236"/>
      <c r="S57" s="387"/>
      <c r="T57" s="292"/>
      <c r="U57" s="292"/>
      <c r="V57" s="292"/>
      <c r="W57" s="292"/>
      <c r="X57" s="292"/>
      <c r="Y57" s="292"/>
      <c r="Z57" s="292"/>
      <c r="AA57" s="292"/>
      <c r="AB57" s="292"/>
      <c r="AC57" s="230"/>
      <c r="AD57" s="230"/>
      <c r="AE57" s="230"/>
      <c r="AF57" s="230"/>
      <c r="AG57" s="230"/>
      <c r="AH57" s="230"/>
      <c r="AI57" s="230"/>
      <c r="AJ57" s="230"/>
      <c r="AK57" s="230"/>
      <c r="AL57" s="230"/>
      <c r="AM57" s="230"/>
      <c r="AN57" s="230"/>
      <c r="AO57" s="230"/>
      <c r="AP57" s="230"/>
      <c r="AQ57" s="230"/>
      <c r="AR57" s="230"/>
      <c r="AS57" s="230"/>
      <c r="AT57" s="230"/>
      <c r="AU57" s="230"/>
      <c r="AV57" s="230"/>
      <c r="AW57" s="230"/>
      <c r="AX57" s="230"/>
      <c r="AY57" s="230"/>
      <c r="AZ57" s="230"/>
      <c r="BA57" s="230"/>
      <c r="BB57" s="230"/>
      <c r="BC57" s="230"/>
      <c r="BD57" s="230"/>
      <c r="BE57" s="230"/>
      <c r="BF57" s="230"/>
      <c r="BG57" s="230"/>
      <c r="BH57" s="230"/>
      <c r="BI57" s="230"/>
      <c r="BJ57" s="230"/>
      <c r="BK57" s="230"/>
      <c r="BL57" s="230"/>
      <c r="BM57" s="230"/>
      <c r="BN57" s="230"/>
      <c r="BO57" s="230"/>
      <c r="BP57" s="230"/>
      <c r="BQ57" s="230"/>
      <c r="BR57" s="230"/>
      <c r="BS57" s="230"/>
      <c r="BT57" s="230"/>
      <c r="BU57" s="230"/>
      <c r="BV57" s="230"/>
      <c r="BW57" s="230"/>
      <c r="BX57" s="230"/>
      <c r="BY57" s="230"/>
      <c r="BZ57" s="230"/>
      <c r="CA57" s="230"/>
      <c r="CB57" s="230"/>
      <c r="CC57" s="230"/>
      <c r="CD57" s="230"/>
      <c r="CE57" s="230"/>
      <c r="CF57" s="230"/>
      <c r="CG57" s="230"/>
      <c r="CH57" s="230"/>
      <c r="CI57" s="230"/>
      <c r="CJ57" s="230"/>
      <c r="CK57" s="230"/>
      <c r="CL57" s="230"/>
      <c r="CM57" s="230"/>
      <c r="CN57" s="230"/>
      <c r="CO57" s="230"/>
      <c r="CP57" s="230"/>
      <c r="CQ57" s="230"/>
      <c r="CR57" s="230"/>
      <c r="CS57" s="230"/>
      <c r="CT57" s="230"/>
      <c r="CU57" s="230"/>
      <c r="CV57" s="230"/>
      <c r="CW57" s="230"/>
      <c r="CX57" s="230"/>
      <c r="CY57" s="230"/>
      <c r="CZ57" s="230"/>
      <c r="DA57" s="230"/>
      <c r="DB57" s="230"/>
      <c r="DC57" s="230"/>
      <c r="DD57" s="230"/>
      <c r="DE57" s="230"/>
      <c r="DF57" s="230"/>
      <c r="DG57" s="230"/>
      <c r="DH57" s="230"/>
      <c r="DI57" s="230"/>
      <c r="DJ57" s="230"/>
      <c r="DK57" s="230"/>
      <c r="DL57" s="230"/>
      <c r="DM57" s="230"/>
      <c r="DN57" s="230"/>
      <c r="DO57" s="230"/>
      <c r="DP57" s="230"/>
      <c r="DQ57" s="230"/>
      <c r="DR57" s="230"/>
      <c r="DS57" s="230"/>
      <c r="DT57" s="230"/>
      <c r="DU57" s="230"/>
      <c r="DV57" s="230"/>
      <c r="DW57" s="230"/>
      <c r="DX57" s="230"/>
      <c r="DY57" s="230"/>
      <c r="DZ57" s="230"/>
      <c r="EA57" s="230"/>
      <c r="EB57" s="230"/>
      <c r="EC57" s="230"/>
    </row>
    <row r="58" spans="1:133" ht="24.75" customHeight="1">
      <c r="A58" s="230"/>
      <c r="B58" s="395"/>
      <c r="C58" s="396"/>
      <c r="D58" s="396"/>
      <c r="E58" s="396"/>
      <c r="F58" s="396"/>
      <c r="G58" s="396"/>
      <c r="H58" s="396"/>
      <c r="I58" s="397"/>
      <c r="J58" s="292"/>
      <c r="K58" s="292"/>
      <c r="L58" s="292"/>
      <c r="M58" s="292"/>
      <c r="N58" s="292"/>
      <c r="O58" s="292"/>
      <c r="P58" s="292"/>
      <c r="Q58" s="292"/>
      <c r="R58" s="292"/>
      <c r="T58" s="292"/>
      <c r="U58" s="292"/>
      <c r="V58" s="292"/>
      <c r="W58" s="292"/>
      <c r="X58" s="292"/>
      <c r="Y58" s="292"/>
      <c r="Z58" s="292"/>
      <c r="AA58" s="292"/>
      <c r="AB58" s="292"/>
      <c r="AC58" s="230"/>
      <c r="AD58" s="230"/>
      <c r="AE58" s="230"/>
      <c r="AF58" s="230"/>
      <c r="AG58" s="230"/>
      <c r="AH58" s="230"/>
      <c r="AI58" s="230"/>
      <c r="AJ58" s="230"/>
      <c r="AK58" s="230"/>
      <c r="AL58" s="230"/>
      <c r="AM58" s="230"/>
      <c r="AN58" s="230"/>
      <c r="AO58" s="230"/>
      <c r="AP58" s="230"/>
      <c r="AQ58" s="230"/>
      <c r="AR58" s="230"/>
      <c r="AS58" s="230"/>
      <c r="AT58" s="230"/>
      <c r="AU58" s="230"/>
      <c r="AV58" s="230"/>
      <c r="AW58" s="230"/>
      <c r="AX58" s="230"/>
      <c r="AY58" s="230"/>
      <c r="AZ58" s="230"/>
      <c r="BA58" s="230"/>
      <c r="BB58" s="230"/>
      <c r="BC58" s="230"/>
      <c r="BD58" s="230"/>
      <c r="BE58" s="230"/>
      <c r="BF58" s="230"/>
      <c r="BG58" s="230"/>
      <c r="BH58" s="230"/>
      <c r="BI58" s="230"/>
      <c r="BJ58" s="230"/>
      <c r="BK58" s="230"/>
      <c r="BL58" s="230"/>
      <c r="BM58" s="230"/>
      <c r="BN58" s="230"/>
      <c r="BO58" s="230"/>
      <c r="BP58" s="230"/>
      <c r="BQ58" s="230"/>
      <c r="BR58" s="230"/>
      <c r="BS58" s="230"/>
      <c r="BT58" s="230"/>
      <c r="BU58" s="230"/>
      <c r="BV58" s="230"/>
      <c r="BW58" s="230"/>
      <c r="BX58" s="230"/>
      <c r="BY58" s="230"/>
      <c r="BZ58" s="230"/>
      <c r="CA58" s="230"/>
      <c r="CB58" s="230"/>
      <c r="CC58" s="230"/>
      <c r="CD58" s="230"/>
      <c r="CE58" s="230"/>
      <c r="CF58" s="230"/>
      <c r="CG58" s="230"/>
      <c r="CH58" s="230"/>
      <c r="CI58" s="230"/>
      <c r="CJ58" s="230"/>
      <c r="CK58" s="230"/>
      <c r="CL58" s="230"/>
      <c r="CM58" s="230"/>
      <c r="CN58" s="230"/>
      <c r="CO58" s="230"/>
      <c r="CP58" s="230"/>
      <c r="CQ58" s="230"/>
      <c r="CR58" s="230"/>
      <c r="CS58" s="230"/>
      <c r="CT58" s="230"/>
      <c r="CU58" s="230"/>
      <c r="CV58" s="230"/>
      <c r="CW58" s="230"/>
      <c r="CX58" s="230"/>
      <c r="CY58" s="230"/>
      <c r="CZ58" s="230"/>
      <c r="DA58" s="230"/>
      <c r="DB58" s="230"/>
      <c r="DC58" s="230"/>
      <c r="DD58" s="230"/>
      <c r="DE58" s="230"/>
      <c r="DF58" s="230"/>
      <c r="DG58" s="230"/>
      <c r="DH58" s="230"/>
      <c r="DI58" s="230"/>
      <c r="DJ58" s="230"/>
      <c r="DK58" s="230"/>
      <c r="DL58" s="230"/>
      <c r="DM58" s="230"/>
      <c r="DN58" s="230"/>
      <c r="DO58" s="230"/>
      <c r="DP58" s="230"/>
      <c r="DQ58" s="230"/>
      <c r="DR58" s="230"/>
      <c r="DS58" s="230"/>
      <c r="DT58" s="230"/>
      <c r="DU58" s="230"/>
      <c r="DV58" s="230"/>
      <c r="DW58" s="230"/>
      <c r="DX58" s="230"/>
      <c r="DY58" s="230"/>
      <c r="DZ58" s="230"/>
      <c r="EA58" s="230"/>
      <c r="EB58" s="230"/>
      <c r="EC58" s="230"/>
    </row>
    <row r="59" spans="1:133">
      <c r="B59" s="230"/>
      <c r="C59" s="292"/>
      <c r="D59" s="292"/>
      <c r="E59" s="292"/>
      <c r="F59" s="292"/>
      <c r="G59" s="292"/>
      <c r="H59" s="292"/>
      <c r="I59" s="292"/>
      <c r="J59" s="292"/>
      <c r="K59" s="292"/>
      <c r="L59" s="292"/>
      <c r="M59" s="292"/>
      <c r="N59" s="292"/>
      <c r="O59" s="292"/>
      <c r="P59" s="292"/>
      <c r="Q59" s="292"/>
      <c r="R59" s="292"/>
      <c r="T59" s="292"/>
      <c r="U59" s="292"/>
      <c r="V59" s="292"/>
      <c r="W59" s="292"/>
      <c r="X59" s="292"/>
      <c r="Y59" s="292"/>
      <c r="Z59" s="292"/>
      <c r="AA59" s="292"/>
      <c r="AB59" s="292"/>
      <c r="AC59" s="230"/>
      <c r="AD59" s="230"/>
      <c r="AE59" s="230"/>
      <c r="AF59" s="230"/>
      <c r="AG59" s="230"/>
      <c r="AH59" s="230"/>
      <c r="AI59" s="230"/>
      <c r="AJ59" s="230"/>
      <c r="AK59" s="230"/>
      <c r="AL59" s="230"/>
      <c r="AM59" s="230"/>
      <c r="AN59" s="230"/>
      <c r="AO59" s="230"/>
      <c r="AP59" s="230"/>
      <c r="AQ59" s="230"/>
      <c r="AR59" s="230"/>
      <c r="AS59" s="230"/>
      <c r="AT59" s="230"/>
      <c r="AU59" s="230"/>
      <c r="AV59" s="230"/>
      <c r="AW59" s="230"/>
      <c r="AX59" s="230"/>
      <c r="AY59" s="230"/>
      <c r="AZ59" s="230"/>
      <c r="BA59" s="230"/>
      <c r="BB59" s="230"/>
      <c r="BC59" s="230"/>
      <c r="BD59" s="230"/>
      <c r="BE59" s="230"/>
      <c r="BF59" s="230"/>
      <c r="BG59" s="230"/>
      <c r="BH59" s="230"/>
      <c r="BI59" s="230"/>
      <c r="BJ59" s="230"/>
      <c r="BK59" s="230"/>
      <c r="BL59" s="230"/>
      <c r="BM59" s="230"/>
      <c r="BN59" s="230"/>
      <c r="BO59" s="230"/>
      <c r="BP59" s="230"/>
      <c r="BQ59" s="230"/>
      <c r="BR59" s="230"/>
      <c r="BS59" s="230"/>
      <c r="BT59" s="230"/>
      <c r="BU59" s="230"/>
      <c r="BV59" s="230"/>
      <c r="BW59" s="230"/>
      <c r="BX59" s="230"/>
      <c r="BY59" s="230"/>
      <c r="BZ59" s="230"/>
      <c r="CA59" s="230"/>
      <c r="CB59" s="230"/>
      <c r="CC59" s="230"/>
      <c r="CD59" s="230"/>
      <c r="CE59" s="230"/>
      <c r="CF59" s="230"/>
      <c r="CG59" s="230"/>
      <c r="CH59" s="230"/>
      <c r="CI59" s="230"/>
      <c r="CJ59" s="230"/>
      <c r="CK59" s="230"/>
      <c r="CL59" s="230"/>
      <c r="CM59" s="230"/>
      <c r="CN59" s="230"/>
      <c r="CO59" s="230"/>
      <c r="CP59" s="230"/>
      <c r="CQ59" s="230"/>
      <c r="CR59" s="230"/>
      <c r="CS59" s="230"/>
      <c r="CT59" s="230"/>
      <c r="CU59" s="230"/>
      <c r="CV59" s="230"/>
      <c r="CW59" s="230"/>
      <c r="CX59" s="230"/>
      <c r="CY59" s="230"/>
      <c r="CZ59" s="230"/>
      <c r="DA59" s="230"/>
      <c r="DB59" s="230"/>
      <c r="DC59" s="230"/>
      <c r="DD59" s="230"/>
      <c r="DE59" s="230"/>
      <c r="DF59" s="230"/>
      <c r="DG59" s="230"/>
      <c r="DH59" s="230"/>
      <c r="DI59" s="230"/>
      <c r="DJ59" s="230"/>
      <c r="DK59" s="230"/>
      <c r="DL59" s="230"/>
      <c r="DM59" s="230"/>
      <c r="DN59" s="230"/>
      <c r="DO59" s="230"/>
      <c r="DP59" s="230"/>
      <c r="DQ59" s="230"/>
      <c r="DR59" s="230"/>
      <c r="DS59" s="230"/>
      <c r="DT59" s="230"/>
      <c r="DU59" s="230"/>
      <c r="DV59" s="230"/>
      <c r="DW59" s="230"/>
      <c r="DX59" s="230"/>
      <c r="DY59" s="230"/>
      <c r="DZ59" s="230"/>
      <c r="EA59" s="230"/>
      <c r="EB59" s="230"/>
      <c r="EC59" s="230"/>
    </row>
    <row r="60" spans="1:133">
      <c r="B60" s="230"/>
      <c r="C60" s="292"/>
      <c r="D60" s="292"/>
      <c r="E60" s="292"/>
      <c r="G60" s="292"/>
      <c r="H60" s="292"/>
      <c r="I60" s="292"/>
      <c r="J60" s="292"/>
      <c r="K60" s="292"/>
      <c r="L60" s="292"/>
      <c r="M60" s="292"/>
      <c r="N60" s="292"/>
      <c r="O60" s="292"/>
      <c r="P60" s="292"/>
      <c r="Q60" s="292"/>
      <c r="R60" s="292"/>
      <c r="T60" s="292"/>
      <c r="U60" s="292"/>
      <c r="V60" s="292"/>
      <c r="W60" s="292"/>
      <c r="X60" s="292"/>
      <c r="Y60" s="292"/>
      <c r="Z60" s="292"/>
      <c r="AA60" s="292"/>
      <c r="AB60" s="292"/>
      <c r="AC60" s="230"/>
      <c r="AD60" s="230"/>
      <c r="AE60" s="230"/>
      <c r="AF60" s="230"/>
      <c r="AG60" s="230"/>
      <c r="AH60" s="230"/>
      <c r="AI60" s="230"/>
      <c r="AJ60" s="230"/>
      <c r="AK60" s="230"/>
      <c r="AL60" s="230"/>
      <c r="AM60" s="230"/>
      <c r="AN60" s="230"/>
      <c r="AO60" s="230"/>
      <c r="AP60" s="230"/>
      <c r="AQ60" s="230"/>
      <c r="AR60" s="230"/>
      <c r="AS60" s="230"/>
      <c r="AT60" s="230"/>
      <c r="AU60" s="230"/>
      <c r="AV60" s="230"/>
      <c r="AW60" s="230"/>
      <c r="AX60" s="230"/>
      <c r="AY60" s="230"/>
      <c r="AZ60" s="230"/>
      <c r="BA60" s="230"/>
      <c r="BB60" s="230"/>
      <c r="BC60" s="230"/>
      <c r="BD60" s="230"/>
      <c r="BE60" s="230"/>
      <c r="BF60" s="230"/>
      <c r="BG60" s="230"/>
      <c r="BH60" s="230"/>
      <c r="BI60" s="230"/>
      <c r="BJ60" s="230"/>
      <c r="BK60" s="230"/>
      <c r="BL60" s="230"/>
      <c r="BM60" s="230"/>
      <c r="BN60" s="230"/>
      <c r="BO60" s="230"/>
      <c r="BP60" s="230"/>
      <c r="BQ60" s="230"/>
      <c r="BR60" s="230"/>
      <c r="BS60" s="230"/>
      <c r="BT60" s="230"/>
      <c r="BU60" s="230"/>
      <c r="BV60" s="230"/>
      <c r="BW60" s="230"/>
      <c r="BX60" s="230"/>
      <c r="BY60" s="230"/>
      <c r="BZ60" s="230"/>
      <c r="CA60" s="230"/>
      <c r="CB60" s="230"/>
      <c r="CC60" s="230"/>
      <c r="CD60" s="230"/>
      <c r="CE60" s="230"/>
      <c r="CF60" s="230"/>
      <c r="CG60" s="230"/>
      <c r="CH60" s="230"/>
      <c r="CI60" s="230"/>
      <c r="CJ60" s="230"/>
      <c r="CK60" s="230"/>
      <c r="CL60" s="230"/>
      <c r="CM60" s="230"/>
      <c r="CN60" s="230"/>
      <c r="CO60" s="230"/>
      <c r="CP60" s="230"/>
      <c r="CQ60" s="230"/>
      <c r="CR60" s="230"/>
      <c r="CS60" s="230"/>
      <c r="CT60" s="230"/>
      <c r="CU60" s="230"/>
      <c r="CV60" s="230"/>
      <c r="CW60" s="230"/>
      <c r="CX60" s="230"/>
      <c r="CY60" s="230"/>
      <c r="CZ60" s="230"/>
      <c r="DA60" s="230"/>
      <c r="DB60" s="230"/>
      <c r="DC60" s="230"/>
      <c r="DD60" s="230"/>
      <c r="DE60" s="230"/>
      <c r="DF60" s="230"/>
      <c r="DG60" s="230"/>
      <c r="DH60" s="230"/>
      <c r="DI60" s="230"/>
      <c r="DJ60" s="230"/>
      <c r="DK60" s="230"/>
      <c r="DL60" s="230"/>
      <c r="DM60" s="230"/>
      <c r="DN60" s="230"/>
      <c r="DO60" s="230"/>
      <c r="DP60" s="230"/>
      <c r="DQ60" s="230"/>
      <c r="DR60" s="230"/>
      <c r="DS60" s="230"/>
      <c r="DT60" s="230"/>
      <c r="DU60" s="230"/>
      <c r="DV60" s="230"/>
      <c r="DW60" s="230"/>
      <c r="DX60" s="230"/>
      <c r="DY60" s="230"/>
      <c r="DZ60" s="230"/>
    </row>
    <row r="61" spans="1:133">
      <c r="B61" s="230"/>
      <c r="C61" s="292"/>
      <c r="D61" s="334"/>
      <c r="E61" s="230"/>
      <c r="F61" s="230"/>
      <c r="G61" s="230"/>
      <c r="H61" s="230"/>
      <c r="I61" s="230"/>
      <c r="J61" s="230"/>
      <c r="K61" s="230"/>
      <c r="L61" s="230"/>
      <c r="M61" s="230"/>
      <c r="N61" s="230"/>
      <c r="O61" s="230"/>
      <c r="P61" s="230"/>
      <c r="Q61" s="230"/>
      <c r="R61" s="230"/>
      <c r="T61" s="230"/>
      <c r="U61" s="230"/>
      <c r="V61" s="230"/>
      <c r="W61" s="230"/>
      <c r="X61" s="230"/>
      <c r="Y61" s="230"/>
      <c r="Z61" s="230"/>
      <c r="AA61" s="230"/>
      <c r="AB61" s="230"/>
      <c r="AC61" s="230"/>
      <c r="AD61" s="230"/>
      <c r="AE61" s="230"/>
      <c r="AF61" s="230"/>
      <c r="AG61" s="230"/>
      <c r="AH61" s="230"/>
      <c r="AI61" s="230"/>
      <c r="AJ61" s="230"/>
      <c r="AK61" s="230"/>
      <c r="AL61" s="230"/>
      <c r="AM61" s="230"/>
      <c r="AN61" s="230"/>
      <c r="AO61" s="230"/>
      <c r="AP61" s="230"/>
      <c r="AQ61" s="230"/>
      <c r="AR61" s="230"/>
      <c r="AS61" s="230"/>
      <c r="AT61" s="230"/>
      <c r="AU61" s="230"/>
      <c r="AV61" s="230"/>
      <c r="AW61" s="230"/>
      <c r="AX61" s="230"/>
      <c r="AY61" s="230"/>
      <c r="AZ61" s="230"/>
      <c r="BA61" s="230"/>
      <c r="BB61" s="230"/>
      <c r="BC61" s="230"/>
      <c r="BD61" s="230"/>
      <c r="BE61" s="230"/>
      <c r="BF61" s="230"/>
      <c r="BG61" s="230"/>
      <c r="BH61" s="230"/>
      <c r="BI61" s="230"/>
      <c r="BJ61" s="230"/>
      <c r="BK61" s="230"/>
      <c r="BL61" s="230"/>
      <c r="BM61" s="230"/>
      <c r="BN61" s="230"/>
      <c r="BO61" s="230"/>
      <c r="BP61" s="230"/>
      <c r="BQ61" s="230"/>
      <c r="BR61" s="230"/>
      <c r="BS61" s="230"/>
      <c r="BT61" s="230"/>
      <c r="BU61" s="230"/>
      <c r="BV61" s="230"/>
      <c r="BW61" s="230"/>
      <c r="BX61" s="230"/>
      <c r="BY61" s="230"/>
      <c r="BZ61" s="230"/>
      <c r="CA61" s="230"/>
      <c r="CB61" s="230"/>
      <c r="CC61" s="230"/>
      <c r="CD61" s="230"/>
      <c r="CE61" s="230"/>
      <c r="CF61" s="230"/>
      <c r="CG61" s="230"/>
      <c r="CH61" s="230"/>
      <c r="CI61" s="230"/>
      <c r="CJ61" s="230"/>
      <c r="CK61" s="230"/>
      <c r="CL61" s="230"/>
      <c r="CM61" s="230"/>
      <c r="CN61" s="230"/>
      <c r="CO61" s="230"/>
      <c r="CP61" s="230"/>
      <c r="CQ61" s="230"/>
      <c r="CR61" s="230"/>
      <c r="CS61" s="230"/>
      <c r="CT61" s="230"/>
      <c r="CU61" s="230"/>
      <c r="CV61" s="230"/>
      <c r="CW61" s="230"/>
      <c r="CX61" s="230"/>
      <c r="CY61" s="230"/>
      <c r="CZ61" s="230"/>
      <c r="DA61" s="230"/>
      <c r="DB61" s="230"/>
      <c r="DC61" s="230"/>
      <c r="DD61" s="230"/>
      <c r="DE61" s="230"/>
      <c r="DF61" s="230"/>
      <c r="DG61" s="230"/>
      <c r="DH61" s="230"/>
      <c r="DI61" s="230"/>
      <c r="DJ61" s="230"/>
      <c r="DK61" s="230"/>
      <c r="DL61" s="230"/>
      <c r="DM61" s="230"/>
      <c r="DN61" s="230"/>
      <c r="DO61" s="230"/>
      <c r="DP61" s="230"/>
      <c r="DQ61" s="230"/>
      <c r="DR61" s="230"/>
      <c r="DS61" s="230"/>
      <c r="DT61" s="230"/>
      <c r="DU61" s="230"/>
      <c r="DV61" s="230"/>
      <c r="DW61" s="230"/>
      <c r="DX61" s="230"/>
      <c r="DY61" s="230"/>
      <c r="DZ61" s="230"/>
    </row>
    <row r="62" spans="1:133">
      <c r="B62" s="230"/>
      <c r="C62" s="292"/>
      <c r="D62" s="334"/>
      <c r="E62" s="230"/>
      <c r="F62" s="292"/>
      <c r="G62" s="230"/>
      <c r="H62" s="230"/>
      <c r="I62" s="230"/>
      <c r="J62" s="230"/>
      <c r="K62" s="230"/>
      <c r="L62" s="230"/>
      <c r="M62" s="230"/>
      <c r="N62" s="230"/>
      <c r="O62" s="230"/>
      <c r="P62" s="230"/>
      <c r="Q62" s="230"/>
      <c r="R62" s="230"/>
      <c r="T62" s="230"/>
      <c r="U62" s="230"/>
      <c r="V62" s="230"/>
      <c r="W62" s="230"/>
      <c r="X62" s="230"/>
      <c r="Y62" s="230"/>
      <c r="Z62" s="230"/>
      <c r="AA62" s="230"/>
      <c r="AB62" s="230"/>
      <c r="AC62" s="230"/>
      <c r="AD62" s="230"/>
      <c r="AE62" s="230"/>
      <c r="AF62" s="230"/>
      <c r="AG62" s="230"/>
      <c r="AH62" s="230"/>
      <c r="AI62" s="230"/>
      <c r="AJ62" s="230"/>
      <c r="AK62" s="230"/>
      <c r="AL62" s="230"/>
      <c r="AM62" s="230"/>
      <c r="AN62" s="230"/>
      <c r="AO62" s="230"/>
      <c r="AP62" s="230"/>
      <c r="AQ62" s="230"/>
      <c r="AR62" s="230"/>
      <c r="AS62" s="230"/>
      <c r="AT62" s="230"/>
      <c r="AU62" s="230"/>
      <c r="AV62" s="230"/>
      <c r="AW62" s="230"/>
      <c r="AX62" s="230"/>
      <c r="AY62" s="230"/>
      <c r="AZ62" s="230"/>
      <c r="BA62" s="230"/>
      <c r="BB62" s="230"/>
      <c r="BC62" s="230"/>
      <c r="BD62" s="230"/>
      <c r="BE62" s="230"/>
      <c r="BF62" s="230"/>
      <c r="BG62" s="230"/>
      <c r="BH62" s="230"/>
      <c r="BI62" s="230"/>
      <c r="BJ62" s="230"/>
      <c r="BK62" s="230"/>
      <c r="BL62" s="230"/>
      <c r="BM62" s="230"/>
      <c r="BN62" s="230"/>
      <c r="BO62" s="230"/>
      <c r="BP62" s="230"/>
      <c r="BQ62" s="230"/>
      <c r="BR62" s="230"/>
      <c r="BS62" s="230"/>
      <c r="BT62" s="230"/>
      <c r="BU62" s="230"/>
      <c r="BV62" s="230"/>
      <c r="BW62" s="230"/>
      <c r="BX62" s="230"/>
      <c r="BY62" s="230"/>
      <c r="BZ62" s="230"/>
      <c r="CA62" s="230"/>
      <c r="CB62" s="230"/>
      <c r="CC62" s="230"/>
      <c r="CD62" s="230"/>
      <c r="CE62" s="230"/>
      <c r="CF62" s="230"/>
      <c r="CG62" s="230"/>
      <c r="CH62" s="230"/>
      <c r="CI62" s="230"/>
      <c r="CJ62" s="230"/>
      <c r="CK62" s="230"/>
      <c r="CL62" s="230"/>
      <c r="CM62" s="230"/>
      <c r="CN62" s="230"/>
      <c r="CO62" s="230"/>
      <c r="CP62" s="230"/>
      <c r="CQ62" s="230"/>
      <c r="CR62" s="230"/>
      <c r="CS62" s="230"/>
      <c r="CT62" s="230"/>
      <c r="CU62" s="230"/>
      <c r="CV62" s="230"/>
      <c r="CW62" s="230"/>
      <c r="CX62" s="230"/>
      <c r="CY62" s="230"/>
      <c r="CZ62" s="230"/>
      <c r="DA62" s="230"/>
      <c r="DB62" s="230"/>
      <c r="DC62" s="230"/>
      <c r="DD62" s="230"/>
      <c r="DE62" s="230"/>
      <c r="DF62" s="230"/>
      <c r="DG62" s="230"/>
      <c r="DH62" s="230"/>
      <c r="DI62" s="230"/>
      <c r="DJ62" s="230"/>
      <c r="DK62" s="230"/>
      <c r="DL62" s="230"/>
      <c r="DM62" s="230"/>
      <c r="DN62" s="230"/>
      <c r="DO62" s="230"/>
      <c r="DP62" s="230"/>
      <c r="DQ62" s="230"/>
      <c r="DR62" s="230"/>
      <c r="DS62" s="230"/>
      <c r="DT62" s="230"/>
      <c r="DU62" s="230"/>
      <c r="DV62" s="230"/>
      <c r="DW62" s="230"/>
      <c r="DX62" s="230"/>
      <c r="DY62" s="230"/>
      <c r="DZ62" s="230"/>
    </row>
    <row r="63" spans="1:133">
      <c r="B63" s="230"/>
      <c r="C63" s="292"/>
      <c r="D63" s="334"/>
      <c r="E63" s="230"/>
      <c r="F63" s="230"/>
      <c r="G63" s="230"/>
      <c r="H63" s="230"/>
      <c r="I63" s="230"/>
      <c r="J63" s="230"/>
      <c r="K63" s="230"/>
      <c r="L63" s="230"/>
      <c r="M63" s="230"/>
      <c r="N63" s="230"/>
      <c r="O63" s="230"/>
      <c r="P63" s="230"/>
      <c r="Q63" s="230"/>
      <c r="R63" s="230"/>
      <c r="T63" s="230"/>
      <c r="U63" s="230"/>
      <c r="V63" s="230"/>
      <c r="W63" s="230"/>
      <c r="X63" s="230"/>
      <c r="Y63" s="230"/>
      <c r="Z63" s="230"/>
      <c r="AA63" s="230"/>
      <c r="AB63" s="230"/>
      <c r="AC63" s="230"/>
      <c r="AD63" s="230"/>
      <c r="AE63" s="230"/>
      <c r="AF63" s="230"/>
      <c r="AG63" s="230"/>
      <c r="AH63" s="230"/>
      <c r="AI63" s="230"/>
      <c r="AJ63" s="230"/>
      <c r="AK63" s="230"/>
      <c r="AL63" s="230"/>
      <c r="AM63" s="230"/>
      <c r="AN63" s="230"/>
      <c r="AO63" s="230"/>
      <c r="AP63" s="230"/>
    </row>
    <row r="64" spans="1:133">
      <c r="B64" s="230"/>
      <c r="C64" s="292"/>
      <c r="D64" s="334"/>
      <c r="E64" s="230"/>
      <c r="F64" s="230"/>
      <c r="G64" s="230"/>
      <c r="H64" s="230"/>
      <c r="I64" s="230"/>
      <c r="J64" s="230"/>
      <c r="K64" s="230"/>
      <c r="L64" s="230"/>
      <c r="M64" s="230"/>
      <c r="N64" s="230"/>
      <c r="O64" s="230"/>
      <c r="P64" s="230"/>
      <c r="Q64" s="230"/>
      <c r="R64" s="230"/>
      <c r="T64" s="230"/>
      <c r="U64" s="230"/>
      <c r="V64" s="230"/>
      <c r="W64" s="230"/>
      <c r="X64" s="230"/>
      <c r="Y64" s="230"/>
      <c r="Z64" s="230"/>
      <c r="AA64" s="230"/>
      <c r="AB64" s="230"/>
      <c r="AC64" s="230"/>
      <c r="AD64" s="230"/>
      <c r="AE64" s="230"/>
      <c r="AF64" s="230"/>
      <c r="AG64" s="230"/>
      <c r="AH64" s="230"/>
      <c r="AI64" s="230"/>
      <c r="AJ64" s="230"/>
      <c r="AK64" s="230"/>
      <c r="AL64" s="230"/>
      <c r="AM64" s="230"/>
      <c r="AN64" s="230"/>
      <c r="AO64" s="230"/>
      <c r="AP64" s="230"/>
    </row>
    <row r="65" spans="2:42">
      <c r="B65" s="230"/>
      <c r="C65" s="292"/>
      <c r="D65" s="334"/>
      <c r="E65" s="230"/>
      <c r="F65" s="230"/>
      <c r="G65" s="230"/>
      <c r="H65" s="230"/>
      <c r="I65" s="230"/>
      <c r="J65" s="230"/>
      <c r="K65" s="230"/>
      <c r="L65" s="230"/>
      <c r="M65" s="230"/>
      <c r="N65" s="230"/>
      <c r="O65" s="230"/>
      <c r="P65" s="230"/>
      <c r="Q65" s="230"/>
      <c r="R65" s="230"/>
      <c r="T65" s="230"/>
      <c r="U65" s="230"/>
      <c r="V65" s="230"/>
      <c r="W65" s="230"/>
      <c r="X65" s="230"/>
      <c r="Y65" s="230"/>
      <c r="Z65" s="230"/>
      <c r="AA65" s="230"/>
      <c r="AB65" s="230"/>
      <c r="AC65" s="230"/>
      <c r="AD65" s="230"/>
      <c r="AE65" s="230"/>
      <c r="AF65" s="230"/>
      <c r="AG65" s="230"/>
      <c r="AH65" s="230"/>
      <c r="AI65" s="230"/>
      <c r="AJ65" s="230"/>
      <c r="AK65" s="230"/>
      <c r="AL65" s="230"/>
      <c r="AM65" s="230"/>
      <c r="AN65" s="230"/>
      <c r="AO65" s="230"/>
      <c r="AP65" s="230"/>
    </row>
    <row r="66" spans="2:42">
      <c r="C66" s="292"/>
      <c r="D66" s="334"/>
      <c r="E66" s="230"/>
      <c r="T66" s="230"/>
    </row>
    <row r="67" spans="2:42">
      <c r="C67" s="292"/>
      <c r="D67" s="334"/>
      <c r="E67" s="230"/>
      <c r="T67" s="230"/>
    </row>
    <row r="68" spans="2:42">
      <c r="C68" s="292"/>
      <c r="D68" s="334"/>
      <c r="E68" s="230"/>
      <c r="T68" s="230"/>
    </row>
    <row r="69" spans="2:42">
      <c r="C69" s="292"/>
      <c r="D69" s="334"/>
      <c r="E69" s="230"/>
      <c r="T69" s="230"/>
    </row>
    <row r="70" spans="2:42">
      <c r="C70" s="292"/>
      <c r="D70" s="334"/>
      <c r="E70" s="230"/>
      <c r="T70" s="230"/>
    </row>
    <row r="71" spans="2:42">
      <c r="C71" s="292"/>
      <c r="D71" s="334"/>
      <c r="E71" s="230"/>
      <c r="T71" s="230"/>
    </row>
    <row r="72" spans="2:42">
      <c r="C72" s="292"/>
      <c r="D72" s="334"/>
      <c r="E72" s="230"/>
      <c r="T72" s="230"/>
    </row>
    <row r="73" spans="2:42">
      <c r="C73" s="292"/>
      <c r="D73" s="334"/>
      <c r="E73" s="230"/>
      <c r="T73" s="230"/>
    </row>
    <row r="74" spans="2:42">
      <c r="C74" s="292"/>
      <c r="D74" s="334"/>
      <c r="E74" s="230"/>
    </row>
    <row r="75" spans="2:42">
      <c r="C75" s="292"/>
      <c r="D75" s="334"/>
      <c r="E75" s="230"/>
    </row>
    <row r="76" spans="2:42">
      <c r="C76" s="292"/>
      <c r="D76" s="334"/>
      <c r="E76" s="230"/>
    </row>
    <row r="77" spans="2:42">
      <c r="C77" s="292"/>
      <c r="D77" s="334"/>
      <c r="E77" s="230"/>
    </row>
    <row r="78" spans="2:42">
      <c r="C78" s="292"/>
      <c r="D78" s="334"/>
      <c r="E78" s="230"/>
    </row>
    <row r="79" spans="2:42">
      <c r="C79" s="292"/>
      <c r="D79" s="334"/>
      <c r="E79" s="230"/>
    </row>
    <row r="80" spans="2:42">
      <c r="C80" s="292"/>
      <c r="D80" s="334"/>
      <c r="E80" s="230"/>
    </row>
    <row r="81" spans="3:5">
      <c r="C81" s="292"/>
      <c r="D81" s="334"/>
      <c r="E81" s="230"/>
    </row>
    <row r="82" spans="3:5">
      <c r="C82" s="292"/>
      <c r="D82" s="334"/>
      <c r="E82" s="230"/>
    </row>
    <row r="83" spans="3:5">
      <c r="C83" s="292"/>
      <c r="D83" s="334"/>
      <c r="E83" s="230"/>
    </row>
    <row r="84" spans="3:5">
      <c r="C84" s="292"/>
      <c r="D84" s="334"/>
      <c r="E84" s="230"/>
    </row>
    <row r="85" spans="3:5">
      <c r="C85" s="292"/>
      <c r="D85" s="334"/>
      <c r="E85" s="230"/>
    </row>
    <row r="86" spans="3:5">
      <c r="C86" s="292"/>
      <c r="D86" s="334"/>
      <c r="E86" s="230"/>
    </row>
    <row r="87" spans="3:5">
      <c r="C87" s="292"/>
      <c r="D87" s="334"/>
      <c r="E87" s="230"/>
    </row>
    <row r="88" spans="3:5">
      <c r="C88" s="292"/>
      <c r="D88" s="334"/>
      <c r="E88" s="230"/>
    </row>
    <row r="89" spans="3:5">
      <c r="C89" s="292"/>
      <c r="D89" s="334"/>
      <c r="E89" s="230"/>
    </row>
    <row r="90" spans="3:5">
      <c r="C90" s="292"/>
      <c r="D90" s="334"/>
      <c r="E90" s="230"/>
    </row>
    <row r="91" spans="3:5">
      <c r="C91" s="292"/>
      <c r="D91" s="334"/>
      <c r="E91" s="230"/>
    </row>
    <row r="92" spans="3:5">
      <c r="C92" s="292"/>
      <c r="D92" s="334"/>
      <c r="E92" s="230"/>
    </row>
    <row r="93" spans="3:5">
      <c r="C93" s="292"/>
      <c r="D93" s="334"/>
      <c r="E93" s="230"/>
    </row>
    <row r="94" spans="3:5">
      <c r="C94" s="292"/>
      <c r="D94" s="334"/>
      <c r="E94" s="230"/>
    </row>
    <row r="95" spans="3:5">
      <c r="C95" s="292"/>
      <c r="D95" s="334"/>
      <c r="E95" s="230"/>
    </row>
    <row r="96" spans="3:5">
      <c r="C96" s="292"/>
      <c r="D96" s="334"/>
      <c r="E96" s="230"/>
    </row>
    <row r="97" spans="3:5">
      <c r="C97" s="292"/>
      <c r="D97" s="334"/>
      <c r="E97" s="230"/>
    </row>
    <row r="98" spans="3:5">
      <c r="C98" s="292"/>
      <c r="D98" s="334"/>
      <c r="E98" s="230"/>
    </row>
    <row r="99" spans="3:5">
      <c r="C99" s="292"/>
      <c r="D99" s="334"/>
      <c r="E99" s="230"/>
    </row>
    <row r="100" spans="3:5">
      <c r="C100" s="292"/>
      <c r="D100" s="334"/>
      <c r="E100" s="230"/>
    </row>
    <row r="101" spans="3:5">
      <c r="C101" s="292"/>
      <c r="D101" s="334"/>
      <c r="E101" s="230"/>
    </row>
    <row r="102" spans="3:5">
      <c r="C102" s="292"/>
      <c r="D102" s="334"/>
      <c r="E102" s="230"/>
    </row>
    <row r="103" spans="3:5">
      <c r="C103" s="292"/>
      <c r="D103" s="334"/>
      <c r="E103" s="230"/>
    </row>
    <row r="104" spans="3:5">
      <c r="C104" s="292"/>
      <c r="D104" s="334"/>
      <c r="E104" s="230"/>
    </row>
    <row r="105" spans="3:5">
      <c r="C105" s="292"/>
      <c r="D105" s="334"/>
      <c r="E105" s="230"/>
    </row>
    <row r="106" spans="3:5">
      <c r="C106" s="292"/>
      <c r="D106" s="334"/>
      <c r="E106" s="230"/>
    </row>
    <row r="107" spans="3:5">
      <c r="C107" s="292"/>
      <c r="D107" s="334"/>
      <c r="E107" s="230"/>
    </row>
    <row r="108" spans="3:5">
      <c r="C108" s="292"/>
      <c r="D108" s="334"/>
      <c r="E108" s="230"/>
    </row>
    <row r="109" spans="3:5">
      <c r="C109" s="292"/>
      <c r="D109" s="334"/>
      <c r="E109" s="230"/>
    </row>
    <row r="110" spans="3:5">
      <c r="C110" s="292"/>
      <c r="D110" s="334"/>
      <c r="E110" s="230"/>
    </row>
    <row r="111" spans="3:5">
      <c r="C111" s="292"/>
      <c r="D111" s="334"/>
      <c r="E111" s="230"/>
    </row>
    <row r="112" spans="3:5">
      <c r="C112" s="292"/>
      <c r="D112" s="334"/>
      <c r="E112" s="230"/>
    </row>
    <row r="113" spans="3:5">
      <c r="C113" s="292"/>
      <c r="D113" s="334"/>
      <c r="E113" s="230"/>
    </row>
    <row r="114" spans="3:5">
      <c r="C114" s="292"/>
      <c r="D114" s="334"/>
      <c r="E114" s="230"/>
    </row>
    <row r="115" spans="3:5">
      <c r="C115" s="292"/>
      <c r="D115" s="334"/>
      <c r="E115" s="230"/>
    </row>
    <row r="116" spans="3:5">
      <c r="C116" s="292"/>
      <c r="D116" s="334"/>
      <c r="E116" s="230"/>
    </row>
    <row r="117" spans="3:5">
      <c r="C117" s="292"/>
      <c r="D117" s="334"/>
      <c r="E117" s="230"/>
    </row>
    <row r="118" spans="3:5">
      <c r="C118" s="292"/>
      <c r="D118" s="334"/>
      <c r="E118" s="230"/>
    </row>
    <row r="119" spans="3:5">
      <c r="C119" s="292"/>
      <c r="D119" s="334"/>
      <c r="E119" s="230"/>
    </row>
    <row r="120" spans="3:5">
      <c r="C120" s="292"/>
      <c r="D120" s="334"/>
      <c r="E120" s="230"/>
    </row>
    <row r="121" spans="3:5">
      <c r="C121" s="292"/>
      <c r="D121" s="334"/>
      <c r="E121" s="230"/>
    </row>
    <row r="122" spans="3:5">
      <c r="C122" s="292"/>
      <c r="D122" s="334"/>
      <c r="E122" s="230"/>
    </row>
    <row r="123" spans="3:5">
      <c r="C123" s="292"/>
      <c r="D123" s="334"/>
      <c r="E123" s="230"/>
    </row>
    <row r="124" spans="3:5">
      <c r="C124" s="292"/>
      <c r="D124" s="334"/>
      <c r="E124" s="230"/>
    </row>
    <row r="125" spans="3:5">
      <c r="C125" s="292"/>
      <c r="D125" s="334"/>
      <c r="E125" s="230"/>
    </row>
    <row r="126" spans="3:5">
      <c r="C126" s="292"/>
      <c r="D126" s="334"/>
      <c r="E126" s="230"/>
    </row>
    <row r="127" spans="3:5">
      <c r="C127" s="292"/>
      <c r="D127" s="334"/>
      <c r="E127" s="230"/>
    </row>
    <row r="128" spans="3:5">
      <c r="C128" s="292"/>
      <c r="D128" s="334"/>
      <c r="E128" s="230"/>
    </row>
    <row r="129" spans="3:5">
      <c r="C129" s="292"/>
      <c r="D129" s="334"/>
      <c r="E129" s="230"/>
    </row>
    <row r="130" spans="3:5">
      <c r="C130" s="292"/>
      <c r="D130" s="334"/>
      <c r="E130" s="230"/>
    </row>
    <row r="131" spans="3:5">
      <c r="C131" s="292"/>
      <c r="D131" s="334"/>
      <c r="E131" s="230"/>
    </row>
    <row r="132" spans="3:5">
      <c r="C132" s="292"/>
      <c r="D132" s="334"/>
      <c r="E132" s="230"/>
    </row>
    <row r="133" spans="3:5">
      <c r="C133" s="292"/>
      <c r="D133" s="334"/>
      <c r="E133" s="230"/>
    </row>
    <row r="134" spans="3:5">
      <c r="C134" s="292"/>
      <c r="D134" s="334"/>
      <c r="E134" s="230"/>
    </row>
    <row r="135" spans="3:5">
      <c r="C135" s="292"/>
      <c r="D135" s="334"/>
      <c r="E135" s="230"/>
    </row>
    <row r="136" spans="3:5">
      <c r="C136" s="292"/>
      <c r="D136" s="334"/>
      <c r="E136" s="230"/>
    </row>
    <row r="137" spans="3:5">
      <c r="C137" s="292"/>
      <c r="D137" s="334"/>
      <c r="E137" s="230"/>
    </row>
    <row r="138" spans="3:5">
      <c r="C138" s="292"/>
      <c r="D138" s="334"/>
      <c r="E138" s="230"/>
    </row>
    <row r="139" spans="3:5">
      <c r="C139" s="292"/>
      <c r="D139" s="334"/>
      <c r="E139" s="230"/>
    </row>
    <row r="140" spans="3:5">
      <c r="C140" s="292"/>
      <c r="D140" s="334"/>
      <c r="E140" s="230"/>
    </row>
    <row r="141" spans="3:5">
      <c r="C141" s="292"/>
      <c r="D141" s="334"/>
      <c r="E141" s="230"/>
    </row>
    <row r="142" spans="3:5">
      <c r="C142" s="292"/>
      <c r="D142" s="334"/>
      <c r="E142" s="230"/>
    </row>
    <row r="143" spans="3:5">
      <c r="C143" s="292"/>
      <c r="D143" s="334"/>
      <c r="E143" s="230"/>
    </row>
    <row r="144" spans="3:5">
      <c r="C144" s="292"/>
      <c r="D144" s="334"/>
      <c r="E144" s="230"/>
    </row>
    <row r="145" spans="3:5">
      <c r="C145" s="292"/>
      <c r="D145" s="334"/>
      <c r="E145" s="230"/>
    </row>
    <row r="146" spans="3:5">
      <c r="C146" s="292"/>
      <c r="D146" s="334"/>
      <c r="E146" s="230"/>
    </row>
    <row r="147" spans="3:5">
      <c r="C147" s="292"/>
      <c r="D147" s="334"/>
      <c r="E147" s="230"/>
    </row>
    <row r="148" spans="3:5">
      <c r="C148" s="292"/>
      <c r="D148" s="334"/>
      <c r="E148" s="230"/>
    </row>
    <row r="149" spans="3:5">
      <c r="C149" s="292"/>
      <c r="D149" s="334"/>
      <c r="E149" s="230"/>
    </row>
    <row r="150" spans="3:5">
      <c r="C150" s="292"/>
      <c r="D150" s="334"/>
      <c r="E150" s="230"/>
    </row>
    <row r="151" spans="3:5">
      <c r="C151" s="292"/>
      <c r="D151" s="334"/>
      <c r="E151" s="230"/>
    </row>
    <row r="152" spans="3:5">
      <c r="C152" s="292"/>
      <c r="D152" s="334"/>
      <c r="E152" s="230"/>
    </row>
    <row r="153" spans="3:5">
      <c r="C153" s="292"/>
      <c r="D153" s="334"/>
      <c r="E153" s="230"/>
    </row>
    <row r="154" spans="3:5">
      <c r="C154" s="292"/>
      <c r="D154" s="334"/>
      <c r="E154" s="230"/>
    </row>
    <row r="155" spans="3:5">
      <c r="C155" s="292"/>
      <c r="D155" s="334"/>
      <c r="E155" s="230"/>
    </row>
    <row r="156" spans="3:5">
      <c r="C156" s="292"/>
      <c r="D156" s="334"/>
      <c r="E156" s="230"/>
    </row>
    <row r="157" spans="3:5">
      <c r="C157" s="292"/>
      <c r="D157" s="334"/>
      <c r="E157" s="230"/>
    </row>
    <row r="158" spans="3:5">
      <c r="C158" s="292"/>
      <c r="D158" s="334"/>
      <c r="E158" s="230"/>
    </row>
    <row r="159" spans="3:5">
      <c r="C159" s="292"/>
      <c r="D159" s="334"/>
      <c r="E159" s="230"/>
    </row>
    <row r="160" spans="3:5">
      <c r="C160" s="292"/>
      <c r="D160" s="334"/>
      <c r="E160" s="230"/>
    </row>
    <row r="161" spans="3:5">
      <c r="C161" s="292"/>
      <c r="D161" s="334"/>
      <c r="E161" s="230"/>
    </row>
    <row r="162" spans="3:5">
      <c r="C162" s="292"/>
      <c r="D162" s="334"/>
      <c r="E162" s="230"/>
    </row>
    <row r="163" spans="3:5">
      <c r="C163" s="292"/>
      <c r="D163" s="334"/>
      <c r="E163" s="230"/>
    </row>
    <row r="164" spans="3:5">
      <c r="C164" s="292"/>
      <c r="D164" s="334"/>
      <c r="E164" s="230"/>
    </row>
    <row r="165" spans="3:5">
      <c r="C165" s="292"/>
      <c r="D165" s="334"/>
      <c r="E165" s="230"/>
    </row>
    <row r="166" spans="3:5">
      <c r="C166" s="292"/>
      <c r="D166" s="334"/>
      <c r="E166" s="230"/>
    </row>
    <row r="167" spans="3:5">
      <c r="C167" s="292"/>
      <c r="D167" s="334"/>
      <c r="E167" s="230"/>
    </row>
    <row r="168" spans="3:5">
      <c r="C168" s="292"/>
      <c r="D168" s="334"/>
      <c r="E168" s="230"/>
    </row>
    <row r="169" spans="3:5">
      <c r="C169" s="292"/>
      <c r="D169" s="334"/>
      <c r="E169" s="230"/>
    </row>
    <row r="170" spans="3:5">
      <c r="C170" s="292"/>
      <c r="D170" s="334"/>
      <c r="E170" s="230"/>
    </row>
    <row r="171" spans="3:5">
      <c r="C171" s="292"/>
      <c r="D171" s="334"/>
      <c r="E171" s="230"/>
    </row>
    <row r="172" spans="3:5">
      <c r="C172" s="292"/>
      <c r="D172" s="334"/>
      <c r="E172" s="230"/>
    </row>
    <row r="173" spans="3:5">
      <c r="C173" s="292"/>
      <c r="D173" s="334"/>
      <c r="E173" s="230"/>
    </row>
    <row r="174" spans="3:5">
      <c r="C174" s="292"/>
      <c r="D174" s="334"/>
      <c r="E174" s="230"/>
    </row>
    <row r="175" spans="3:5">
      <c r="C175" s="292"/>
      <c r="D175" s="334"/>
      <c r="E175" s="230"/>
    </row>
    <row r="176" spans="3:5">
      <c r="C176" s="292"/>
      <c r="D176" s="334"/>
      <c r="E176" s="230"/>
    </row>
    <row r="177" spans="3:5">
      <c r="C177" s="292"/>
      <c r="D177" s="334"/>
      <c r="E177" s="230"/>
    </row>
    <row r="178" spans="3:5">
      <c r="C178" s="292"/>
      <c r="D178" s="334"/>
      <c r="E178" s="230"/>
    </row>
    <row r="179" spans="3:5">
      <c r="C179" s="292"/>
      <c r="D179" s="334"/>
      <c r="E179" s="230"/>
    </row>
    <row r="180" spans="3:5">
      <c r="C180" s="292"/>
      <c r="D180" s="334"/>
      <c r="E180" s="230"/>
    </row>
    <row r="181" spans="3:5">
      <c r="C181" s="292"/>
      <c r="D181" s="334"/>
      <c r="E181" s="230"/>
    </row>
    <row r="182" spans="3:5">
      <c r="C182" s="292"/>
      <c r="D182" s="334"/>
      <c r="E182" s="230"/>
    </row>
    <row r="183" spans="3:5">
      <c r="C183" s="292"/>
      <c r="D183" s="334"/>
      <c r="E183" s="230"/>
    </row>
    <row r="184" spans="3:5">
      <c r="C184" s="292"/>
      <c r="D184" s="334"/>
      <c r="E184" s="230"/>
    </row>
    <row r="185" spans="3:5">
      <c r="C185" s="292"/>
      <c r="D185" s="334"/>
      <c r="E185" s="230"/>
    </row>
    <row r="186" spans="3:5">
      <c r="C186" s="292"/>
      <c r="D186" s="334"/>
      <c r="E186" s="230"/>
    </row>
    <row r="187" spans="3:5">
      <c r="C187" s="292"/>
      <c r="D187" s="334"/>
      <c r="E187" s="230"/>
    </row>
    <row r="188" spans="3:5">
      <c r="C188" s="292"/>
      <c r="D188" s="334"/>
      <c r="E188" s="230"/>
    </row>
    <row r="189" spans="3:5">
      <c r="C189" s="292"/>
      <c r="D189" s="334"/>
      <c r="E189" s="230"/>
    </row>
    <row r="190" spans="3:5">
      <c r="C190" s="292"/>
      <c r="D190" s="334"/>
      <c r="E190" s="230"/>
    </row>
    <row r="191" spans="3:5">
      <c r="C191" s="292"/>
      <c r="D191" s="334"/>
      <c r="E191" s="230"/>
    </row>
    <row r="192" spans="3:5">
      <c r="C192" s="292"/>
      <c r="D192" s="334"/>
      <c r="E192" s="230"/>
    </row>
    <row r="193" spans="3:5">
      <c r="C193" s="292"/>
      <c r="D193" s="334"/>
      <c r="E193" s="230"/>
    </row>
    <row r="194" spans="3:5">
      <c r="C194" s="292"/>
      <c r="D194" s="334"/>
      <c r="E194" s="230"/>
    </row>
    <row r="195" spans="3:5">
      <c r="C195" s="292"/>
      <c r="D195" s="334"/>
      <c r="E195" s="230"/>
    </row>
    <row r="196" spans="3:5">
      <c r="C196" s="292"/>
      <c r="D196" s="334"/>
      <c r="E196" s="230"/>
    </row>
    <row r="197" spans="3:5">
      <c r="C197" s="292"/>
      <c r="D197" s="334"/>
      <c r="E197" s="230"/>
    </row>
    <row r="198" spans="3:5">
      <c r="C198" s="292"/>
      <c r="D198" s="334"/>
      <c r="E198" s="230"/>
    </row>
    <row r="199" spans="3:5">
      <c r="C199" s="292"/>
      <c r="D199" s="334"/>
      <c r="E199" s="230"/>
    </row>
    <row r="200" spans="3:5">
      <c r="C200" s="292"/>
      <c r="D200" s="334"/>
      <c r="E200" s="230"/>
    </row>
    <row r="201" spans="3:5">
      <c r="C201" s="292"/>
      <c r="D201" s="334"/>
      <c r="E201" s="230"/>
    </row>
    <row r="202" spans="3:5">
      <c r="C202" s="292"/>
      <c r="D202" s="334"/>
      <c r="E202" s="230"/>
    </row>
    <row r="203" spans="3:5">
      <c r="C203" s="292"/>
      <c r="D203" s="334"/>
      <c r="E203" s="230"/>
    </row>
    <row r="204" spans="3:5">
      <c r="C204" s="292"/>
      <c r="D204" s="334"/>
      <c r="E204" s="230"/>
    </row>
    <row r="205" spans="3:5">
      <c r="C205" s="292"/>
      <c r="D205" s="334"/>
      <c r="E205" s="230"/>
    </row>
    <row r="206" spans="3:5">
      <c r="C206" s="292"/>
      <c r="D206" s="334"/>
      <c r="E206" s="230"/>
    </row>
    <row r="207" spans="3:5">
      <c r="C207" s="292"/>
      <c r="D207" s="334"/>
      <c r="E207" s="230"/>
    </row>
    <row r="208" spans="3:5">
      <c r="C208" s="292"/>
      <c r="D208" s="334"/>
      <c r="E208" s="230"/>
    </row>
    <row r="209" spans="3:5">
      <c r="C209" s="292"/>
      <c r="D209" s="334"/>
      <c r="E209" s="230"/>
    </row>
    <row r="210" spans="3:5">
      <c r="C210" s="292"/>
      <c r="D210" s="334"/>
      <c r="E210" s="230"/>
    </row>
    <row r="211" spans="3:5">
      <c r="C211" s="292"/>
      <c r="D211" s="334"/>
      <c r="E211" s="230"/>
    </row>
    <row r="212" spans="3:5">
      <c r="C212" s="292"/>
      <c r="D212" s="334"/>
      <c r="E212" s="230"/>
    </row>
    <row r="213" spans="3:5">
      <c r="C213" s="292"/>
      <c r="D213" s="334"/>
      <c r="E213" s="230"/>
    </row>
    <row r="214" spans="3:5">
      <c r="C214" s="292"/>
      <c r="D214" s="334"/>
      <c r="E214" s="230"/>
    </row>
    <row r="215" spans="3:5">
      <c r="C215" s="292"/>
      <c r="D215" s="230"/>
      <c r="E215" s="230"/>
    </row>
    <row r="216" spans="3:5">
      <c r="C216" s="292"/>
      <c r="D216" s="230"/>
      <c r="E216" s="230"/>
    </row>
    <row r="217" spans="3:5">
      <c r="C217" s="292"/>
      <c r="D217" s="230"/>
      <c r="E217" s="230"/>
    </row>
    <row r="218" spans="3:5">
      <c r="C218" s="292"/>
      <c r="D218" s="230"/>
      <c r="E218" s="230"/>
    </row>
    <row r="219" spans="3:5">
      <c r="C219" s="292"/>
      <c r="D219" s="230"/>
      <c r="E219" s="230"/>
    </row>
    <row r="220" spans="3:5">
      <c r="C220" s="292"/>
      <c r="D220" s="230"/>
      <c r="E220" s="230"/>
    </row>
    <row r="221" spans="3:5">
      <c r="C221" s="292"/>
      <c r="D221" s="230"/>
      <c r="E221" s="230"/>
    </row>
    <row r="222" spans="3:5">
      <c r="C222" s="292"/>
      <c r="D222" s="230"/>
      <c r="E222" s="230"/>
    </row>
    <row r="223" spans="3:5">
      <c r="C223" s="292"/>
      <c r="D223" s="230"/>
      <c r="E223" s="230"/>
    </row>
    <row r="224" spans="3:5">
      <c r="C224" s="292"/>
      <c r="D224" s="230"/>
      <c r="E224" s="230"/>
    </row>
    <row r="225" spans="3:5">
      <c r="C225" s="292"/>
      <c r="D225" s="230"/>
      <c r="E225" s="230"/>
    </row>
    <row r="226" spans="3:5">
      <c r="C226" s="292"/>
      <c r="D226" s="230"/>
      <c r="E226" s="230"/>
    </row>
    <row r="227" spans="3:5">
      <c r="C227" s="292"/>
      <c r="D227" s="230"/>
      <c r="E227" s="230"/>
    </row>
    <row r="228" spans="3:5">
      <c r="C228" s="292"/>
      <c r="D228" s="230"/>
      <c r="E228" s="230"/>
    </row>
    <row r="229" spans="3:5">
      <c r="C229" s="292"/>
      <c r="D229" s="230"/>
      <c r="E229" s="230"/>
    </row>
    <row r="230" spans="3:5">
      <c r="C230" s="292"/>
      <c r="D230" s="230"/>
      <c r="E230" s="230"/>
    </row>
    <row r="231" spans="3:5">
      <c r="C231" s="292"/>
      <c r="D231" s="230"/>
      <c r="E231" s="230"/>
    </row>
    <row r="232" spans="3:5">
      <c r="C232" s="292"/>
      <c r="D232" s="230"/>
      <c r="E232" s="230"/>
    </row>
    <row r="233" spans="3:5">
      <c r="C233" s="292"/>
      <c r="D233" s="230"/>
      <c r="E233" s="230"/>
    </row>
    <row r="234" spans="3:5">
      <c r="C234" s="292"/>
      <c r="D234" s="230"/>
      <c r="E234" s="230"/>
    </row>
    <row r="235" spans="3:5">
      <c r="C235" s="292"/>
      <c r="D235" s="230"/>
      <c r="E235" s="230"/>
    </row>
    <row r="236" spans="3:5">
      <c r="C236" s="292"/>
      <c r="D236" s="230"/>
      <c r="E236" s="230"/>
    </row>
    <row r="237" spans="3:5">
      <c r="C237" s="292"/>
      <c r="D237" s="230"/>
      <c r="E237" s="230"/>
    </row>
    <row r="238" spans="3:5">
      <c r="C238" s="292"/>
      <c r="D238" s="230"/>
      <c r="E238" s="230"/>
    </row>
    <row r="239" spans="3:5">
      <c r="C239" s="292"/>
      <c r="D239" s="230"/>
      <c r="E239" s="230"/>
    </row>
    <row r="240" spans="3:5">
      <c r="C240" s="292"/>
      <c r="D240" s="230"/>
      <c r="E240" s="230"/>
    </row>
    <row r="241" spans="3:5">
      <c r="C241" s="292"/>
      <c r="D241" s="230"/>
      <c r="E241" s="230"/>
    </row>
    <row r="242" spans="3:5">
      <c r="C242" s="292"/>
      <c r="D242" s="230"/>
      <c r="E242" s="230"/>
    </row>
    <row r="243" spans="3:5">
      <c r="C243" s="292"/>
      <c r="D243" s="230"/>
      <c r="E243" s="230"/>
    </row>
    <row r="244" spans="3:5">
      <c r="C244" s="292"/>
      <c r="D244" s="230"/>
      <c r="E244" s="230"/>
    </row>
    <row r="245" spans="3:5">
      <c r="C245" s="292"/>
      <c r="D245" s="230"/>
      <c r="E245" s="230"/>
    </row>
    <row r="246" spans="3:5">
      <c r="C246" s="292"/>
      <c r="D246" s="230"/>
      <c r="E246" s="230"/>
    </row>
    <row r="247" spans="3:5">
      <c r="C247" s="292"/>
      <c r="D247" s="230"/>
      <c r="E247" s="230"/>
    </row>
    <row r="248" spans="3:5">
      <c r="C248" s="292"/>
      <c r="D248" s="230"/>
      <c r="E248" s="230"/>
    </row>
    <row r="249" spans="3:5">
      <c r="C249" s="292"/>
      <c r="D249" s="230"/>
      <c r="E249" s="230"/>
    </row>
    <row r="250" spans="3:5">
      <c r="C250" s="292"/>
      <c r="D250" s="230"/>
      <c r="E250" s="230"/>
    </row>
    <row r="251" spans="3:5">
      <c r="C251" s="292"/>
      <c r="D251" s="230"/>
      <c r="E251" s="230"/>
    </row>
    <row r="252" spans="3:5">
      <c r="C252" s="292"/>
      <c r="D252" s="230"/>
      <c r="E252" s="230"/>
    </row>
    <row r="253" spans="3:5">
      <c r="C253" s="292"/>
      <c r="D253" s="230"/>
      <c r="E253" s="230"/>
    </row>
    <row r="254" spans="3:5">
      <c r="C254" s="292"/>
      <c r="D254" s="230"/>
      <c r="E254" s="230"/>
    </row>
    <row r="255" spans="3:5">
      <c r="C255" s="292"/>
      <c r="D255" s="230"/>
      <c r="E255" s="230"/>
    </row>
    <row r="256" spans="3:5">
      <c r="C256" s="292"/>
      <c r="D256" s="230"/>
      <c r="E256" s="230"/>
    </row>
    <row r="257" spans="3:5">
      <c r="C257" s="292"/>
      <c r="D257" s="230"/>
      <c r="E257" s="230"/>
    </row>
    <row r="258" spans="3:5">
      <c r="C258" s="292"/>
      <c r="D258" s="230"/>
      <c r="E258" s="230"/>
    </row>
    <row r="259" spans="3:5">
      <c r="C259" s="292"/>
      <c r="D259" s="230"/>
      <c r="E259" s="230"/>
    </row>
    <row r="260" spans="3:5">
      <c r="C260" s="292"/>
      <c r="D260" s="230"/>
      <c r="E260" s="230"/>
    </row>
    <row r="261" spans="3:5">
      <c r="C261" s="292"/>
      <c r="D261" s="230"/>
      <c r="E261" s="230"/>
    </row>
    <row r="262" spans="3:5">
      <c r="C262" s="292"/>
      <c r="D262" s="230"/>
      <c r="E262" s="230"/>
    </row>
    <row r="263" spans="3:5">
      <c r="C263" s="292"/>
      <c r="D263" s="230"/>
      <c r="E263" s="230"/>
    </row>
    <row r="264" spans="3:5">
      <c r="C264" s="292"/>
      <c r="D264" s="230"/>
      <c r="E264" s="230"/>
    </row>
    <row r="265" spans="3:5">
      <c r="C265" s="292"/>
      <c r="D265" s="230"/>
      <c r="E265" s="230"/>
    </row>
    <row r="266" spans="3:5">
      <c r="C266" s="292"/>
      <c r="D266" s="230"/>
      <c r="E266" s="230"/>
    </row>
    <row r="267" spans="3:5">
      <c r="C267" s="292"/>
      <c r="D267" s="230"/>
      <c r="E267" s="230"/>
    </row>
    <row r="268" spans="3:5">
      <c r="C268" s="292"/>
      <c r="D268" s="230"/>
      <c r="E268" s="230"/>
    </row>
    <row r="269" spans="3:5">
      <c r="C269" s="292"/>
      <c r="D269" s="230"/>
      <c r="E269" s="230"/>
    </row>
    <row r="270" spans="3:5">
      <c r="C270" s="292"/>
      <c r="D270" s="230"/>
      <c r="E270" s="230"/>
    </row>
    <row r="271" spans="3:5">
      <c r="C271" s="292"/>
      <c r="D271" s="230"/>
      <c r="E271" s="230"/>
    </row>
    <row r="272" spans="3:5">
      <c r="C272" s="292"/>
      <c r="D272" s="230"/>
      <c r="E272" s="230"/>
    </row>
    <row r="273" spans="3:5">
      <c r="C273" s="292"/>
      <c r="D273" s="230"/>
      <c r="E273" s="230"/>
    </row>
    <row r="274" spans="3:5">
      <c r="C274" s="292"/>
      <c r="D274" s="230"/>
      <c r="E274" s="230"/>
    </row>
    <row r="275" spans="3:5">
      <c r="C275" s="292"/>
      <c r="D275" s="230"/>
      <c r="E275" s="230"/>
    </row>
    <row r="276" spans="3:5">
      <c r="C276" s="292"/>
      <c r="D276" s="230"/>
      <c r="E276" s="230"/>
    </row>
    <row r="277" spans="3:5">
      <c r="C277" s="292"/>
      <c r="D277" s="230"/>
      <c r="E277" s="230"/>
    </row>
    <row r="278" spans="3:5">
      <c r="C278" s="292"/>
      <c r="D278" s="230"/>
      <c r="E278" s="230"/>
    </row>
    <row r="279" spans="3:5">
      <c r="C279" s="292"/>
      <c r="D279" s="230"/>
      <c r="E279" s="230"/>
    </row>
    <row r="280" spans="3:5">
      <c r="C280" s="292"/>
      <c r="D280" s="230"/>
      <c r="E280" s="230"/>
    </row>
    <row r="281" spans="3:5">
      <c r="C281" s="292"/>
      <c r="D281" s="230"/>
      <c r="E281" s="230"/>
    </row>
    <row r="282" spans="3:5">
      <c r="C282" s="292"/>
      <c r="D282" s="230"/>
      <c r="E282" s="230"/>
    </row>
    <row r="283" spans="3:5">
      <c r="C283" s="292"/>
      <c r="D283" s="230"/>
      <c r="E283" s="230"/>
    </row>
    <row r="284" spans="3:5">
      <c r="C284" s="292"/>
      <c r="D284" s="230"/>
      <c r="E284" s="230"/>
    </row>
    <row r="285" spans="3:5">
      <c r="C285" s="292"/>
      <c r="D285" s="230"/>
      <c r="E285" s="230"/>
    </row>
    <row r="286" spans="3:5">
      <c r="C286" s="292"/>
      <c r="D286" s="230"/>
      <c r="E286" s="230"/>
    </row>
    <row r="287" spans="3:5">
      <c r="C287" s="292"/>
      <c r="D287" s="230"/>
      <c r="E287" s="230"/>
    </row>
    <row r="288" spans="3:5">
      <c r="C288" s="292"/>
      <c r="D288" s="230"/>
      <c r="E288" s="230"/>
    </row>
    <row r="289" spans="3:5">
      <c r="C289" s="292"/>
      <c r="D289" s="230"/>
      <c r="E289" s="230"/>
    </row>
    <row r="290" spans="3:5">
      <c r="C290" s="292"/>
      <c r="D290" s="230"/>
      <c r="E290" s="230"/>
    </row>
    <row r="291" spans="3:5">
      <c r="C291" s="292"/>
      <c r="D291" s="230"/>
      <c r="E291" s="230"/>
    </row>
    <row r="292" spans="3:5">
      <c r="C292" s="292"/>
      <c r="D292" s="230"/>
      <c r="E292" s="230"/>
    </row>
    <row r="293" spans="3:5">
      <c r="C293" s="292"/>
      <c r="D293" s="230"/>
      <c r="E293" s="230"/>
    </row>
    <row r="294" spans="3:5">
      <c r="C294" s="292"/>
      <c r="D294" s="230"/>
      <c r="E294" s="230"/>
    </row>
    <row r="295" spans="3:5">
      <c r="C295" s="292"/>
      <c r="D295" s="230"/>
      <c r="E295" s="230"/>
    </row>
    <row r="296" spans="3:5">
      <c r="C296" s="292"/>
      <c r="D296" s="230"/>
      <c r="E296" s="230"/>
    </row>
    <row r="297" spans="3:5">
      <c r="C297" s="292"/>
      <c r="D297" s="230"/>
      <c r="E297" s="230"/>
    </row>
    <row r="298" spans="3:5">
      <c r="C298" s="292"/>
      <c r="D298" s="230"/>
      <c r="E298" s="230"/>
    </row>
    <row r="299" spans="3:5">
      <c r="C299" s="292"/>
      <c r="D299" s="230"/>
      <c r="E299" s="230"/>
    </row>
    <row r="300" spans="3:5">
      <c r="C300" s="292"/>
      <c r="D300" s="230"/>
      <c r="E300" s="230"/>
    </row>
    <row r="301" spans="3:5">
      <c r="C301" s="292"/>
      <c r="D301" s="230"/>
      <c r="E301" s="230"/>
    </row>
    <row r="302" spans="3:5">
      <c r="C302" s="292"/>
      <c r="D302" s="230"/>
      <c r="E302" s="230"/>
    </row>
    <row r="303" spans="3:5">
      <c r="C303" s="292"/>
      <c r="D303" s="230"/>
      <c r="E303" s="230"/>
    </row>
    <row r="304" spans="3:5">
      <c r="C304" s="292"/>
      <c r="D304" s="230"/>
      <c r="E304" s="230"/>
    </row>
    <row r="305" spans="3:5">
      <c r="C305" s="292"/>
      <c r="D305" s="230"/>
      <c r="E305" s="230"/>
    </row>
    <row r="306" spans="3:5">
      <c r="C306" s="292"/>
      <c r="D306" s="230"/>
      <c r="E306" s="230"/>
    </row>
    <row r="307" spans="3:5">
      <c r="C307" s="292"/>
      <c r="D307" s="230"/>
      <c r="E307" s="230"/>
    </row>
    <row r="308" spans="3:5">
      <c r="C308" s="292"/>
      <c r="D308" s="230"/>
      <c r="E308" s="230"/>
    </row>
    <row r="309" spans="3:5">
      <c r="C309" s="292"/>
      <c r="D309" s="230"/>
      <c r="E309" s="230"/>
    </row>
    <row r="310" spans="3:5">
      <c r="C310" s="292"/>
      <c r="D310" s="230"/>
      <c r="E310" s="230"/>
    </row>
    <row r="311" spans="3:5">
      <c r="C311" s="292"/>
      <c r="D311" s="230"/>
      <c r="E311" s="230"/>
    </row>
    <row r="312" spans="3:5">
      <c r="C312" s="292"/>
      <c r="D312" s="230"/>
      <c r="E312" s="230"/>
    </row>
    <row r="313" spans="3:5">
      <c r="C313" s="292"/>
      <c r="D313" s="230"/>
      <c r="E313" s="230"/>
    </row>
    <row r="314" spans="3:5">
      <c r="C314" s="292"/>
      <c r="D314" s="230"/>
      <c r="E314" s="230"/>
    </row>
    <row r="315" spans="3:5">
      <c r="C315" s="292"/>
      <c r="D315" s="230"/>
      <c r="E315" s="230"/>
    </row>
    <row r="316" spans="3:5">
      <c r="C316" s="292"/>
      <c r="D316" s="230"/>
      <c r="E316" s="230"/>
    </row>
    <row r="317" spans="3:5">
      <c r="C317" s="292"/>
      <c r="D317" s="230"/>
      <c r="E317" s="230"/>
    </row>
    <row r="318" spans="3:5">
      <c r="C318" s="292"/>
      <c r="D318" s="230"/>
      <c r="E318" s="230"/>
    </row>
    <row r="319" spans="3:5">
      <c r="C319" s="292"/>
      <c r="D319" s="230"/>
      <c r="E319" s="230"/>
    </row>
    <row r="320" spans="3:5">
      <c r="C320" s="292"/>
      <c r="D320" s="230"/>
      <c r="E320" s="230"/>
    </row>
    <row r="321" spans="3:5">
      <c r="C321" s="292"/>
      <c r="D321" s="230"/>
      <c r="E321" s="230"/>
    </row>
    <row r="322" spans="3:5">
      <c r="C322" s="292"/>
      <c r="D322" s="230"/>
      <c r="E322" s="230"/>
    </row>
    <row r="323" spans="3:5">
      <c r="C323" s="292"/>
      <c r="D323" s="230"/>
      <c r="E323" s="230"/>
    </row>
    <row r="324" spans="3:5">
      <c r="C324" s="292"/>
      <c r="D324" s="230"/>
      <c r="E324" s="230"/>
    </row>
    <row r="325" spans="3:5">
      <c r="C325" s="292"/>
      <c r="D325" s="230"/>
      <c r="E325" s="230"/>
    </row>
    <row r="326" spans="3:5">
      <c r="C326" s="292"/>
      <c r="D326" s="230"/>
      <c r="E326" s="230"/>
    </row>
    <row r="327" spans="3:5">
      <c r="C327" s="292"/>
      <c r="D327" s="230"/>
      <c r="E327" s="230"/>
    </row>
    <row r="328" spans="3:5">
      <c r="C328" s="335"/>
    </row>
    <row r="329" spans="3:5">
      <c r="C329" s="335"/>
    </row>
    <row r="330" spans="3:5">
      <c r="C330" s="335"/>
    </row>
    <row r="331" spans="3:5">
      <c r="C331" s="335"/>
    </row>
    <row r="332" spans="3:5">
      <c r="C332" s="335"/>
    </row>
    <row r="333" spans="3:5">
      <c r="C333" s="335"/>
    </row>
    <row r="334" spans="3:5">
      <c r="C334" s="335"/>
    </row>
    <row r="335" spans="3:5">
      <c r="C335" s="335"/>
    </row>
    <row r="336" spans="3:5">
      <c r="C336" s="335"/>
    </row>
    <row r="337" spans="3:3">
      <c r="C337" s="335"/>
    </row>
    <row r="338" spans="3:3">
      <c r="C338" s="335"/>
    </row>
    <row r="339" spans="3:3">
      <c r="C339" s="335"/>
    </row>
    <row r="340" spans="3:3">
      <c r="C340" s="335"/>
    </row>
    <row r="341" spans="3:3">
      <c r="C341" s="335"/>
    </row>
    <row r="342" spans="3:3">
      <c r="C342" s="335"/>
    </row>
    <row r="343" spans="3:3">
      <c r="C343" s="335"/>
    </row>
    <row r="344" spans="3:3">
      <c r="C344" s="335"/>
    </row>
    <row r="345" spans="3:3">
      <c r="C345" s="335"/>
    </row>
    <row r="346" spans="3:3">
      <c r="C346" s="335"/>
    </row>
    <row r="347" spans="3:3">
      <c r="C347" s="335"/>
    </row>
    <row r="348" spans="3:3">
      <c r="C348" s="335"/>
    </row>
    <row r="349" spans="3:3">
      <c r="C349" s="335"/>
    </row>
    <row r="350" spans="3:3">
      <c r="C350" s="335"/>
    </row>
    <row r="351" spans="3:3">
      <c r="C351" s="335"/>
    </row>
    <row r="352" spans="3:3">
      <c r="C352" s="335"/>
    </row>
    <row r="353" spans="3:3">
      <c r="C353" s="335"/>
    </row>
    <row r="354" spans="3:3">
      <c r="C354" s="335"/>
    </row>
    <row r="355" spans="3:3">
      <c r="C355" s="335"/>
    </row>
    <row r="356" spans="3:3">
      <c r="C356" s="335"/>
    </row>
    <row r="357" spans="3:3">
      <c r="C357" s="335"/>
    </row>
    <row r="358" spans="3:3">
      <c r="C358" s="335"/>
    </row>
    <row r="359" spans="3:3">
      <c r="C359" s="335"/>
    </row>
    <row r="360" spans="3:3">
      <c r="C360" s="335"/>
    </row>
    <row r="361" spans="3:3">
      <c r="C361" s="335"/>
    </row>
    <row r="362" spans="3:3">
      <c r="C362" s="335"/>
    </row>
    <row r="363" spans="3:3">
      <c r="C363" s="335"/>
    </row>
    <row r="364" spans="3:3">
      <c r="C364" s="335"/>
    </row>
    <row r="365" spans="3:3">
      <c r="C365" s="335"/>
    </row>
    <row r="366" spans="3:3">
      <c r="C366" s="335"/>
    </row>
    <row r="367" spans="3:3">
      <c r="C367" s="335"/>
    </row>
    <row r="368" spans="3:3">
      <c r="C368" s="335"/>
    </row>
    <row r="369" spans="3:3">
      <c r="C369" s="335"/>
    </row>
    <row r="370" spans="3:3">
      <c r="C370" s="335"/>
    </row>
    <row r="371" spans="3:3">
      <c r="C371" s="335"/>
    </row>
    <row r="372" spans="3:3">
      <c r="C372" s="335"/>
    </row>
    <row r="373" spans="3:3">
      <c r="C373" s="335"/>
    </row>
    <row r="374" spans="3:3">
      <c r="C374" s="335"/>
    </row>
    <row r="375" spans="3:3">
      <c r="C375" s="335"/>
    </row>
    <row r="376" spans="3:3">
      <c r="C376" s="335"/>
    </row>
    <row r="377" spans="3:3">
      <c r="C377" s="335"/>
    </row>
    <row r="378" spans="3:3">
      <c r="C378" s="335"/>
    </row>
    <row r="379" spans="3:3">
      <c r="C379" s="335">
        <f>[5]TAM!N334</f>
        <v>0</v>
      </c>
    </row>
  </sheetData>
  <mergeCells count="9">
    <mergeCell ref="E14:G14"/>
    <mergeCell ref="E15:G15"/>
    <mergeCell ref="E17:F17"/>
    <mergeCell ref="C6:J6"/>
    <mergeCell ref="C7:J7"/>
    <mergeCell ref="C8:J8"/>
    <mergeCell ref="E11:G11"/>
    <mergeCell ref="E12:G12"/>
    <mergeCell ref="E13:G13"/>
  </mergeCells>
  <conditionalFormatting sqref="G17:H17 Q9:Q10 B11:B17 C9:D10 B6:B8 Q5 K11:K16 D11 A5:A19 AC52:IR52 V36:IR37 V38:AB38 AD38:IR38 H38 AC28:IR29 D54:H54 DN40:IR40 D215:P65510 I54:P57 D41 B42 M18 P18:Q18 T30:IR35 D58:P59 D60:E60 G60:P60 E61:P214 C11:C13 B53:C55 B43:R43 T29:AB29 B22:B26 B20:C20 S20:IR20 D42:R42 B44:B46 B58:C65510 B56 A37:A46 T41:IR51 A28:A35 B35 T21:IR27 A21:A25 R5:IR18 Q54:IR65510 B19:IR19 D53:IR53 B50:B51 A50:A65539 B30:B33 B21:S21">
    <cfRule type="cellIs" dxfId="22" priority="19" stopIfTrue="1" operator="equal">
      <formula>0</formula>
    </cfRule>
  </conditionalFormatting>
  <conditionalFormatting sqref="G55:H57">
    <cfRule type="expression" dxfId="21" priority="20" stopIfTrue="1">
      <formula>#REF!=5</formula>
    </cfRule>
  </conditionalFormatting>
  <conditionalFormatting sqref="F55:F57">
    <cfRule type="expression" dxfId="20" priority="21" stopIfTrue="1">
      <formula>#REF!=4</formula>
    </cfRule>
  </conditionalFormatting>
  <conditionalFormatting sqref="E55:E57">
    <cfRule type="expression" dxfId="19" priority="22" stopIfTrue="1">
      <formula>#REF!=3</formula>
    </cfRule>
  </conditionalFormatting>
  <conditionalFormatting sqref="D55:D56 C57">
    <cfRule type="expression" dxfId="18" priority="23" stopIfTrue="1">
      <formula>#REF!=2</formula>
    </cfRule>
  </conditionalFormatting>
  <conditionalFormatting sqref="B52 T52:AB52">
    <cfRule type="cellIs" dxfId="17" priority="24" stopIfTrue="1" operator="equal">
      <formula>0</formula>
    </cfRule>
  </conditionalFormatting>
  <conditionalFormatting sqref="T28:AB28">
    <cfRule type="cellIs" dxfId="16" priority="18" stopIfTrue="1" operator="equal">
      <formula>0</formula>
    </cfRule>
  </conditionalFormatting>
  <conditionalFormatting sqref="B39">
    <cfRule type="cellIs" dxfId="15" priority="16" stopIfTrue="1" operator="equal">
      <formula>0</formula>
    </cfRule>
  </conditionalFormatting>
  <conditionalFormatting sqref="T40:DM40">
    <cfRule type="cellIs" dxfId="14" priority="15" stopIfTrue="1" operator="equal">
      <formula>0</formula>
    </cfRule>
  </conditionalFormatting>
  <conditionalFormatting sqref="LD39:LI39">
    <cfRule type="cellIs" dxfId="13" priority="14" stopIfTrue="1" operator="equal">
      <formula>0</formula>
    </cfRule>
  </conditionalFormatting>
  <conditionalFormatting sqref="T39:LC39 D39:R39">
    <cfRule type="cellIs" dxfId="12" priority="13" stopIfTrue="1" operator="equal">
      <formula>0</formula>
    </cfRule>
  </conditionalFormatting>
  <conditionalFormatting sqref="D61:D214">
    <cfRule type="cellIs" dxfId="11" priority="12" stopIfTrue="1" operator="equal">
      <formula>0</formula>
    </cfRule>
  </conditionalFormatting>
  <conditionalFormatting sqref="C40:R40">
    <cfRule type="cellIs" dxfId="10" priority="11" stopIfTrue="1" operator="equal">
      <formula>0</formula>
    </cfRule>
  </conditionalFormatting>
  <conditionalFormatting sqref="D44:R44">
    <cfRule type="cellIs" dxfId="9" priority="8" stopIfTrue="1" operator="equal">
      <formula>0</formula>
    </cfRule>
  </conditionalFormatting>
  <conditionalFormatting sqref="C44">
    <cfRule type="cellIs" dxfId="8" priority="10" stopIfTrue="1" operator="equal">
      <formula>0</formula>
    </cfRule>
  </conditionalFormatting>
  <conditionalFormatting sqref="E41:R41">
    <cfRule type="cellIs" dxfId="7" priority="9" stopIfTrue="1" operator="equal">
      <formula>0</formula>
    </cfRule>
  </conditionalFormatting>
  <conditionalFormatting sqref="C45:R50">
    <cfRule type="cellIs" dxfId="6" priority="7" stopIfTrue="1" operator="equal">
      <formula>0</formula>
    </cfRule>
  </conditionalFormatting>
  <conditionalFormatting sqref="S22:S52">
    <cfRule type="cellIs" dxfId="5" priority="6" stopIfTrue="1" operator="equal">
      <formula>0</formula>
    </cfRule>
  </conditionalFormatting>
  <conditionalFormatting sqref="C51:R52">
    <cfRule type="cellIs" dxfId="4" priority="5" stopIfTrue="1" operator="equal">
      <formula>0</formula>
    </cfRule>
  </conditionalFormatting>
  <conditionalFormatting sqref="B57">
    <cfRule type="cellIs" dxfId="3" priority="4" stopIfTrue="1" operator="equal">
      <formula>0</formula>
    </cfRule>
  </conditionalFormatting>
  <conditionalFormatting sqref="B34">
    <cfRule type="cellIs" dxfId="2" priority="3" stopIfTrue="1" operator="equal">
      <formula>0</formula>
    </cfRule>
  </conditionalFormatting>
  <conditionalFormatting sqref="B47:B49">
    <cfRule type="cellIs" dxfId="1" priority="2" stopIfTrue="1" operator="equal">
      <formula>0</formula>
    </cfRule>
  </conditionalFormatting>
  <conditionalFormatting sqref="A47:A49">
    <cfRule type="cellIs" dxfId="0" priority="1" stopIfTrue="1" operator="equal">
      <formula>0</formula>
    </cfRule>
  </conditionalFormatting>
  <printOptions horizontalCentered="1" verticalCentered="1"/>
  <pageMargins left="0.23622047244094491" right="0.23622047244094491" top="0.74803149606299213" bottom="0.74803149606299213" header="0.31496062992125984" footer="0.31496062992125984"/>
  <pageSetup paperSize="8" scale="75" fitToWidth="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58F90-E073-F24E-9C09-55981569CC1D}">
  <sheetPr>
    <tabColor theme="6" tint="0.39997558519241921"/>
    <pageSetUpPr fitToPage="1"/>
  </sheetPr>
  <dimension ref="A1:H376"/>
  <sheetViews>
    <sheetView showGridLines="0" showZeros="0" zoomScale="150" zoomScaleNormal="150" zoomScalePageLayoutView="150" workbookViewId="0">
      <selection activeCell="B31" sqref="B31"/>
    </sheetView>
  </sheetViews>
  <sheetFormatPr baseColWidth="10" defaultColWidth="0" defaultRowHeight="0" customHeight="1" zeroHeight="1"/>
  <cols>
    <col min="1" max="1" width="7" style="68" customWidth="1"/>
    <col min="2" max="2" width="11" style="68" customWidth="1"/>
    <col min="3" max="6" width="16.140625" style="68" customWidth="1"/>
    <col min="7" max="7" width="22" style="68" customWidth="1"/>
    <col min="8" max="8" width="17.28515625" style="68" customWidth="1"/>
    <col min="9" max="16384" width="0" style="68" hidden="1"/>
  </cols>
  <sheetData>
    <row r="1" spans="1:8" ht="12.75">
      <c r="H1" s="69" t="s">
        <v>5</v>
      </c>
    </row>
    <row r="2" spans="1:8" ht="27">
      <c r="A2" s="541" t="s">
        <v>6</v>
      </c>
      <c r="B2" s="542"/>
      <c r="C2" s="542"/>
      <c r="D2" s="542"/>
      <c r="E2" s="542"/>
      <c r="F2" s="542"/>
      <c r="G2" s="542"/>
      <c r="H2" s="542"/>
    </row>
    <row r="3" spans="1:8" ht="13.5" thickBot="1">
      <c r="C3" s="70"/>
      <c r="E3" s="71"/>
      <c r="F3" s="71"/>
      <c r="G3" s="72"/>
    </row>
    <row r="4" spans="1:8" ht="12.75">
      <c r="B4" s="543" t="s">
        <v>7</v>
      </c>
      <c r="C4" s="544"/>
      <c r="D4" s="544"/>
      <c r="E4" s="545" t="s">
        <v>8</v>
      </c>
      <c r="F4" s="546"/>
      <c r="G4" s="73">
        <f>'IRR 15y'!N18</f>
        <v>5150340</v>
      </c>
    </row>
    <row r="5" spans="1:8" ht="13.5" thickBot="1">
      <c r="B5" s="544"/>
      <c r="C5" s="544"/>
      <c r="D5" s="544"/>
      <c r="E5" s="539" t="s">
        <v>9</v>
      </c>
      <c r="F5" s="547"/>
      <c r="G5" s="74">
        <f>'IRR 15y'!Q16</f>
        <v>2.8000000000000001E-2</v>
      </c>
    </row>
    <row r="6" spans="1:8" ht="13.5" thickBot="1">
      <c r="B6" s="544"/>
      <c r="C6" s="544"/>
      <c r="D6" s="544"/>
      <c r="E6" s="548"/>
      <c r="F6" s="549"/>
      <c r="G6" s="75"/>
    </row>
    <row r="7" spans="1:8" ht="12.75">
      <c r="B7" s="544"/>
      <c r="C7" s="544"/>
      <c r="D7" s="544"/>
      <c r="E7" s="545" t="s">
        <v>10</v>
      </c>
      <c r="F7" s="546"/>
      <c r="G7" s="76">
        <f>'IRR 15y'!M14</f>
        <v>15</v>
      </c>
    </row>
    <row r="8" spans="1:8" ht="12.75">
      <c r="B8" s="544"/>
      <c r="C8" s="544"/>
      <c r="D8" s="544"/>
      <c r="E8" s="537" t="s">
        <v>11</v>
      </c>
      <c r="F8" s="550"/>
      <c r="G8" s="77">
        <v>1</v>
      </c>
    </row>
    <row r="9" spans="1:8" ht="13.5" thickBot="1">
      <c r="B9" s="544"/>
      <c r="C9" s="544"/>
      <c r="D9" s="544"/>
      <c r="E9" s="539" t="s">
        <v>12</v>
      </c>
      <c r="F9" s="547"/>
      <c r="G9" s="78">
        <v>15</v>
      </c>
    </row>
    <row r="10" spans="1:8" ht="13.5" thickBot="1">
      <c r="B10" s="544"/>
      <c r="C10" s="544"/>
      <c r="D10" s="544"/>
      <c r="E10" s="548"/>
      <c r="F10" s="549"/>
      <c r="G10" s="75"/>
    </row>
    <row r="11" spans="1:8" ht="12.75">
      <c r="B11" s="544"/>
      <c r="C11" s="544"/>
      <c r="D11" s="544"/>
      <c r="E11" s="545" t="s">
        <v>13</v>
      </c>
      <c r="F11" s="551"/>
      <c r="G11" s="79">
        <f>-PMT((G5/G8),G9,G4)</f>
        <v>425209.40471034148</v>
      </c>
      <c r="H11" s="80"/>
    </row>
    <row r="12" spans="1:8" ht="12.75">
      <c r="B12" s="544"/>
      <c r="C12" s="544"/>
      <c r="D12" s="544"/>
      <c r="E12" s="537" t="s">
        <v>14</v>
      </c>
      <c r="F12" s="538"/>
      <c r="G12" s="81">
        <f>G13-G4</f>
        <v>1227801.0706551224</v>
      </c>
    </row>
    <row r="13" spans="1:8" ht="13.5" thickBot="1">
      <c r="B13" s="544"/>
      <c r="C13" s="544"/>
      <c r="D13" s="544"/>
      <c r="E13" s="539" t="s">
        <v>15</v>
      </c>
      <c r="F13" s="540"/>
      <c r="G13" s="82">
        <f>G11*G9</f>
        <v>6378141.0706551224</v>
      </c>
    </row>
    <row r="14" spans="1:8" ht="13.5" thickBot="1">
      <c r="G14" s="83"/>
      <c r="H14" s="84">
        <f>G5*G4</f>
        <v>144209.51999999999</v>
      </c>
    </row>
    <row r="15" spans="1:8" ht="25.5">
      <c r="B15" s="85" t="s">
        <v>16</v>
      </c>
      <c r="C15" s="86" t="s">
        <v>17</v>
      </c>
      <c r="D15" s="86" t="s">
        <v>18</v>
      </c>
      <c r="E15" s="86" t="s">
        <v>19</v>
      </c>
      <c r="F15" s="86" t="s">
        <v>20</v>
      </c>
      <c r="G15" s="87" t="s">
        <v>21</v>
      </c>
      <c r="H15" s="84">
        <f>$G$5*G16</f>
        <v>136341.52322811043</v>
      </c>
    </row>
    <row r="16" spans="1:8" ht="12.75">
      <c r="B16" s="88">
        <f t="shared" ref="B16:B79" si="0">IF(((ROW()-nSkip)&lt;=$G$9),(ROW()-nSkip), "")</f>
        <v>1</v>
      </c>
      <c r="C16" s="89">
        <f t="shared" ref="C16:C81" si="1">IF((B16&lt;=$G$9),-PMT(($G$5/$G$8),$G$9,$G$4),"")</f>
        <v>425209.40471034148</v>
      </c>
      <c r="D16" s="89">
        <f t="shared" ref="D16:D80" si="2">IF(((ROW()-nSkip)&lt;=$G$9),-PPMT(($G$5/$G$8),B16,$G$9,$G$4),"")</f>
        <v>280999.8847103414</v>
      </c>
      <c r="E16" s="89">
        <f>IF(((ROW()-nSkip)&lt;=$G$9),-IPMT(($G$5/$G$8),B16,$G$9,$G$4),"")</f>
        <v>144209.51999999999</v>
      </c>
      <c r="F16" s="89">
        <f>IF(((ROW()-nSkip)&lt;=$G$9),E16,"")</f>
        <v>144209.51999999999</v>
      </c>
      <c r="G16" s="90">
        <f>IF(((ROW()-nSkip)&lt;=$G$9),(G4-D16),"")</f>
        <v>4869340.1152896583</v>
      </c>
      <c r="H16" s="84">
        <f t="shared" ref="H16:H30" si="3">$G$5*G17</f>
        <v>128253.22254660795</v>
      </c>
    </row>
    <row r="17" spans="2:8" ht="12" customHeight="1">
      <c r="B17" s="88">
        <f t="shared" si="0"/>
        <v>2</v>
      </c>
      <c r="C17" s="89">
        <f t="shared" si="1"/>
        <v>425209.40471034148</v>
      </c>
      <c r="D17" s="89">
        <f t="shared" si="2"/>
        <v>288867.88148223102</v>
      </c>
      <c r="E17" s="89">
        <f>IF(((ROW()-nSkip)&lt;=$G$9),-IPMT(($G$5/$G$8),B17,$G$9,$G$4),"")</f>
        <v>136341.52322811043</v>
      </c>
      <c r="F17" s="89">
        <f t="shared" ref="F17:F80" si="4">IF(((ROW()-nSkip)&lt;=$G$9),(E17+F16),"")</f>
        <v>280551.04322811041</v>
      </c>
      <c r="G17" s="90">
        <f t="shared" ref="G17:G80" si="5">IF(((ROW()-nSkip)&lt;=$G$9),(G16-D17),"")</f>
        <v>4580472.2338074269</v>
      </c>
      <c r="H17" s="84">
        <f t="shared" si="3"/>
        <v>119938.44944602343</v>
      </c>
    </row>
    <row r="18" spans="2:8" ht="12" customHeight="1">
      <c r="B18" s="88">
        <f t="shared" si="0"/>
        <v>3</v>
      </c>
      <c r="C18" s="89">
        <f t="shared" si="1"/>
        <v>425209.40471034148</v>
      </c>
      <c r="D18" s="89">
        <f t="shared" si="2"/>
        <v>296956.18216373347</v>
      </c>
      <c r="E18" s="89">
        <f t="shared" ref="E18:E81" si="6">IF(((ROW()-nSkip)&lt;=$G$9),-IPMT(($G$5/$G$8),B18,$G$9,$G$4),"")</f>
        <v>128253.22254660798</v>
      </c>
      <c r="F18" s="89">
        <f t="shared" si="4"/>
        <v>408804.26577471837</v>
      </c>
      <c r="G18" s="90">
        <f t="shared" si="5"/>
        <v>4283516.0516436938</v>
      </c>
      <c r="H18" s="84">
        <f t="shared" si="3"/>
        <v>111390.86269862253</v>
      </c>
    </row>
    <row r="19" spans="2:8" ht="12" customHeight="1">
      <c r="B19" s="88">
        <f t="shared" si="0"/>
        <v>4</v>
      </c>
      <c r="C19" s="89">
        <f t="shared" si="1"/>
        <v>425209.40471034148</v>
      </c>
      <c r="D19" s="89">
        <f>IF(((ROW()-nSkip)&lt;=$G$9),-PPMT(($G$5/$G$8),B19,$G$9,$G$4),"")</f>
        <v>305270.95526431804</v>
      </c>
      <c r="E19" s="89">
        <f t="shared" si="6"/>
        <v>119938.44944602343</v>
      </c>
      <c r="F19" s="89">
        <f t="shared" si="4"/>
        <v>528742.71522074181</v>
      </c>
      <c r="G19" s="90">
        <f t="shared" si="5"/>
        <v>3978245.096379376</v>
      </c>
      <c r="H19" s="84">
        <f t="shared" si="3"/>
        <v>102603.9435222944</v>
      </c>
    </row>
    <row r="20" spans="2:8" ht="12.75">
      <c r="B20" s="88">
        <f t="shared" si="0"/>
        <v>5</v>
      </c>
      <c r="C20" s="89">
        <f t="shared" si="1"/>
        <v>425209.40471034148</v>
      </c>
      <c r="D20" s="89">
        <f t="shared" si="2"/>
        <v>313818.54201171891</v>
      </c>
      <c r="E20" s="89">
        <f t="shared" si="6"/>
        <v>111390.86269862253</v>
      </c>
      <c r="F20" s="89">
        <f t="shared" si="4"/>
        <v>640133.57791936432</v>
      </c>
      <c r="G20" s="90">
        <f t="shared" si="5"/>
        <v>3664426.5543676573</v>
      </c>
      <c r="H20" s="84">
        <f t="shared" si="3"/>
        <v>93570.99060902909</v>
      </c>
    </row>
    <row r="21" spans="2:8" ht="12.75">
      <c r="B21" s="88">
        <f t="shared" si="0"/>
        <v>6</v>
      </c>
      <c r="C21" s="89">
        <f t="shared" si="1"/>
        <v>425209.40471034148</v>
      </c>
      <c r="D21" s="89">
        <f t="shared" si="2"/>
        <v>322605.46118804702</v>
      </c>
      <c r="E21" s="89">
        <f t="shared" si="6"/>
        <v>102603.9435222944</v>
      </c>
      <c r="F21" s="89">
        <f t="shared" si="4"/>
        <v>742737.52144165873</v>
      </c>
      <c r="G21" s="90">
        <f>IF(((ROW()-nSkip)&lt;=$G$9),(G20-D21),"")</f>
        <v>3341821.0931796101</v>
      </c>
      <c r="H21" s="84">
        <f t="shared" si="3"/>
        <v>84285.115014192343</v>
      </c>
    </row>
    <row r="22" spans="2:8" ht="12.75">
      <c r="B22" s="88">
        <f t="shared" si="0"/>
        <v>7</v>
      </c>
      <c r="C22" s="89">
        <f t="shared" si="1"/>
        <v>425209.40471034148</v>
      </c>
      <c r="D22" s="89">
        <f t="shared" si="2"/>
        <v>331638.41410131234</v>
      </c>
      <c r="E22" s="89">
        <f t="shared" si="6"/>
        <v>93570.990609029104</v>
      </c>
      <c r="F22" s="89">
        <f t="shared" si="4"/>
        <v>836308.5120506878</v>
      </c>
      <c r="G22" s="90">
        <f t="shared" si="5"/>
        <v>3010182.6790782977</v>
      </c>
      <c r="H22" s="84">
        <f t="shared" si="3"/>
        <v>74739.234902700162</v>
      </c>
    </row>
    <row r="23" spans="2:8" ht="12.75">
      <c r="B23" s="88">
        <f t="shared" si="0"/>
        <v>8</v>
      </c>
      <c r="C23" s="89">
        <f t="shared" si="1"/>
        <v>425209.40471034148</v>
      </c>
      <c r="D23" s="89">
        <f t="shared" si="2"/>
        <v>340924.28969614912</v>
      </c>
      <c r="E23" s="89">
        <f t="shared" si="6"/>
        <v>84285.115014192357</v>
      </c>
      <c r="F23" s="89">
        <f t="shared" si="4"/>
        <v>920593.62706488022</v>
      </c>
      <c r="G23" s="90">
        <f t="shared" si="5"/>
        <v>2669258.3893821486</v>
      </c>
      <c r="H23" s="84">
        <f t="shared" si="3"/>
        <v>64926.070148086204</v>
      </c>
    </row>
    <row r="24" spans="2:8" ht="12.75">
      <c r="B24" s="88">
        <f t="shared" si="0"/>
        <v>9</v>
      </c>
      <c r="C24" s="89">
        <f t="shared" si="1"/>
        <v>425209.40471034148</v>
      </c>
      <c r="D24" s="89">
        <f t="shared" si="2"/>
        <v>350470.1698076413</v>
      </c>
      <c r="E24" s="89">
        <f t="shared" si="6"/>
        <v>74739.234902700162</v>
      </c>
      <c r="F24" s="89">
        <f t="shared" si="4"/>
        <v>995332.86196758039</v>
      </c>
      <c r="G24" s="90">
        <f t="shared" si="5"/>
        <v>2318788.2195745073</v>
      </c>
      <c r="H24" s="84">
        <f t="shared" si="3"/>
        <v>54838.136780343055</v>
      </c>
    </row>
    <row r="25" spans="2:8" ht="12.75">
      <c r="B25" s="88">
        <f t="shared" si="0"/>
        <v>10</v>
      </c>
      <c r="C25" s="89">
        <f t="shared" si="1"/>
        <v>425209.40471034148</v>
      </c>
      <c r="D25" s="89">
        <f t="shared" si="2"/>
        <v>360283.33456225524</v>
      </c>
      <c r="E25" s="89">
        <f t="shared" si="6"/>
        <v>64926.070148086219</v>
      </c>
      <c r="F25" s="89">
        <f t="shared" si="4"/>
        <v>1060258.9321156666</v>
      </c>
      <c r="G25" s="90">
        <f t="shared" si="5"/>
        <v>1958504.885012252</v>
      </c>
      <c r="H25" s="84">
        <f t="shared" si="3"/>
        <v>44467.741278303103</v>
      </c>
    </row>
    <row r="26" spans="2:8" ht="12.75">
      <c r="B26" s="88">
        <f t="shared" si="0"/>
        <v>11</v>
      </c>
      <c r="C26" s="89">
        <f t="shared" si="1"/>
        <v>425209.40471034148</v>
      </c>
      <c r="D26" s="89">
        <f t="shared" si="2"/>
        <v>370371.2679299984</v>
      </c>
      <c r="E26" s="89">
        <f t="shared" si="6"/>
        <v>54838.136780343077</v>
      </c>
      <c r="F26" s="89">
        <f t="shared" si="4"/>
        <v>1115097.0688960096</v>
      </c>
      <c r="G26" s="90">
        <f t="shared" si="5"/>
        <v>1588133.6170822536</v>
      </c>
      <c r="H26" s="84">
        <f t="shared" si="3"/>
        <v>33806.974702206026</v>
      </c>
    </row>
    <row r="27" spans="2:8" ht="12.75">
      <c r="B27" s="88">
        <f t="shared" si="0"/>
        <v>12</v>
      </c>
      <c r="C27" s="89">
        <f t="shared" si="1"/>
        <v>425209.40471034148</v>
      </c>
      <c r="D27" s="89">
        <f t="shared" si="2"/>
        <v>380741.66343203839</v>
      </c>
      <c r="E27" s="89">
        <f t="shared" si="6"/>
        <v>44467.741278303118</v>
      </c>
      <c r="F27" s="89">
        <f t="shared" si="4"/>
        <v>1159564.8101743127</v>
      </c>
      <c r="G27" s="90">
        <f t="shared" si="5"/>
        <v>1207391.9536502152</v>
      </c>
      <c r="H27" s="84">
        <f t="shared" si="3"/>
        <v>22847.706661978231</v>
      </c>
    </row>
    <row r="28" spans="2:8" ht="12.75">
      <c r="B28" s="88">
        <f t="shared" si="0"/>
        <v>13</v>
      </c>
      <c r="C28" s="89">
        <f t="shared" si="1"/>
        <v>425209.40471034148</v>
      </c>
      <c r="D28" s="89">
        <f t="shared" si="2"/>
        <v>391402.43000813544</v>
      </c>
      <c r="E28" s="89">
        <f t="shared" si="6"/>
        <v>33806.974702206047</v>
      </c>
      <c r="F28" s="89">
        <f t="shared" si="4"/>
        <v>1193371.7848765186</v>
      </c>
      <c r="G28" s="90">
        <f t="shared" si="5"/>
        <v>815989.52364207967</v>
      </c>
      <c r="H28" s="84">
        <f t="shared" si="3"/>
        <v>11581.579116624061</v>
      </c>
    </row>
    <row r="29" spans="2:8" ht="12.75">
      <c r="B29" s="88">
        <f t="shared" si="0"/>
        <v>14</v>
      </c>
      <c r="C29" s="89">
        <f t="shared" si="1"/>
        <v>425209.40471034148</v>
      </c>
      <c r="D29" s="89">
        <f t="shared" si="2"/>
        <v>402361.69804836321</v>
      </c>
      <c r="E29" s="89">
        <f t="shared" si="6"/>
        <v>22847.706661978253</v>
      </c>
      <c r="F29" s="89">
        <f t="shared" si="4"/>
        <v>1216219.4915384969</v>
      </c>
      <c r="G29" s="90">
        <f>IF(((ROW()-nSkip)&lt;=$G$9),(G28-D29),"")</f>
        <v>413627.82559371646</v>
      </c>
      <c r="H29" s="84">
        <f t="shared" si="3"/>
        <v>-2.6077032089233399E-11</v>
      </c>
    </row>
    <row r="30" spans="2:8" ht="12.75">
      <c r="B30" s="88">
        <f t="shared" si="0"/>
        <v>15</v>
      </c>
      <c r="C30" s="89">
        <f t="shared" si="1"/>
        <v>425209.40471034148</v>
      </c>
      <c r="D30" s="89">
        <f>(IF(((ROW()-nSkip)&lt;=$G$9),-PPMT(($G$5/$G$8),B30,$G$9,$G$4),""))</f>
        <v>413627.8255937174</v>
      </c>
      <c r="E30" s="89">
        <f t="shared" si="6"/>
        <v>11581.579116624085</v>
      </c>
      <c r="F30" s="89">
        <f t="shared" si="4"/>
        <v>1227801.070655121</v>
      </c>
      <c r="G30" s="90">
        <f>IF(((ROW()-nSkip)&lt;=$G$9),(G29-D30),"")</f>
        <v>-9.3132257461547852E-10</v>
      </c>
      <c r="H30" s="84" t="e">
        <f t="shared" si="3"/>
        <v>#VALUE!</v>
      </c>
    </row>
    <row r="31" spans="2:8" ht="12.75">
      <c r="B31" s="88" t="str">
        <f t="shared" si="0"/>
        <v/>
      </c>
      <c r="C31" s="89" t="str">
        <f t="shared" si="1"/>
        <v/>
      </c>
      <c r="D31" s="89" t="str">
        <f t="shared" si="2"/>
        <v/>
      </c>
      <c r="E31" s="89" t="str">
        <f t="shared" si="6"/>
        <v/>
      </c>
      <c r="F31" s="89" t="str">
        <f t="shared" si="4"/>
        <v/>
      </c>
      <c r="G31" s="90" t="str">
        <f t="shared" si="5"/>
        <v/>
      </c>
    </row>
    <row r="32" spans="2:8" ht="12.75">
      <c r="B32" s="88" t="str">
        <f t="shared" si="0"/>
        <v/>
      </c>
      <c r="C32" s="89" t="str">
        <f t="shared" si="1"/>
        <v/>
      </c>
      <c r="D32" s="89" t="str">
        <f t="shared" si="2"/>
        <v/>
      </c>
      <c r="E32" s="89" t="str">
        <f t="shared" si="6"/>
        <v/>
      </c>
      <c r="F32" s="89" t="str">
        <f t="shared" si="4"/>
        <v/>
      </c>
      <c r="G32" s="90" t="str">
        <f t="shared" si="5"/>
        <v/>
      </c>
    </row>
    <row r="33" spans="2:8" ht="12.75">
      <c r="B33" s="88" t="str">
        <f t="shared" si="0"/>
        <v/>
      </c>
      <c r="C33" s="89" t="str">
        <f t="shared" si="1"/>
        <v/>
      </c>
      <c r="D33" s="89" t="str">
        <f t="shared" si="2"/>
        <v/>
      </c>
      <c r="E33" s="89" t="str">
        <f t="shared" si="6"/>
        <v/>
      </c>
      <c r="F33" s="89" t="str">
        <f t="shared" si="4"/>
        <v/>
      </c>
      <c r="G33" s="90" t="str">
        <f t="shared" si="5"/>
        <v/>
      </c>
      <c r="H33" s="84"/>
    </row>
    <row r="34" spans="2:8" ht="12.75">
      <c r="B34" s="88" t="str">
        <f t="shared" si="0"/>
        <v/>
      </c>
      <c r="C34" s="89" t="str">
        <f t="shared" si="1"/>
        <v/>
      </c>
      <c r="D34" s="89" t="str">
        <f t="shared" si="2"/>
        <v/>
      </c>
      <c r="E34" s="89" t="str">
        <f t="shared" si="6"/>
        <v/>
      </c>
      <c r="F34" s="89" t="str">
        <f t="shared" si="4"/>
        <v/>
      </c>
      <c r="G34" s="90" t="str">
        <f t="shared" si="5"/>
        <v/>
      </c>
    </row>
    <row r="35" spans="2:8" ht="12.75">
      <c r="B35" s="88" t="str">
        <f t="shared" si="0"/>
        <v/>
      </c>
      <c r="C35" s="89" t="str">
        <f t="shared" si="1"/>
        <v/>
      </c>
      <c r="D35" s="89" t="str">
        <f t="shared" si="2"/>
        <v/>
      </c>
      <c r="E35" s="89" t="str">
        <f t="shared" si="6"/>
        <v/>
      </c>
      <c r="F35" s="89" t="str">
        <f t="shared" si="4"/>
        <v/>
      </c>
      <c r="G35" s="90" t="str">
        <f t="shared" si="5"/>
        <v/>
      </c>
    </row>
    <row r="36" spans="2:8" ht="12.75">
      <c r="B36" s="88" t="str">
        <f t="shared" si="0"/>
        <v/>
      </c>
      <c r="C36" s="89" t="str">
        <f t="shared" si="1"/>
        <v/>
      </c>
      <c r="D36" s="89" t="str">
        <f t="shared" si="2"/>
        <v/>
      </c>
      <c r="E36" s="89" t="str">
        <f t="shared" si="6"/>
        <v/>
      </c>
      <c r="F36" s="89" t="str">
        <f t="shared" si="4"/>
        <v/>
      </c>
      <c r="G36" s="90" t="str">
        <f t="shared" si="5"/>
        <v/>
      </c>
    </row>
    <row r="37" spans="2:8" ht="12.75">
      <c r="B37" s="88" t="str">
        <f t="shared" si="0"/>
        <v/>
      </c>
      <c r="C37" s="89" t="str">
        <f t="shared" si="1"/>
        <v/>
      </c>
      <c r="D37" s="89" t="str">
        <f t="shared" si="2"/>
        <v/>
      </c>
      <c r="E37" s="89" t="str">
        <f t="shared" si="6"/>
        <v/>
      </c>
      <c r="F37" s="89" t="str">
        <f t="shared" si="4"/>
        <v/>
      </c>
      <c r="G37" s="90" t="str">
        <f t="shared" si="5"/>
        <v/>
      </c>
    </row>
    <row r="38" spans="2:8" ht="12.75">
      <c r="B38" s="88" t="str">
        <f t="shared" si="0"/>
        <v/>
      </c>
      <c r="C38" s="89" t="str">
        <f t="shared" si="1"/>
        <v/>
      </c>
      <c r="D38" s="89" t="str">
        <f t="shared" si="2"/>
        <v/>
      </c>
      <c r="E38" s="89" t="str">
        <f t="shared" si="6"/>
        <v/>
      </c>
      <c r="F38" s="89" t="str">
        <f t="shared" si="4"/>
        <v/>
      </c>
      <c r="G38" s="90" t="str">
        <f t="shared" si="5"/>
        <v/>
      </c>
    </row>
    <row r="39" spans="2:8" ht="12.75">
      <c r="B39" s="88" t="str">
        <f t="shared" si="0"/>
        <v/>
      </c>
      <c r="C39" s="89" t="str">
        <f t="shared" si="1"/>
        <v/>
      </c>
      <c r="D39" s="89" t="str">
        <f t="shared" si="2"/>
        <v/>
      </c>
      <c r="E39" s="89" t="str">
        <f t="shared" si="6"/>
        <v/>
      </c>
      <c r="F39" s="89" t="str">
        <f t="shared" si="4"/>
        <v/>
      </c>
      <c r="G39" s="90" t="str">
        <f t="shared" si="5"/>
        <v/>
      </c>
      <c r="H39" s="80"/>
    </row>
    <row r="40" spans="2:8" ht="12.75">
      <c r="B40" s="88" t="str">
        <f t="shared" si="0"/>
        <v/>
      </c>
      <c r="C40" s="89" t="str">
        <f t="shared" si="1"/>
        <v/>
      </c>
      <c r="D40" s="89" t="str">
        <f t="shared" si="2"/>
        <v/>
      </c>
      <c r="E40" s="89" t="str">
        <f t="shared" si="6"/>
        <v/>
      </c>
      <c r="F40" s="89" t="str">
        <f t="shared" si="4"/>
        <v/>
      </c>
      <c r="G40" s="90" t="str">
        <f t="shared" si="5"/>
        <v/>
      </c>
    </row>
    <row r="41" spans="2:8" ht="12.75">
      <c r="B41" s="88" t="str">
        <f t="shared" si="0"/>
        <v/>
      </c>
      <c r="C41" s="89" t="str">
        <f t="shared" si="1"/>
        <v/>
      </c>
      <c r="D41" s="89" t="str">
        <f t="shared" si="2"/>
        <v/>
      </c>
      <c r="E41" s="89"/>
      <c r="F41" s="89" t="str">
        <f t="shared" si="4"/>
        <v/>
      </c>
      <c r="G41" s="90" t="str">
        <f t="shared" si="5"/>
        <v/>
      </c>
    </row>
    <row r="42" spans="2:8" ht="12.75">
      <c r="B42" s="88" t="str">
        <f t="shared" si="0"/>
        <v/>
      </c>
      <c r="C42" s="89" t="str">
        <f t="shared" si="1"/>
        <v/>
      </c>
      <c r="D42" s="89" t="str">
        <f t="shared" si="2"/>
        <v/>
      </c>
      <c r="E42" s="89"/>
      <c r="F42" s="89" t="str">
        <f t="shared" si="4"/>
        <v/>
      </c>
      <c r="G42" s="90" t="str">
        <f t="shared" si="5"/>
        <v/>
      </c>
    </row>
    <row r="43" spans="2:8" ht="12.75">
      <c r="B43" s="88" t="str">
        <f t="shared" si="0"/>
        <v/>
      </c>
      <c r="C43" s="89" t="str">
        <f t="shared" si="1"/>
        <v/>
      </c>
      <c r="D43" s="89" t="str">
        <f t="shared" si="2"/>
        <v/>
      </c>
      <c r="E43" s="89"/>
      <c r="F43" s="89" t="str">
        <f t="shared" si="4"/>
        <v/>
      </c>
      <c r="G43" s="90" t="str">
        <f t="shared" si="5"/>
        <v/>
      </c>
    </row>
    <row r="44" spans="2:8" ht="12.75">
      <c r="B44" s="88" t="str">
        <f t="shared" si="0"/>
        <v/>
      </c>
      <c r="C44" s="89" t="str">
        <f t="shared" si="1"/>
        <v/>
      </c>
      <c r="D44" s="89" t="str">
        <f t="shared" si="2"/>
        <v/>
      </c>
      <c r="E44" s="89"/>
      <c r="F44" s="89" t="str">
        <f t="shared" si="4"/>
        <v/>
      </c>
      <c r="G44" s="90" t="str">
        <f t="shared" si="5"/>
        <v/>
      </c>
    </row>
    <row r="45" spans="2:8" ht="12.75">
      <c r="B45" s="88" t="str">
        <f t="shared" si="0"/>
        <v/>
      </c>
      <c r="C45" s="89" t="str">
        <f t="shared" si="1"/>
        <v/>
      </c>
      <c r="D45" s="89" t="str">
        <f t="shared" si="2"/>
        <v/>
      </c>
      <c r="E45" s="89"/>
      <c r="F45" s="89" t="str">
        <f t="shared" si="4"/>
        <v/>
      </c>
      <c r="G45" s="90" t="str">
        <f t="shared" si="5"/>
        <v/>
      </c>
    </row>
    <row r="46" spans="2:8" ht="12.75">
      <c r="B46" s="88" t="str">
        <f t="shared" si="0"/>
        <v/>
      </c>
      <c r="C46" s="89" t="str">
        <f t="shared" si="1"/>
        <v/>
      </c>
      <c r="D46" s="89" t="str">
        <f t="shared" si="2"/>
        <v/>
      </c>
      <c r="E46" s="89"/>
      <c r="F46" s="89" t="str">
        <f t="shared" si="4"/>
        <v/>
      </c>
      <c r="G46" s="90" t="str">
        <f t="shared" si="5"/>
        <v/>
      </c>
    </row>
    <row r="47" spans="2:8" ht="12.75">
      <c r="B47" s="88" t="str">
        <f t="shared" si="0"/>
        <v/>
      </c>
      <c r="C47" s="89" t="str">
        <f t="shared" si="1"/>
        <v/>
      </c>
      <c r="D47" s="89" t="str">
        <f t="shared" si="2"/>
        <v/>
      </c>
      <c r="E47" s="89"/>
      <c r="F47" s="89" t="str">
        <f t="shared" si="4"/>
        <v/>
      </c>
      <c r="G47" s="90" t="str">
        <f t="shared" si="5"/>
        <v/>
      </c>
    </row>
    <row r="48" spans="2:8" ht="12.75">
      <c r="B48" s="88" t="str">
        <f t="shared" si="0"/>
        <v/>
      </c>
      <c r="C48" s="89" t="str">
        <f t="shared" si="1"/>
        <v/>
      </c>
      <c r="D48" s="89" t="str">
        <f t="shared" si="2"/>
        <v/>
      </c>
      <c r="E48" s="89"/>
      <c r="F48" s="89" t="str">
        <f t="shared" si="4"/>
        <v/>
      </c>
      <c r="G48" s="90" t="str">
        <f t="shared" si="5"/>
        <v/>
      </c>
    </row>
    <row r="49" spans="2:7" ht="12.75">
      <c r="B49" s="88" t="str">
        <f t="shared" si="0"/>
        <v/>
      </c>
      <c r="C49" s="89" t="str">
        <f t="shared" si="1"/>
        <v/>
      </c>
      <c r="D49" s="89" t="str">
        <f t="shared" si="2"/>
        <v/>
      </c>
      <c r="E49" s="89"/>
      <c r="F49" s="89" t="str">
        <f t="shared" si="4"/>
        <v/>
      </c>
      <c r="G49" s="90" t="str">
        <f t="shared" si="5"/>
        <v/>
      </c>
    </row>
    <row r="50" spans="2:7" ht="12.75">
      <c r="B50" s="88" t="str">
        <f t="shared" si="0"/>
        <v/>
      </c>
      <c r="C50" s="89" t="str">
        <f t="shared" si="1"/>
        <v/>
      </c>
      <c r="D50" s="89" t="str">
        <f t="shared" si="2"/>
        <v/>
      </c>
      <c r="E50" s="89"/>
      <c r="F50" s="89" t="str">
        <f t="shared" si="4"/>
        <v/>
      </c>
      <c r="G50" s="90" t="str">
        <f t="shared" si="5"/>
        <v/>
      </c>
    </row>
    <row r="51" spans="2:7" ht="12.75">
      <c r="B51" s="88" t="str">
        <f t="shared" si="0"/>
        <v/>
      </c>
      <c r="C51" s="89" t="str">
        <f t="shared" si="1"/>
        <v/>
      </c>
      <c r="D51" s="89" t="str">
        <f t="shared" si="2"/>
        <v/>
      </c>
      <c r="E51" s="89"/>
      <c r="F51" s="89" t="str">
        <f t="shared" si="4"/>
        <v/>
      </c>
      <c r="G51" s="90" t="str">
        <f t="shared" si="5"/>
        <v/>
      </c>
    </row>
    <row r="52" spans="2:7" ht="12.75">
      <c r="B52" s="88" t="str">
        <f t="shared" si="0"/>
        <v/>
      </c>
      <c r="C52" s="89" t="str">
        <f t="shared" si="1"/>
        <v/>
      </c>
      <c r="D52" s="89" t="str">
        <f t="shared" si="2"/>
        <v/>
      </c>
      <c r="E52" s="89"/>
      <c r="F52" s="89" t="str">
        <f t="shared" si="4"/>
        <v/>
      </c>
      <c r="G52" s="90" t="str">
        <f t="shared" si="5"/>
        <v/>
      </c>
    </row>
    <row r="53" spans="2:7" ht="12.75">
      <c r="B53" s="88" t="str">
        <f t="shared" si="0"/>
        <v/>
      </c>
      <c r="C53" s="89" t="str">
        <f t="shared" si="1"/>
        <v/>
      </c>
      <c r="D53" s="89" t="str">
        <f t="shared" si="2"/>
        <v/>
      </c>
      <c r="E53" s="89"/>
      <c r="F53" s="89" t="str">
        <f t="shared" si="4"/>
        <v/>
      </c>
      <c r="G53" s="90" t="str">
        <f t="shared" si="5"/>
        <v/>
      </c>
    </row>
    <row r="54" spans="2:7" ht="12.75">
      <c r="B54" s="88" t="str">
        <f t="shared" si="0"/>
        <v/>
      </c>
      <c r="C54" s="89" t="str">
        <f t="shared" si="1"/>
        <v/>
      </c>
      <c r="D54" s="89" t="str">
        <f t="shared" si="2"/>
        <v/>
      </c>
      <c r="E54" s="89"/>
      <c r="F54" s="89" t="str">
        <f t="shared" si="4"/>
        <v/>
      </c>
      <c r="G54" s="90" t="str">
        <f t="shared" si="5"/>
        <v/>
      </c>
    </row>
    <row r="55" spans="2:7" ht="12.75">
      <c r="B55" s="88" t="str">
        <f t="shared" si="0"/>
        <v/>
      </c>
      <c r="C55" s="89" t="str">
        <f t="shared" si="1"/>
        <v/>
      </c>
      <c r="D55" s="89" t="str">
        <f t="shared" si="2"/>
        <v/>
      </c>
      <c r="E55" s="89"/>
      <c r="F55" s="89" t="str">
        <f t="shared" si="4"/>
        <v/>
      </c>
      <c r="G55" s="90" t="str">
        <f t="shared" si="5"/>
        <v/>
      </c>
    </row>
    <row r="56" spans="2:7" ht="12.75">
      <c r="B56" s="88" t="str">
        <f t="shared" si="0"/>
        <v/>
      </c>
      <c r="C56" s="89" t="str">
        <f t="shared" si="1"/>
        <v/>
      </c>
      <c r="D56" s="89" t="str">
        <f t="shared" si="2"/>
        <v/>
      </c>
      <c r="E56" s="89"/>
      <c r="F56" s="89" t="str">
        <f t="shared" si="4"/>
        <v/>
      </c>
      <c r="G56" s="90" t="str">
        <f t="shared" si="5"/>
        <v/>
      </c>
    </row>
    <row r="57" spans="2:7" ht="12.75">
      <c r="B57" s="88" t="str">
        <f t="shared" si="0"/>
        <v/>
      </c>
      <c r="C57" s="89" t="str">
        <f t="shared" si="1"/>
        <v/>
      </c>
      <c r="D57" s="89" t="str">
        <f t="shared" si="2"/>
        <v/>
      </c>
      <c r="E57" s="89" t="str">
        <f t="shared" si="6"/>
        <v/>
      </c>
      <c r="F57" s="89" t="str">
        <f t="shared" si="4"/>
        <v/>
      </c>
      <c r="G57" s="90" t="str">
        <f t="shared" si="5"/>
        <v/>
      </c>
    </row>
    <row r="58" spans="2:7" ht="12.75">
      <c r="B58" s="88" t="str">
        <f t="shared" si="0"/>
        <v/>
      </c>
      <c r="C58" s="89" t="str">
        <f t="shared" si="1"/>
        <v/>
      </c>
      <c r="D58" s="89" t="str">
        <f t="shared" si="2"/>
        <v/>
      </c>
      <c r="E58" s="89" t="str">
        <f t="shared" si="6"/>
        <v/>
      </c>
      <c r="F58" s="89" t="str">
        <f t="shared" si="4"/>
        <v/>
      </c>
      <c r="G58" s="90" t="str">
        <f t="shared" si="5"/>
        <v/>
      </c>
    </row>
    <row r="59" spans="2:7" ht="12.75">
      <c r="B59" s="88" t="str">
        <f t="shared" si="0"/>
        <v/>
      </c>
      <c r="C59" s="89" t="str">
        <f t="shared" si="1"/>
        <v/>
      </c>
      <c r="D59" s="89" t="str">
        <f t="shared" si="2"/>
        <v/>
      </c>
      <c r="E59" s="89" t="str">
        <f t="shared" si="6"/>
        <v/>
      </c>
      <c r="F59" s="89" t="str">
        <f t="shared" si="4"/>
        <v/>
      </c>
      <c r="G59" s="90" t="str">
        <f t="shared" si="5"/>
        <v/>
      </c>
    </row>
    <row r="60" spans="2:7" ht="12.75">
      <c r="B60" s="88" t="str">
        <f t="shared" si="0"/>
        <v/>
      </c>
      <c r="C60" s="89" t="str">
        <f t="shared" si="1"/>
        <v/>
      </c>
      <c r="D60" s="89" t="str">
        <f t="shared" si="2"/>
        <v/>
      </c>
      <c r="E60" s="89" t="str">
        <f t="shared" si="6"/>
        <v/>
      </c>
      <c r="F60" s="89" t="str">
        <f t="shared" si="4"/>
        <v/>
      </c>
      <c r="G60" s="90" t="str">
        <f t="shared" si="5"/>
        <v/>
      </c>
    </row>
    <row r="61" spans="2:7" ht="12.75">
      <c r="B61" s="88" t="str">
        <f t="shared" si="0"/>
        <v/>
      </c>
      <c r="C61" s="89" t="str">
        <f t="shared" si="1"/>
        <v/>
      </c>
      <c r="D61" s="89" t="str">
        <f t="shared" si="2"/>
        <v/>
      </c>
      <c r="E61" s="89" t="str">
        <f t="shared" si="6"/>
        <v/>
      </c>
      <c r="F61" s="89" t="str">
        <f t="shared" si="4"/>
        <v/>
      </c>
      <c r="G61" s="90" t="str">
        <f t="shared" si="5"/>
        <v/>
      </c>
    </row>
    <row r="62" spans="2:7" ht="12.75">
      <c r="B62" s="88" t="str">
        <f t="shared" si="0"/>
        <v/>
      </c>
      <c r="C62" s="89" t="str">
        <f t="shared" si="1"/>
        <v/>
      </c>
      <c r="D62" s="89" t="str">
        <f t="shared" si="2"/>
        <v/>
      </c>
      <c r="E62" s="89" t="str">
        <f t="shared" si="6"/>
        <v/>
      </c>
      <c r="F62" s="89" t="str">
        <f t="shared" si="4"/>
        <v/>
      </c>
      <c r="G62" s="90" t="str">
        <f t="shared" si="5"/>
        <v/>
      </c>
    </row>
    <row r="63" spans="2:7" ht="12.75">
      <c r="B63" s="88" t="str">
        <f t="shared" si="0"/>
        <v/>
      </c>
      <c r="C63" s="89" t="str">
        <f t="shared" si="1"/>
        <v/>
      </c>
      <c r="D63" s="89" t="str">
        <f t="shared" si="2"/>
        <v/>
      </c>
      <c r="E63" s="89" t="str">
        <f t="shared" si="6"/>
        <v/>
      </c>
      <c r="F63" s="89" t="str">
        <f t="shared" si="4"/>
        <v/>
      </c>
      <c r="G63" s="90" t="str">
        <f t="shared" si="5"/>
        <v/>
      </c>
    </row>
    <row r="64" spans="2:7" ht="12.75">
      <c r="B64" s="88" t="str">
        <f t="shared" si="0"/>
        <v/>
      </c>
      <c r="C64" s="89" t="str">
        <f t="shared" si="1"/>
        <v/>
      </c>
      <c r="D64" s="89" t="str">
        <f t="shared" si="2"/>
        <v/>
      </c>
      <c r="E64" s="89" t="str">
        <f t="shared" si="6"/>
        <v/>
      </c>
      <c r="F64" s="89" t="str">
        <f t="shared" si="4"/>
        <v/>
      </c>
      <c r="G64" s="90" t="str">
        <f t="shared" si="5"/>
        <v/>
      </c>
    </row>
    <row r="65" spans="2:7" ht="12.75">
      <c r="B65" s="88" t="str">
        <f t="shared" si="0"/>
        <v/>
      </c>
      <c r="C65" s="89" t="str">
        <f t="shared" si="1"/>
        <v/>
      </c>
      <c r="D65" s="89" t="str">
        <f t="shared" si="2"/>
        <v/>
      </c>
      <c r="E65" s="89" t="str">
        <f t="shared" si="6"/>
        <v/>
      </c>
      <c r="F65" s="89" t="str">
        <f t="shared" si="4"/>
        <v/>
      </c>
      <c r="G65" s="90" t="str">
        <f t="shared" si="5"/>
        <v/>
      </c>
    </row>
    <row r="66" spans="2:7" ht="12.75">
      <c r="B66" s="88" t="str">
        <f t="shared" si="0"/>
        <v/>
      </c>
      <c r="C66" s="89" t="str">
        <f t="shared" si="1"/>
        <v/>
      </c>
      <c r="D66" s="89" t="str">
        <f t="shared" si="2"/>
        <v/>
      </c>
      <c r="E66" s="89" t="str">
        <f t="shared" si="6"/>
        <v/>
      </c>
      <c r="F66" s="89" t="str">
        <f t="shared" si="4"/>
        <v/>
      </c>
      <c r="G66" s="90" t="str">
        <f t="shared" si="5"/>
        <v/>
      </c>
    </row>
    <row r="67" spans="2:7" ht="12.75">
      <c r="B67" s="88" t="str">
        <f t="shared" si="0"/>
        <v/>
      </c>
      <c r="C67" s="89" t="str">
        <f t="shared" si="1"/>
        <v/>
      </c>
      <c r="D67" s="89" t="str">
        <f t="shared" si="2"/>
        <v/>
      </c>
      <c r="E67" s="89" t="str">
        <f t="shared" si="6"/>
        <v/>
      </c>
      <c r="F67" s="89" t="str">
        <f t="shared" si="4"/>
        <v/>
      </c>
      <c r="G67" s="90" t="str">
        <f t="shared" si="5"/>
        <v/>
      </c>
    </row>
    <row r="68" spans="2:7" ht="12.75">
      <c r="B68" s="88" t="str">
        <f t="shared" si="0"/>
        <v/>
      </c>
      <c r="C68" s="89" t="str">
        <f t="shared" si="1"/>
        <v/>
      </c>
      <c r="D68" s="89" t="str">
        <f t="shared" si="2"/>
        <v/>
      </c>
      <c r="E68" s="89" t="str">
        <f t="shared" si="6"/>
        <v/>
      </c>
      <c r="F68" s="89" t="str">
        <f t="shared" si="4"/>
        <v/>
      </c>
      <c r="G68" s="90" t="str">
        <f t="shared" si="5"/>
        <v/>
      </c>
    </row>
    <row r="69" spans="2:7" ht="12.75">
      <c r="B69" s="88" t="str">
        <f t="shared" si="0"/>
        <v/>
      </c>
      <c r="C69" s="89" t="str">
        <f t="shared" si="1"/>
        <v/>
      </c>
      <c r="D69" s="89" t="str">
        <f t="shared" si="2"/>
        <v/>
      </c>
      <c r="E69" s="89" t="str">
        <f t="shared" si="6"/>
        <v/>
      </c>
      <c r="F69" s="89" t="str">
        <f t="shared" si="4"/>
        <v/>
      </c>
      <c r="G69" s="90" t="str">
        <f t="shared" si="5"/>
        <v/>
      </c>
    </row>
    <row r="70" spans="2:7" ht="12.75">
      <c r="B70" s="88" t="str">
        <f t="shared" si="0"/>
        <v/>
      </c>
      <c r="C70" s="89" t="str">
        <f t="shared" si="1"/>
        <v/>
      </c>
      <c r="D70" s="89" t="str">
        <f t="shared" si="2"/>
        <v/>
      </c>
      <c r="E70" s="89" t="str">
        <f t="shared" si="6"/>
        <v/>
      </c>
      <c r="F70" s="89" t="str">
        <f t="shared" si="4"/>
        <v/>
      </c>
      <c r="G70" s="90" t="str">
        <f t="shared" si="5"/>
        <v/>
      </c>
    </row>
    <row r="71" spans="2:7" ht="12.75">
      <c r="B71" s="88" t="str">
        <f t="shared" si="0"/>
        <v/>
      </c>
      <c r="C71" s="89" t="str">
        <f t="shared" si="1"/>
        <v/>
      </c>
      <c r="D71" s="89" t="str">
        <f t="shared" si="2"/>
        <v/>
      </c>
      <c r="E71" s="89" t="str">
        <f t="shared" si="6"/>
        <v/>
      </c>
      <c r="F71" s="89" t="str">
        <f t="shared" si="4"/>
        <v/>
      </c>
      <c r="G71" s="90" t="str">
        <f t="shared" si="5"/>
        <v/>
      </c>
    </row>
    <row r="72" spans="2:7" ht="12.75">
      <c r="B72" s="88" t="str">
        <f t="shared" si="0"/>
        <v/>
      </c>
      <c r="C72" s="89" t="str">
        <f t="shared" si="1"/>
        <v/>
      </c>
      <c r="D72" s="89" t="str">
        <f t="shared" si="2"/>
        <v/>
      </c>
      <c r="E72" s="89" t="str">
        <f t="shared" si="6"/>
        <v/>
      </c>
      <c r="F72" s="89" t="str">
        <f t="shared" si="4"/>
        <v/>
      </c>
      <c r="G72" s="90" t="str">
        <f t="shared" si="5"/>
        <v/>
      </c>
    </row>
    <row r="73" spans="2:7" ht="12.75">
      <c r="B73" s="88" t="str">
        <f t="shared" si="0"/>
        <v/>
      </c>
      <c r="C73" s="89" t="str">
        <f t="shared" si="1"/>
        <v/>
      </c>
      <c r="D73" s="89" t="str">
        <f t="shared" si="2"/>
        <v/>
      </c>
      <c r="E73" s="89" t="str">
        <f t="shared" si="6"/>
        <v/>
      </c>
      <c r="F73" s="89" t="str">
        <f t="shared" si="4"/>
        <v/>
      </c>
      <c r="G73" s="90" t="str">
        <f t="shared" si="5"/>
        <v/>
      </c>
    </row>
    <row r="74" spans="2:7" ht="12.75">
      <c r="B74" s="88" t="str">
        <f t="shared" si="0"/>
        <v/>
      </c>
      <c r="C74" s="89" t="str">
        <f t="shared" si="1"/>
        <v/>
      </c>
      <c r="D74" s="89" t="str">
        <f t="shared" si="2"/>
        <v/>
      </c>
      <c r="E74" s="89" t="str">
        <f t="shared" si="6"/>
        <v/>
      </c>
      <c r="F74" s="89" t="str">
        <f t="shared" si="4"/>
        <v/>
      </c>
      <c r="G74" s="90" t="str">
        <f t="shared" si="5"/>
        <v/>
      </c>
    </row>
    <row r="75" spans="2:7" ht="12.75">
      <c r="B75" s="88" t="str">
        <f t="shared" si="0"/>
        <v/>
      </c>
      <c r="C75" s="89" t="str">
        <f t="shared" si="1"/>
        <v/>
      </c>
      <c r="D75" s="89" t="str">
        <f t="shared" si="2"/>
        <v/>
      </c>
      <c r="E75" s="89" t="str">
        <f t="shared" si="6"/>
        <v/>
      </c>
      <c r="F75" s="89" t="str">
        <f t="shared" si="4"/>
        <v/>
      </c>
      <c r="G75" s="90" t="str">
        <f t="shared" si="5"/>
        <v/>
      </c>
    </row>
    <row r="76" spans="2:7" ht="12.75">
      <c r="B76" s="88" t="str">
        <f t="shared" si="0"/>
        <v/>
      </c>
      <c r="C76" s="89" t="str">
        <f t="shared" si="1"/>
        <v/>
      </c>
      <c r="D76" s="89" t="str">
        <f t="shared" si="2"/>
        <v/>
      </c>
      <c r="E76" s="89" t="str">
        <f t="shared" si="6"/>
        <v/>
      </c>
      <c r="F76" s="89" t="str">
        <f t="shared" si="4"/>
        <v/>
      </c>
      <c r="G76" s="90" t="str">
        <f t="shared" si="5"/>
        <v/>
      </c>
    </row>
    <row r="77" spans="2:7" ht="12.75">
      <c r="B77" s="88" t="str">
        <f t="shared" si="0"/>
        <v/>
      </c>
      <c r="C77" s="89" t="str">
        <f t="shared" si="1"/>
        <v/>
      </c>
      <c r="D77" s="89" t="str">
        <f t="shared" si="2"/>
        <v/>
      </c>
      <c r="E77" s="89" t="str">
        <f t="shared" si="6"/>
        <v/>
      </c>
      <c r="F77" s="89" t="str">
        <f t="shared" si="4"/>
        <v/>
      </c>
      <c r="G77" s="90" t="str">
        <f t="shared" si="5"/>
        <v/>
      </c>
    </row>
    <row r="78" spans="2:7" ht="12.75">
      <c r="B78" s="88" t="str">
        <f t="shared" si="0"/>
        <v/>
      </c>
      <c r="C78" s="89" t="str">
        <f t="shared" si="1"/>
        <v/>
      </c>
      <c r="D78" s="89" t="str">
        <f t="shared" si="2"/>
        <v/>
      </c>
      <c r="E78" s="89" t="str">
        <f t="shared" si="6"/>
        <v/>
      </c>
      <c r="F78" s="89" t="str">
        <f t="shared" si="4"/>
        <v/>
      </c>
      <c r="G78" s="90" t="str">
        <f t="shared" si="5"/>
        <v/>
      </c>
    </row>
    <row r="79" spans="2:7" ht="12.75">
      <c r="B79" s="88" t="str">
        <f t="shared" si="0"/>
        <v/>
      </c>
      <c r="C79" s="89" t="str">
        <f t="shared" si="1"/>
        <v/>
      </c>
      <c r="D79" s="89" t="str">
        <f t="shared" si="2"/>
        <v/>
      </c>
      <c r="E79" s="89" t="str">
        <f t="shared" si="6"/>
        <v/>
      </c>
      <c r="F79" s="89" t="str">
        <f t="shared" si="4"/>
        <v/>
      </c>
      <c r="G79" s="90" t="str">
        <f t="shared" si="5"/>
        <v/>
      </c>
    </row>
    <row r="80" spans="2:7" ht="12.75">
      <c r="B80" s="88" t="str">
        <f t="shared" ref="B80:B143" si="7">IF(((ROW()-nSkip)&lt;=$G$9),(ROW()-nSkip), "")</f>
        <v/>
      </c>
      <c r="C80" s="89" t="str">
        <f t="shared" si="1"/>
        <v/>
      </c>
      <c r="D80" s="89" t="str">
        <f t="shared" si="2"/>
        <v/>
      </c>
      <c r="E80" s="89" t="str">
        <f t="shared" si="6"/>
        <v/>
      </c>
      <c r="F80" s="89" t="str">
        <f t="shared" si="4"/>
        <v/>
      </c>
      <c r="G80" s="90" t="str">
        <f t="shared" si="5"/>
        <v/>
      </c>
    </row>
    <row r="81" spans="2:7" ht="12.75">
      <c r="B81" s="88" t="str">
        <f t="shared" si="7"/>
        <v/>
      </c>
      <c r="C81" s="89" t="str">
        <f t="shared" si="1"/>
        <v/>
      </c>
      <c r="D81" s="89" t="str">
        <f t="shared" ref="D81:D144" si="8">IF(((ROW()-nSkip)&lt;=$G$9),-PPMT(($G$5/$G$8),B81,$G$9,$G$4),"")</f>
        <v/>
      </c>
      <c r="E81" s="89" t="str">
        <f t="shared" si="6"/>
        <v/>
      </c>
      <c r="F81" s="89" t="str">
        <f t="shared" ref="F81:F144" si="9">IF(((ROW()-nSkip)&lt;=$G$9),(E81+F80),"")</f>
        <v/>
      </c>
      <c r="G81" s="90" t="str">
        <f t="shared" ref="G81:G144" si="10">IF(((ROW()-nSkip)&lt;=$G$9),(G80-D81),"")</f>
        <v/>
      </c>
    </row>
    <row r="82" spans="2:7" ht="12.75">
      <c r="B82" s="88" t="str">
        <f t="shared" si="7"/>
        <v/>
      </c>
      <c r="C82" s="89" t="str">
        <f t="shared" ref="C82:C145" si="11">IF((B82&lt;=$G$9),-PMT(($G$5/$G$8),$G$9,$G$4),"")</f>
        <v/>
      </c>
      <c r="D82" s="89" t="str">
        <f t="shared" si="8"/>
        <v/>
      </c>
      <c r="E82" s="89" t="str">
        <f t="shared" ref="E82:E145" si="12">IF(((ROW()-nSkip)&lt;=$G$9),-IPMT(($G$5/$G$8),B82,$G$9,$G$4),"")</f>
        <v/>
      </c>
      <c r="F82" s="89" t="str">
        <f t="shared" si="9"/>
        <v/>
      </c>
      <c r="G82" s="90" t="str">
        <f t="shared" si="10"/>
        <v/>
      </c>
    </row>
    <row r="83" spans="2:7" ht="12.75">
      <c r="B83" s="88" t="str">
        <f t="shared" si="7"/>
        <v/>
      </c>
      <c r="C83" s="89" t="str">
        <f t="shared" si="11"/>
        <v/>
      </c>
      <c r="D83" s="89" t="str">
        <f t="shared" si="8"/>
        <v/>
      </c>
      <c r="E83" s="89" t="str">
        <f t="shared" si="12"/>
        <v/>
      </c>
      <c r="F83" s="89" t="str">
        <f t="shared" si="9"/>
        <v/>
      </c>
      <c r="G83" s="90" t="str">
        <f t="shared" si="10"/>
        <v/>
      </c>
    </row>
    <row r="84" spans="2:7" ht="12.75">
      <c r="B84" s="88" t="str">
        <f t="shared" si="7"/>
        <v/>
      </c>
      <c r="C84" s="89" t="str">
        <f t="shared" si="11"/>
        <v/>
      </c>
      <c r="D84" s="89" t="str">
        <f t="shared" si="8"/>
        <v/>
      </c>
      <c r="E84" s="89" t="str">
        <f t="shared" si="12"/>
        <v/>
      </c>
      <c r="F84" s="89" t="str">
        <f t="shared" si="9"/>
        <v/>
      </c>
      <c r="G84" s="90" t="str">
        <f t="shared" si="10"/>
        <v/>
      </c>
    </row>
    <row r="85" spans="2:7" ht="12.75">
      <c r="B85" s="88" t="str">
        <f t="shared" si="7"/>
        <v/>
      </c>
      <c r="C85" s="89" t="str">
        <f t="shared" si="11"/>
        <v/>
      </c>
      <c r="D85" s="89" t="str">
        <f t="shared" si="8"/>
        <v/>
      </c>
      <c r="E85" s="89" t="str">
        <f t="shared" si="12"/>
        <v/>
      </c>
      <c r="F85" s="89" t="str">
        <f t="shared" si="9"/>
        <v/>
      </c>
      <c r="G85" s="90" t="str">
        <f t="shared" si="10"/>
        <v/>
      </c>
    </row>
    <row r="86" spans="2:7" ht="12.75">
      <c r="B86" s="88" t="str">
        <f t="shared" si="7"/>
        <v/>
      </c>
      <c r="C86" s="89" t="str">
        <f t="shared" si="11"/>
        <v/>
      </c>
      <c r="D86" s="89" t="str">
        <f t="shared" si="8"/>
        <v/>
      </c>
      <c r="E86" s="89" t="str">
        <f t="shared" si="12"/>
        <v/>
      </c>
      <c r="F86" s="89" t="str">
        <f t="shared" si="9"/>
        <v/>
      </c>
      <c r="G86" s="90" t="str">
        <f t="shared" si="10"/>
        <v/>
      </c>
    </row>
    <row r="87" spans="2:7" ht="12.75">
      <c r="B87" s="88" t="str">
        <f t="shared" si="7"/>
        <v/>
      </c>
      <c r="C87" s="89" t="str">
        <f t="shared" si="11"/>
        <v/>
      </c>
      <c r="D87" s="89" t="str">
        <f t="shared" si="8"/>
        <v/>
      </c>
      <c r="E87" s="89" t="str">
        <f t="shared" si="12"/>
        <v/>
      </c>
      <c r="F87" s="89" t="str">
        <f t="shared" si="9"/>
        <v/>
      </c>
      <c r="G87" s="90" t="str">
        <f t="shared" si="10"/>
        <v/>
      </c>
    </row>
    <row r="88" spans="2:7" ht="12.75">
      <c r="B88" s="88" t="str">
        <f t="shared" si="7"/>
        <v/>
      </c>
      <c r="C88" s="89" t="str">
        <f t="shared" si="11"/>
        <v/>
      </c>
      <c r="D88" s="89" t="str">
        <f t="shared" si="8"/>
        <v/>
      </c>
      <c r="E88" s="89" t="str">
        <f t="shared" si="12"/>
        <v/>
      </c>
      <c r="F88" s="89" t="str">
        <f t="shared" si="9"/>
        <v/>
      </c>
      <c r="G88" s="90" t="str">
        <f t="shared" si="10"/>
        <v/>
      </c>
    </row>
    <row r="89" spans="2:7" ht="12.75">
      <c r="B89" s="88" t="str">
        <f t="shared" si="7"/>
        <v/>
      </c>
      <c r="C89" s="89" t="str">
        <f t="shared" si="11"/>
        <v/>
      </c>
      <c r="D89" s="89" t="str">
        <f t="shared" si="8"/>
        <v/>
      </c>
      <c r="E89" s="89" t="str">
        <f t="shared" si="12"/>
        <v/>
      </c>
      <c r="F89" s="89" t="str">
        <f t="shared" si="9"/>
        <v/>
      </c>
      <c r="G89" s="90" t="str">
        <f t="shared" si="10"/>
        <v/>
      </c>
    </row>
    <row r="90" spans="2:7" ht="12.75">
      <c r="B90" s="88" t="str">
        <f t="shared" si="7"/>
        <v/>
      </c>
      <c r="C90" s="89" t="str">
        <f t="shared" si="11"/>
        <v/>
      </c>
      <c r="D90" s="89" t="str">
        <f t="shared" si="8"/>
        <v/>
      </c>
      <c r="E90" s="89" t="str">
        <f t="shared" si="12"/>
        <v/>
      </c>
      <c r="F90" s="89" t="str">
        <f t="shared" si="9"/>
        <v/>
      </c>
      <c r="G90" s="90" t="str">
        <f t="shared" si="10"/>
        <v/>
      </c>
    </row>
    <row r="91" spans="2:7" ht="12.75">
      <c r="B91" s="88" t="str">
        <f t="shared" si="7"/>
        <v/>
      </c>
      <c r="C91" s="89" t="str">
        <f t="shared" si="11"/>
        <v/>
      </c>
      <c r="D91" s="89" t="str">
        <f t="shared" si="8"/>
        <v/>
      </c>
      <c r="E91" s="89" t="str">
        <f t="shared" si="12"/>
        <v/>
      </c>
      <c r="F91" s="89" t="str">
        <f t="shared" si="9"/>
        <v/>
      </c>
      <c r="G91" s="90" t="str">
        <f t="shared" si="10"/>
        <v/>
      </c>
    </row>
    <row r="92" spans="2:7" ht="12.75">
      <c r="B92" s="88" t="str">
        <f t="shared" si="7"/>
        <v/>
      </c>
      <c r="C92" s="89" t="str">
        <f t="shared" si="11"/>
        <v/>
      </c>
      <c r="D92" s="89" t="str">
        <f t="shared" si="8"/>
        <v/>
      </c>
      <c r="E92" s="89" t="str">
        <f t="shared" si="12"/>
        <v/>
      </c>
      <c r="F92" s="89" t="str">
        <f t="shared" si="9"/>
        <v/>
      </c>
      <c r="G92" s="90" t="str">
        <f t="shared" si="10"/>
        <v/>
      </c>
    </row>
    <row r="93" spans="2:7" ht="12.75">
      <c r="B93" s="88" t="str">
        <f t="shared" si="7"/>
        <v/>
      </c>
      <c r="C93" s="89" t="str">
        <f t="shared" si="11"/>
        <v/>
      </c>
      <c r="D93" s="89" t="str">
        <f t="shared" si="8"/>
        <v/>
      </c>
      <c r="E93" s="89" t="str">
        <f t="shared" si="12"/>
        <v/>
      </c>
      <c r="F93" s="89" t="str">
        <f t="shared" si="9"/>
        <v/>
      </c>
      <c r="G93" s="90" t="str">
        <f t="shared" si="10"/>
        <v/>
      </c>
    </row>
    <row r="94" spans="2:7" ht="12.75">
      <c r="B94" s="88" t="str">
        <f t="shared" si="7"/>
        <v/>
      </c>
      <c r="C94" s="89" t="str">
        <f t="shared" si="11"/>
        <v/>
      </c>
      <c r="D94" s="89" t="str">
        <f t="shared" si="8"/>
        <v/>
      </c>
      <c r="E94" s="89" t="str">
        <f t="shared" si="12"/>
        <v/>
      </c>
      <c r="F94" s="89" t="str">
        <f t="shared" si="9"/>
        <v/>
      </c>
      <c r="G94" s="90" t="str">
        <f t="shared" si="10"/>
        <v/>
      </c>
    </row>
    <row r="95" spans="2:7" ht="12.75">
      <c r="B95" s="88" t="str">
        <f t="shared" si="7"/>
        <v/>
      </c>
      <c r="C95" s="89" t="str">
        <f t="shared" si="11"/>
        <v/>
      </c>
      <c r="D95" s="89" t="str">
        <f t="shared" si="8"/>
        <v/>
      </c>
      <c r="E95" s="89" t="str">
        <f t="shared" si="12"/>
        <v/>
      </c>
      <c r="F95" s="89" t="str">
        <f t="shared" si="9"/>
        <v/>
      </c>
      <c r="G95" s="90" t="str">
        <f t="shared" si="10"/>
        <v/>
      </c>
    </row>
    <row r="96" spans="2:7" ht="12.75">
      <c r="B96" s="88" t="str">
        <f t="shared" si="7"/>
        <v/>
      </c>
      <c r="C96" s="89" t="str">
        <f t="shared" si="11"/>
        <v/>
      </c>
      <c r="D96" s="89" t="str">
        <f t="shared" si="8"/>
        <v/>
      </c>
      <c r="E96" s="89" t="str">
        <f t="shared" si="12"/>
        <v/>
      </c>
      <c r="F96" s="89" t="str">
        <f t="shared" si="9"/>
        <v/>
      </c>
      <c r="G96" s="90" t="str">
        <f t="shared" si="10"/>
        <v/>
      </c>
    </row>
    <row r="97" spans="2:7" ht="12.75">
      <c r="B97" s="88" t="str">
        <f t="shared" si="7"/>
        <v/>
      </c>
      <c r="C97" s="89" t="str">
        <f t="shared" si="11"/>
        <v/>
      </c>
      <c r="D97" s="89" t="str">
        <f t="shared" si="8"/>
        <v/>
      </c>
      <c r="E97" s="89" t="str">
        <f t="shared" si="12"/>
        <v/>
      </c>
      <c r="F97" s="89" t="str">
        <f t="shared" si="9"/>
        <v/>
      </c>
      <c r="G97" s="90" t="str">
        <f t="shared" si="10"/>
        <v/>
      </c>
    </row>
    <row r="98" spans="2:7" ht="12.75">
      <c r="B98" s="88" t="str">
        <f t="shared" si="7"/>
        <v/>
      </c>
      <c r="C98" s="89" t="str">
        <f t="shared" si="11"/>
        <v/>
      </c>
      <c r="D98" s="89" t="str">
        <f t="shared" si="8"/>
        <v/>
      </c>
      <c r="E98" s="89" t="str">
        <f t="shared" si="12"/>
        <v/>
      </c>
      <c r="F98" s="89" t="str">
        <f t="shared" si="9"/>
        <v/>
      </c>
      <c r="G98" s="90" t="str">
        <f t="shared" si="10"/>
        <v/>
      </c>
    </row>
    <row r="99" spans="2:7" ht="12.75">
      <c r="B99" s="88" t="str">
        <f t="shared" si="7"/>
        <v/>
      </c>
      <c r="C99" s="89" t="str">
        <f t="shared" si="11"/>
        <v/>
      </c>
      <c r="D99" s="89" t="str">
        <f t="shared" si="8"/>
        <v/>
      </c>
      <c r="E99" s="89" t="str">
        <f t="shared" si="12"/>
        <v/>
      </c>
      <c r="F99" s="89" t="str">
        <f t="shared" si="9"/>
        <v/>
      </c>
      <c r="G99" s="90" t="str">
        <f t="shared" si="10"/>
        <v/>
      </c>
    </row>
    <row r="100" spans="2:7" ht="12.75">
      <c r="B100" s="88" t="str">
        <f t="shared" si="7"/>
        <v/>
      </c>
      <c r="C100" s="89" t="str">
        <f t="shared" si="11"/>
        <v/>
      </c>
      <c r="D100" s="89" t="str">
        <f t="shared" si="8"/>
        <v/>
      </c>
      <c r="E100" s="89" t="str">
        <f t="shared" si="12"/>
        <v/>
      </c>
      <c r="F100" s="89" t="str">
        <f t="shared" si="9"/>
        <v/>
      </c>
      <c r="G100" s="90" t="str">
        <f t="shared" si="10"/>
        <v/>
      </c>
    </row>
    <row r="101" spans="2:7" ht="12.75">
      <c r="B101" s="88" t="str">
        <f t="shared" si="7"/>
        <v/>
      </c>
      <c r="C101" s="89" t="str">
        <f t="shared" si="11"/>
        <v/>
      </c>
      <c r="D101" s="89" t="str">
        <f t="shared" si="8"/>
        <v/>
      </c>
      <c r="E101" s="89" t="str">
        <f t="shared" si="12"/>
        <v/>
      </c>
      <c r="F101" s="89" t="str">
        <f t="shared" si="9"/>
        <v/>
      </c>
      <c r="G101" s="90" t="str">
        <f t="shared" si="10"/>
        <v/>
      </c>
    </row>
    <row r="102" spans="2:7" ht="12.75">
      <c r="B102" s="88" t="str">
        <f t="shared" si="7"/>
        <v/>
      </c>
      <c r="C102" s="89" t="str">
        <f t="shared" si="11"/>
        <v/>
      </c>
      <c r="D102" s="89" t="str">
        <f t="shared" si="8"/>
        <v/>
      </c>
      <c r="E102" s="89" t="str">
        <f t="shared" si="12"/>
        <v/>
      </c>
      <c r="F102" s="89" t="str">
        <f t="shared" si="9"/>
        <v/>
      </c>
      <c r="G102" s="90" t="str">
        <f t="shared" si="10"/>
        <v/>
      </c>
    </row>
    <row r="103" spans="2:7" ht="12.75">
      <c r="B103" s="88" t="str">
        <f t="shared" si="7"/>
        <v/>
      </c>
      <c r="C103" s="89" t="str">
        <f t="shared" si="11"/>
        <v/>
      </c>
      <c r="D103" s="89" t="str">
        <f t="shared" si="8"/>
        <v/>
      </c>
      <c r="E103" s="89" t="str">
        <f t="shared" si="12"/>
        <v/>
      </c>
      <c r="F103" s="89" t="str">
        <f t="shared" si="9"/>
        <v/>
      </c>
      <c r="G103" s="90" t="str">
        <f t="shared" si="10"/>
        <v/>
      </c>
    </row>
    <row r="104" spans="2:7" ht="12.75">
      <c r="B104" s="88" t="str">
        <f t="shared" si="7"/>
        <v/>
      </c>
      <c r="C104" s="89" t="str">
        <f t="shared" si="11"/>
        <v/>
      </c>
      <c r="D104" s="89" t="str">
        <f t="shared" si="8"/>
        <v/>
      </c>
      <c r="E104" s="89" t="str">
        <f t="shared" si="12"/>
        <v/>
      </c>
      <c r="F104" s="89" t="str">
        <f t="shared" si="9"/>
        <v/>
      </c>
      <c r="G104" s="90" t="str">
        <f t="shared" si="10"/>
        <v/>
      </c>
    </row>
    <row r="105" spans="2:7" ht="12.75">
      <c r="B105" s="88" t="str">
        <f t="shared" si="7"/>
        <v/>
      </c>
      <c r="C105" s="89" t="str">
        <f t="shared" si="11"/>
        <v/>
      </c>
      <c r="D105" s="89" t="str">
        <f t="shared" si="8"/>
        <v/>
      </c>
      <c r="E105" s="89" t="str">
        <f t="shared" si="12"/>
        <v/>
      </c>
      <c r="F105" s="89" t="str">
        <f t="shared" si="9"/>
        <v/>
      </c>
      <c r="G105" s="90" t="str">
        <f t="shared" si="10"/>
        <v/>
      </c>
    </row>
    <row r="106" spans="2:7" ht="12.75">
      <c r="B106" s="88" t="str">
        <f t="shared" si="7"/>
        <v/>
      </c>
      <c r="C106" s="89" t="str">
        <f t="shared" si="11"/>
        <v/>
      </c>
      <c r="D106" s="89" t="str">
        <f t="shared" si="8"/>
        <v/>
      </c>
      <c r="E106" s="89" t="str">
        <f t="shared" si="12"/>
        <v/>
      </c>
      <c r="F106" s="89" t="str">
        <f t="shared" si="9"/>
        <v/>
      </c>
      <c r="G106" s="90" t="str">
        <f t="shared" si="10"/>
        <v/>
      </c>
    </row>
    <row r="107" spans="2:7" ht="12.75">
      <c r="B107" s="88" t="str">
        <f t="shared" si="7"/>
        <v/>
      </c>
      <c r="C107" s="89" t="str">
        <f t="shared" si="11"/>
        <v/>
      </c>
      <c r="D107" s="89" t="str">
        <f t="shared" si="8"/>
        <v/>
      </c>
      <c r="E107" s="89" t="str">
        <f t="shared" si="12"/>
        <v/>
      </c>
      <c r="F107" s="89" t="str">
        <f t="shared" si="9"/>
        <v/>
      </c>
      <c r="G107" s="90" t="str">
        <f t="shared" si="10"/>
        <v/>
      </c>
    </row>
    <row r="108" spans="2:7" ht="12.75">
      <c r="B108" s="88" t="str">
        <f t="shared" si="7"/>
        <v/>
      </c>
      <c r="C108" s="89" t="str">
        <f t="shared" si="11"/>
        <v/>
      </c>
      <c r="D108" s="89" t="str">
        <f t="shared" si="8"/>
        <v/>
      </c>
      <c r="E108" s="89" t="str">
        <f t="shared" si="12"/>
        <v/>
      </c>
      <c r="F108" s="89" t="str">
        <f t="shared" si="9"/>
        <v/>
      </c>
      <c r="G108" s="90" t="str">
        <f t="shared" si="10"/>
        <v/>
      </c>
    </row>
    <row r="109" spans="2:7" ht="12.75">
      <c r="B109" s="88" t="str">
        <f t="shared" si="7"/>
        <v/>
      </c>
      <c r="C109" s="89" t="str">
        <f t="shared" si="11"/>
        <v/>
      </c>
      <c r="D109" s="89" t="str">
        <f t="shared" si="8"/>
        <v/>
      </c>
      <c r="E109" s="89" t="str">
        <f t="shared" si="12"/>
        <v/>
      </c>
      <c r="F109" s="89" t="str">
        <f t="shared" si="9"/>
        <v/>
      </c>
      <c r="G109" s="90" t="str">
        <f t="shared" si="10"/>
        <v/>
      </c>
    </row>
    <row r="110" spans="2:7" ht="12.75">
      <c r="B110" s="88" t="str">
        <f t="shared" si="7"/>
        <v/>
      </c>
      <c r="C110" s="89" t="str">
        <f t="shared" si="11"/>
        <v/>
      </c>
      <c r="D110" s="89" t="str">
        <f t="shared" si="8"/>
        <v/>
      </c>
      <c r="E110" s="89" t="str">
        <f t="shared" si="12"/>
        <v/>
      </c>
      <c r="F110" s="89" t="str">
        <f t="shared" si="9"/>
        <v/>
      </c>
      <c r="G110" s="90" t="str">
        <f t="shared" si="10"/>
        <v/>
      </c>
    </row>
    <row r="111" spans="2:7" ht="12.75">
      <c r="B111" s="88" t="str">
        <f t="shared" si="7"/>
        <v/>
      </c>
      <c r="C111" s="89" t="str">
        <f t="shared" si="11"/>
        <v/>
      </c>
      <c r="D111" s="89" t="str">
        <f t="shared" si="8"/>
        <v/>
      </c>
      <c r="E111" s="89" t="str">
        <f t="shared" si="12"/>
        <v/>
      </c>
      <c r="F111" s="89" t="str">
        <f t="shared" si="9"/>
        <v/>
      </c>
      <c r="G111" s="90" t="str">
        <f t="shared" si="10"/>
        <v/>
      </c>
    </row>
    <row r="112" spans="2:7" ht="12.75">
      <c r="B112" s="88" t="str">
        <f t="shared" si="7"/>
        <v/>
      </c>
      <c r="C112" s="89" t="str">
        <f t="shared" si="11"/>
        <v/>
      </c>
      <c r="D112" s="89" t="str">
        <f t="shared" si="8"/>
        <v/>
      </c>
      <c r="E112" s="89" t="str">
        <f t="shared" si="12"/>
        <v/>
      </c>
      <c r="F112" s="89" t="str">
        <f t="shared" si="9"/>
        <v/>
      </c>
      <c r="G112" s="90" t="str">
        <f t="shared" si="10"/>
        <v/>
      </c>
    </row>
    <row r="113" spans="2:7" ht="12.75">
      <c r="B113" s="88" t="str">
        <f t="shared" si="7"/>
        <v/>
      </c>
      <c r="C113" s="89" t="str">
        <f t="shared" si="11"/>
        <v/>
      </c>
      <c r="D113" s="89" t="str">
        <f t="shared" si="8"/>
        <v/>
      </c>
      <c r="E113" s="89" t="str">
        <f t="shared" si="12"/>
        <v/>
      </c>
      <c r="F113" s="89" t="str">
        <f t="shared" si="9"/>
        <v/>
      </c>
      <c r="G113" s="90" t="str">
        <f t="shared" si="10"/>
        <v/>
      </c>
    </row>
    <row r="114" spans="2:7" ht="12.75">
      <c r="B114" s="88" t="str">
        <f t="shared" si="7"/>
        <v/>
      </c>
      <c r="C114" s="89" t="str">
        <f t="shared" si="11"/>
        <v/>
      </c>
      <c r="D114" s="89" t="str">
        <f t="shared" si="8"/>
        <v/>
      </c>
      <c r="E114" s="89" t="str">
        <f t="shared" si="12"/>
        <v/>
      </c>
      <c r="F114" s="89" t="str">
        <f t="shared" si="9"/>
        <v/>
      </c>
      <c r="G114" s="90" t="str">
        <f t="shared" si="10"/>
        <v/>
      </c>
    </row>
    <row r="115" spans="2:7" ht="12.75">
      <c r="B115" s="88" t="str">
        <f t="shared" si="7"/>
        <v/>
      </c>
      <c r="C115" s="89" t="str">
        <f t="shared" si="11"/>
        <v/>
      </c>
      <c r="D115" s="89" t="str">
        <f t="shared" si="8"/>
        <v/>
      </c>
      <c r="E115" s="89" t="str">
        <f t="shared" si="12"/>
        <v/>
      </c>
      <c r="F115" s="89" t="str">
        <f t="shared" si="9"/>
        <v/>
      </c>
      <c r="G115" s="90" t="str">
        <f t="shared" si="10"/>
        <v/>
      </c>
    </row>
    <row r="116" spans="2:7" ht="12.75">
      <c r="B116" s="88" t="str">
        <f t="shared" si="7"/>
        <v/>
      </c>
      <c r="C116" s="89" t="str">
        <f t="shared" si="11"/>
        <v/>
      </c>
      <c r="D116" s="89" t="str">
        <f t="shared" si="8"/>
        <v/>
      </c>
      <c r="E116" s="89" t="str">
        <f t="shared" si="12"/>
        <v/>
      </c>
      <c r="F116" s="89" t="str">
        <f t="shared" si="9"/>
        <v/>
      </c>
      <c r="G116" s="90" t="str">
        <f t="shared" si="10"/>
        <v/>
      </c>
    </row>
    <row r="117" spans="2:7" ht="12.75">
      <c r="B117" s="88" t="str">
        <f t="shared" si="7"/>
        <v/>
      </c>
      <c r="C117" s="89" t="str">
        <f t="shared" si="11"/>
        <v/>
      </c>
      <c r="D117" s="89" t="str">
        <f t="shared" si="8"/>
        <v/>
      </c>
      <c r="E117" s="89" t="str">
        <f t="shared" si="12"/>
        <v/>
      </c>
      <c r="F117" s="89" t="str">
        <f t="shared" si="9"/>
        <v/>
      </c>
      <c r="G117" s="90" t="str">
        <f t="shared" si="10"/>
        <v/>
      </c>
    </row>
    <row r="118" spans="2:7" ht="12.75">
      <c r="B118" s="88" t="str">
        <f t="shared" si="7"/>
        <v/>
      </c>
      <c r="C118" s="89" t="str">
        <f t="shared" si="11"/>
        <v/>
      </c>
      <c r="D118" s="89" t="str">
        <f t="shared" si="8"/>
        <v/>
      </c>
      <c r="E118" s="89" t="str">
        <f t="shared" si="12"/>
        <v/>
      </c>
      <c r="F118" s="89" t="str">
        <f t="shared" si="9"/>
        <v/>
      </c>
      <c r="G118" s="90" t="str">
        <f t="shared" si="10"/>
        <v/>
      </c>
    </row>
    <row r="119" spans="2:7" ht="12.75">
      <c r="B119" s="88" t="str">
        <f t="shared" si="7"/>
        <v/>
      </c>
      <c r="C119" s="89" t="str">
        <f t="shared" si="11"/>
        <v/>
      </c>
      <c r="D119" s="89" t="str">
        <f t="shared" si="8"/>
        <v/>
      </c>
      <c r="E119" s="89" t="str">
        <f t="shared" si="12"/>
        <v/>
      </c>
      <c r="F119" s="89" t="str">
        <f t="shared" si="9"/>
        <v/>
      </c>
      <c r="G119" s="90" t="str">
        <f t="shared" si="10"/>
        <v/>
      </c>
    </row>
    <row r="120" spans="2:7" ht="12.75">
      <c r="B120" s="88" t="str">
        <f t="shared" si="7"/>
        <v/>
      </c>
      <c r="C120" s="89" t="str">
        <f t="shared" si="11"/>
        <v/>
      </c>
      <c r="D120" s="89" t="str">
        <f t="shared" si="8"/>
        <v/>
      </c>
      <c r="E120" s="89" t="str">
        <f t="shared" si="12"/>
        <v/>
      </c>
      <c r="F120" s="89" t="str">
        <f t="shared" si="9"/>
        <v/>
      </c>
      <c r="G120" s="90" t="str">
        <f t="shared" si="10"/>
        <v/>
      </c>
    </row>
    <row r="121" spans="2:7" ht="12.75">
      <c r="B121" s="88" t="str">
        <f t="shared" si="7"/>
        <v/>
      </c>
      <c r="C121" s="89" t="str">
        <f t="shared" si="11"/>
        <v/>
      </c>
      <c r="D121" s="89" t="str">
        <f t="shared" si="8"/>
        <v/>
      </c>
      <c r="E121" s="89" t="str">
        <f t="shared" si="12"/>
        <v/>
      </c>
      <c r="F121" s="89" t="str">
        <f t="shared" si="9"/>
        <v/>
      </c>
      <c r="G121" s="90" t="str">
        <f t="shared" si="10"/>
        <v/>
      </c>
    </row>
    <row r="122" spans="2:7" ht="12.75">
      <c r="B122" s="88" t="str">
        <f t="shared" si="7"/>
        <v/>
      </c>
      <c r="C122" s="89" t="str">
        <f t="shared" si="11"/>
        <v/>
      </c>
      <c r="D122" s="89" t="str">
        <f t="shared" si="8"/>
        <v/>
      </c>
      <c r="E122" s="89" t="str">
        <f t="shared" si="12"/>
        <v/>
      </c>
      <c r="F122" s="89" t="str">
        <f t="shared" si="9"/>
        <v/>
      </c>
      <c r="G122" s="90" t="str">
        <f t="shared" si="10"/>
        <v/>
      </c>
    </row>
    <row r="123" spans="2:7" ht="12.75">
      <c r="B123" s="88" t="str">
        <f t="shared" si="7"/>
        <v/>
      </c>
      <c r="C123" s="89" t="str">
        <f t="shared" si="11"/>
        <v/>
      </c>
      <c r="D123" s="89" t="str">
        <f t="shared" si="8"/>
        <v/>
      </c>
      <c r="E123" s="89" t="str">
        <f t="shared" si="12"/>
        <v/>
      </c>
      <c r="F123" s="89" t="str">
        <f t="shared" si="9"/>
        <v/>
      </c>
      <c r="G123" s="90" t="str">
        <f t="shared" si="10"/>
        <v/>
      </c>
    </row>
    <row r="124" spans="2:7" ht="12.75">
      <c r="B124" s="88" t="str">
        <f t="shared" si="7"/>
        <v/>
      </c>
      <c r="C124" s="89" t="str">
        <f t="shared" si="11"/>
        <v/>
      </c>
      <c r="D124" s="89" t="str">
        <f t="shared" si="8"/>
        <v/>
      </c>
      <c r="E124" s="89" t="str">
        <f t="shared" si="12"/>
        <v/>
      </c>
      <c r="F124" s="89" t="str">
        <f t="shared" si="9"/>
        <v/>
      </c>
      <c r="G124" s="90" t="str">
        <f t="shared" si="10"/>
        <v/>
      </c>
    </row>
    <row r="125" spans="2:7" ht="12.75">
      <c r="B125" s="88" t="str">
        <f t="shared" si="7"/>
        <v/>
      </c>
      <c r="C125" s="89" t="str">
        <f t="shared" si="11"/>
        <v/>
      </c>
      <c r="D125" s="89" t="str">
        <f t="shared" si="8"/>
        <v/>
      </c>
      <c r="E125" s="89" t="str">
        <f t="shared" si="12"/>
        <v/>
      </c>
      <c r="F125" s="89" t="str">
        <f t="shared" si="9"/>
        <v/>
      </c>
      <c r="G125" s="90" t="str">
        <f t="shared" si="10"/>
        <v/>
      </c>
    </row>
    <row r="126" spans="2:7" ht="12.75">
      <c r="B126" s="88" t="str">
        <f t="shared" si="7"/>
        <v/>
      </c>
      <c r="C126" s="89" t="str">
        <f t="shared" si="11"/>
        <v/>
      </c>
      <c r="D126" s="89" t="str">
        <f t="shared" si="8"/>
        <v/>
      </c>
      <c r="E126" s="89" t="str">
        <f t="shared" si="12"/>
        <v/>
      </c>
      <c r="F126" s="89" t="str">
        <f t="shared" si="9"/>
        <v/>
      </c>
      <c r="G126" s="90" t="str">
        <f t="shared" si="10"/>
        <v/>
      </c>
    </row>
    <row r="127" spans="2:7" ht="12.75">
      <c r="B127" s="88" t="str">
        <f t="shared" si="7"/>
        <v/>
      </c>
      <c r="C127" s="89" t="str">
        <f t="shared" si="11"/>
        <v/>
      </c>
      <c r="D127" s="89" t="str">
        <f t="shared" si="8"/>
        <v/>
      </c>
      <c r="E127" s="89" t="str">
        <f t="shared" si="12"/>
        <v/>
      </c>
      <c r="F127" s="89" t="str">
        <f t="shared" si="9"/>
        <v/>
      </c>
      <c r="G127" s="90" t="str">
        <f t="shared" si="10"/>
        <v/>
      </c>
    </row>
    <row r="128" spans="2:7" ht="12.75">
      <c r="B128" s="88" t="str">
        <f t="shared" si="7"/>
        <v/>
      </c>
      <c r="C128" s="89" t="str">
        <f t="shared" si="11"/>
        <v/>
      </c>
      <c r="D128" s="89" t="str">
        <f t="shared" si="8"/>
        <v/>
      </c>
      <c r="E128" s="89" t="str">
        <f t="shared" si="12"/>
        <v/>
      </c>
      <c r="F128" s="89" t="str">
        <f t="shared" si="9"/>
        <v/>
      </c>
      <c r="G128" s="90" t="str">
        <f t="shared" si="10"/>
        <v/>
      </c>
    </row>
    <row r="129" spans="2:7" ht="12.75">
      <c r="B129" s="88" t="str">
        <f t="shared" si="7"/>
        <v/>
      </c>
      <c r="C129" s="89" t="str">
        <f t="shared" si="11"/>
        <v/>
      </c>
      <c r="D129" s="89" t="str">
        <f t="shared" si="8"/>
        <v/>
      </c>
      <c r="E129" s="89" t="str">
        <f t="shared" si="12"/>
        <v/>
      </c>
      <c r="F129" s="89" t="str">
        <f t="shared" si="9"/>
        <v/>
      </c>
      <c r="G129" s="90" t="str">
        <f t="shared" si="10"/>
        <v/>
      </c>
    </row>
    <row r="130" spans="2:7" ht="12.75">
      <c r="B130" s="88" t="str">
        <f t="shared" si="7"/>
        <v/>
      </c>
      <c r="C130" s="89" t="str">
        <f t="shared" si="11"/>
        <v/>
      </c>
      <c r="D130" s="89" t="str">
        <f t="shared" si="8"/>
        <v/>
      </c>
      <c r="E130" s="89" t="str">
        <f t="shared" si="12"/>
        <v/>
      </c>
      <c r="F130" s="89" t="str">
        <f t="shared" si="9"/>
        <v/>
      </c>
      <c r="G130" s="90" t="str">
        <f t="shared" si="10"/>
        <v/>
      </c>
    </row>
    <row r="131" spans="2:7" ht="12.75">
      <c r="B131" s="88" t="str">
        <f t="shared" si="7"/>
        <v/>
      </c>
      <c r="C131" s="89" t="str">
        <f t="shared" si="11"/>
        <v/>
      </c>
      <c r="D131" s="89" t="str">
        <f t="shared" si="8"/>
        <v/>
      </c>
      <c r="E131" s="89" t="str">
        <f t="shared" si="12"/>
        <v/>
      </c>
      <c r="F131" s="89" t="str">
        <f t="shared" si="9"/>
        <v/>
      </c>
      <c r="G131" s="90" t="str">
        <f t="shared" si="10"/>
        <v/>
      </c>
    </row>
    <row r="132" spans="2:7" ht="12.75">
      <c r="B132" s="88" t="str">
        <f t="shared" si="7"/>
        <v/>
      </c>
      <c r="C132" s="89" t="str">
        <f t="shared" si="11"/>
        <v/>
      </c>
      <c r="D132" s="89" t="str">
        <f t="shared" si="8"/>
        <v/>
      </c>
      <c r="E132" s="89" t="str">
        <f t="shared" si="12"/>
        <v/>
      </c>
      <c r="F132" s="89" t="str">
        <f t="shared" si="9"/>
        <v/>
      </c>
      <c r="G132" s="90" t="str">
        <f t="shared" si="10"/>
        <v/>
      </c>
    </row>
    <row r="133" spans="2:7" ht="12.75">
      <c r="B133" s="88" t="str">
        <f t="shared" si="7"/>
        <v/>
      </c>
      <c r="C133" s="89" t="str">
        <f t="shared" si="11"/>
        <v/>
      </c>
      <c r="D133" s="89" t="str">
        <f t="shared" si="8"/>
        <v/>
      </c>
      <c r="E133" s="89" t="str">
        <f t="shared" si="12"/>
        <v/>
      </c>
      <c r="F133" s="89" t="str">
        <f t="shared" si="9"/>
        <v/>
      </c>
      <c r="G133" s="90" t="str">
        <f t="shared" si="10"/>
        <v/>
      </c>
    </row>
    <row r="134" spans="2:7" ht="12.75">
      <c r="B134" s="88" t="str">
        <f t="shared" si="7"/>
        <v/>
      </c>
      <c r="C134" s="89" t="str">
        <f t="shared" si="11"/>
        <v/>
      </c>
      <c r="D134" s="89" t="str">
        <f t="shared" si="8"/>
        <v/>
      </c>
      <c r="E134" s="89" t="str">
        <f t="shared" si="12"/>
        <v/>
      </c>
      <c r="F134" s="89" t="str">
        <f t="shared" si="9"/>
        <v/>
      </c>
      <c r="G134" s="90" t="str">
        <f t="shared" si="10"/>
        <v/>
      </c>
    </row>
    <row r="135" spans="2:7" ht="12.75">
      <c r="B135" s="88" t="str">
        <f t="shared" si="7"/>
        <v/>
      </c>
      <c r="C135" s="89" t="str">
        <f t="shared" si="11"/>
        <v/>
      </c>
      <c r="D135" s="89" t="str">
        <f t="shared" si="8"/>
        <v/>
      </c>
      <c r="E135" s="89" t="str">
        <f t="shared" si="12"/>
        <v/>
      </c>
      <c r="F135" s="89" t="str">
        <f t="shared" si="9"/>
        <v/>
      </c>
      <c r="G135" s="90" t="str">
        <f t="shared" si="10"/>
        <v/>
      </c>
    </row>
    <row r="136" spans="2:7" ht="12.75">
      <c r="B136" s="88" t="str">
        <f t="shared" si="7"/>
        <v/>
      </c>
      <c r="C136" s="89" t="str">
        <f t="shared" si="11"/>
        <v/>
      </c>
      <c r="D136" s="89" t="str">
        <f t="shared" si="8"/>
        <v/>
      </c>
      <c r="E136" s="89" t="str">
        <f t="shared" si="12"/>
        <v/>
      </c>
      <c r="F136" s="89" t="str">
        <f t="shared" si="9"/>
        <v/>
      </c>
      <c r="G136" s="90" t="str">
        <f t="shared" si="10"/>
        <v/>
      </c>
    </row>
    <row r="137" spans="2:7" ht="12.75">
      <c r="B137" s="88" t="str">
        <f t="shared" si="7"/>
        <v/>
      </c>
      <c r="C137" s="89" t="str">
        <f t="shared" si="11"/>
        <v/>
      </c>
      <c r="D137" s="89" t="str">
        <f t="shared" si="8"/>
        <v/>
      </c>
      <c r="E137" s="89" t="str">
        <f t="shared" si="12"/>
        <v/>
      </c>
      <c r="F137" s="89" t="str">
        <f t="shared" si="9"/>
        <v/>
      </c>
      <c r="G137" s="90" t="str">
        <f t="shared" si="10"/>
        <v/>
      </c>
    </row>
    <row r="138" spans="2:7" ht="12.75">
      <c r="B138" s="88" t="str">
        <f t="shared" si="7"/>
        <v/>
      </c>
      <c r="C138" s="89" t="str">
        <f t="shared" si="11"/>
        <v/>
      </c>
      <c r="D138" s="89" t="str">
        <f t="shared" si="8"/>
        <v/>
      </c>
      <c r="E138" s="89" t="str">
        <f t="shared" si="12"/>
        <v/>
      </c>
      <c r="F138" s="89" t="str">
        <f t="shared" si="9"/>
        <v/>
      </c>
      <c r="G138" s="90" t="str">
        <f t="shared" si="10"/>
        <v/>
      </c>
    </row>
    <row r="139" spans="2:7" ht="12.75">
      <c r="B139" s="88" t="str">
        <f t="shared" si="7"/>
        <v/>
      </c>
      <c r="C139" s="89" t="str">
        <f t="shared" si="11"/>
        <v/>
      </c>
      <c r="D139" s="89" t="str">
        <f t="shared" si="8"/>
        <v/>
      </c>
      <c r="E139" s="89" t="str">
        <f t="shared" si="12"/>
        <v/>
      </c>
      <c r="F139" s="89" t="str">
        <f t="shared" si="9"/>
        <v/>
      </c>
      <c r="G139" s="90" t="str">
        <f t="shared" si="10"/>
        <v/>
      </c>
    </row>
    <row r="140" spans="2:7" ht="12.75">
      <c r="B140" s="88" t="str">
        <f t="shared" si="7"/>
        <v/>
      </c>
      <c r="C140" s="89" t="str">
        <f t="shared" si="11"/>
        <v/>
      </c>
      <c r="D140" s="89" t="str">
        <f t="shared" si="8"/>
        <v/>
      </c>
      <c r="E140" s="89" t="str">
        <f t="shared" si="12"/>
        <v/>
      </c>
      <c r="F140" s="89" t="str">
        <f t="shared" si="9"/>
        <v/>
      </c>
      <c r="G140" s="90" t="str">
        <f t="shared" si="10"/>
        <v/>
      </c>
    </row>
    <row r="141" spans="2:7" ht="12.75">
      <c r="B141" s="88" t="str">
        <f t="shared" si="7"/>
        <v/>
      </c>
      <c r="C141" s="89" t="str">
        <f t="shared" si="11"/>
        <v/>
      </c>
      <c r="D141" s="89" t="str">
        <f t="shared" si="8"/>
        <v/>
      </c>
      <c r="E141" s="89" t="str">
        <f t="shared" si="12"/>
        <v/>
      </c>
      <c r="F141" s="89" t="str">
        <f t="shared" si="9"/>
        <v/>
      </c>
      <c r="G141" s="90" t="str">
        <f t="shared" si="10"/>
        <v/>
      </c>
    </row>
    <row r="142" spans="2:7" ht="12.75">
      <c r="B142" s="88" t="str">
        <f t="shared" si="7"/>
        <v/>
      </c>
      <c r="C142" s="89" t="str">
        <f t="shared" si="11"/>
        <v/>
      </c>
      <c r="D142" s="89" t="str">
        <f t="shared" si="8"/>
        <v/>
      </c>
      <c r="E142" s="89" t="str">
        <f t="shared" si="12"/>
        <v/>
      </c>
      <c r="F142" s="89" t="str">
        <f t="shared" si="9"/>
        <v/>
      </c>
      <c r="G142" s="90" t="str">
        <f t="shared" si="10"/>
        <v/>
      </c>
    </row>
    <row r="143" spans="2:7" ht="12.75">
      <c r="B143" s="88" t="str">
        <f t="shared" si="7"/>
        <v/>
      </c>
      <c r="C143" s="89" t="str">
        <f t="shared" si="11"/>
        <v/>
      </c>
      <c r="D143" s="89" t="str">
        <f t="shared" si="8"/>
        <v/>
      </c>
      <c r="E143" s="89" t="str">
        <f t="shared" si="12"/>
        <v/>
      </c>
      <c r="F143" s="89" t="str">
        <f t="shared" si="9"/>
        <v/>
      </c>
      <c r="G143" s="90" t="str">
        <f t="shared" si="10"/>
        <v/>
      </c>
    </row>
    <row r="144" spans="2:7" ht="12.75">
      <c r="B144" s="88" t="str">
        <f t="shared" ref="B144:B207" si="13">IF(((ROW()-nSkip)&lt;=$G$9),(ROW()-nSkip), "")</f>
        <v/>
      </c>
      <c r="C144" s="89" t="str">
        <f t="shared" si="11"/>
        <v/>
      </c>
      <c r="D144" s="89" t="str">
        <f t="shared" si="8"/>
        <v/>
      </c>
      <c r="E144" s="89" t="str">
        <f t="shared" si="12"/>
        <v/>
      </c>
      <c r="F144" s="89" t="str">
        <f t="shared" si="9"/>
        <v/>
      </c>
      <c r="G144" s="90" t="str">
        <f t="shared" si="10"/>
        <v/>
      </c>
    </row>
    <row r="145" spans="2:7" ht="12.75">
      <c r="B145" s="88" t="str">
        <f t="shared" si="13"/>
        <v/>
      </c>
      <c r="C145" s="89" t="str">
        <f t="shared" si="11"/>
        <v/>
      </c>
      <c r="D145" s="89" t="str">
        <f t="shared" ref="D145:D208" si="14">IF(((ROW()-nSkip)&lt;=$G$9),-PPMT(($G$5/$G$8),B145,$G$9,$G$4),"")</f>
        <v/>
      </c>
      <c r="E145" s="89" t="str">
        <f t="shared" si="12"/>
        <v/>
      </c>
      <c r="F145" s="89" t="str">
        <f t="shared" ref="F145:F208" si="15">IF(((ROW()-nSkip)&lt;=$G$9),(E145+F144),"")</f>
        <v/>
      </c>
      <c r="G145" s="90" t="str">
        <f t="shared" ref="G145:G208" si="16">IF(((ROW()-nSkip)&lt;=$G$9),(G144-D145),"")</f>
        <v/>
      </c>
    </row>
    <row r="146" spans="2:7" ht="12.75">
      <c r="B146" s="88" t="str">
        <f t="shared" si="13"/>
        <v/>
      </c>
      <c r="C146" s="89" t="str">
        <f t="shared" ref="C146:C209" si="17">IF((B146&lt;=$G$9),-PMT(($G$5/$G$8),$G$9,$G$4),"")</f>
        <v/>
      </c>
      <c r="D146" s="89" t="str">
        <f t="shared" si="14"/>
        <v/>
      </c>
      <c r="E146" s="89" t="str">
        <f t="shared" ref="E146:E209" si="18">IF(((ROW()-nSkip)&lt;=$G$9),-IPMT(($G$5/$G$8),B146,$G$9,$G$4),"")</f>
        <v/>
      </c>
      <c r="F146" s="89" t="str">
        <f t="shared" si="15"/>
        <v/>
      </c>
      <c r="G146" s="90" t="str">
        <f t="shared" si="16"/>
        <v/>
      </c>
    </row>
    <row r="147" spans="2:7" ht="12.75">
      <c r="B147" s="88" t="str">
        <f t="shared" si="13"/>
        <v/>
      </c>
      <c r="C147" s="89" t="str">
        <f t="shared" si="17"/>
        <v/>
      </c>
      <c r="D147" s="89" t="str">
        <f t="shared" si="14"/>
        <v/>
      </c>
      <c r="E147" s="89" t="str">
        <f t="shared" si="18"/>
        <v/>
      </c>
      <c r="F147" s="89" t="str">
        <f t="shared" si="15"/>
        <v/>
      </c>
      <c r="G147" s="90" t="str">
        <f t="shared" si="16"/>
        <v/>
      </c>
    </row>
    <row r="148" spans="2:7" ht="12.75">
      <c r="B148" s="88" t="str">
        <f t="shared" si="13"/>
        <v/>
      </c>
      <c r="C148" s="89" t="str">
        <f t="shared" si="17"/>
        <v/>
      </c>
      <c r="D148" s="89" t="str">
        <f t="shared" si="14"/>
        <v/>
      </c>
      <c r="E148" s="89" t="str">
        <f t="shared" si="18"/>
        <v/>
      </c>
      <c r="F148" s="89" t="str">
        <f t="shared" si="15"/>
        <v/>
      </c>
      <c r="G148" s="90" t="str">
        <f t="shared" si="16"/>
        <v/>
      </c>
    </row>
    <row r="149" spans="2:7" ht="12.75">
      <c r="B149" s="88" t="str">
        <f t="shared" si="13"/>
        <v/>
      </c>
      <c r="C149" s="89" t="str">
        <f t="shared" si="17"/>
        <v/>
      </c>
      <c r="D149" s="89" t="str">
        <f t="shared" si="14"/>
        <v/>
      </c>
      <c r="E149" s="89" t="str">
        <f t="shared" si="18"/>
        <v/>
      </c>
      <c r="F149" s="89" t="str">
        <f t="shared" si="15"/>
        <v/>
      </c>
      <c r="G149" s="90" t="str">
        <f t="shared" si="16"/>
        <v/>
      </c>
    </row>
    <row r="150" spans="2:7" ht="12.75">
      <c r="B150" s="88" t="str">
        <f t="shared" si="13"/>
        <v/>
      </c>
      <c r="C150" s="89" t="str">
        <f t="shared" si="17"/>
        <v/>
      </c>
      <c r="D150" s="89" t="str">
        <f t="shared" si="14"/>
        <v/>
      </c>
      <c r="E150" s="89" t="str">
        <f t="shared" si="18"/>
        <v/>
      </c>
      <c r="F150" s="89" t="str">
        <f t="shared" si="15"/>
        <v/>
      </c>
      <c r="G150" s="90" t="str">
        <f t="shared" si="16"/>
        <v/>
      </c>
    </row>
    <row r="151" spans="2:7" ht="12.75">
      <c r="B151" s="88" t="str">
        <f t="shared" si="13"/>
        <v/>
      </c>
      <c r="C151" s="89" t="str">
        <f t="shared" si="17"/>
        <v/>
      </c>
      <c r="D151" s="89" t="str">
        <f t="shared" si="14"/>
        <v/>
      </c>
      <c r="E151" s="89" t="str">
        <f t="shared" si="18"/>
        <v/>
      </c>
      <c r="F151" s="89" t="str">
        <f t="shared" si="15"/>
        <v/>
      </c>
      <c r="G151" s="90" t="str">
        <f t="shared" si="16"/>
        <v/>
      </c>
    </row>
    <row r="152" spans="2:7" ht="12.75">
      <c r="B152" s="88" t="str">
        <f t="shared" si="13"/>
        <v/>
      </c>
      <c r="C152" s="89" t="str">
        <f t="shared" si="17"/>
        <v/>
      </c>
      <c r="D152" s="89" t="str">
        <f t="shared" si="14"/>
        <v/>
      </c>
      <c r="E152" s="89" t="str">
        <f t="shared" si="18"/>
        <v/>
      </c>
      <c r="F152" s="89" t="str">
        <f t="shared" si="15"/>
        <v/>
      </c>
      <c r="G152" s="90" t="str">
        <f t="shared" si="16"/>
        <v/>
      </c>
    </row>
    <row r="153" spans="2:7" ht="12.75">
      <c r="B153" s="88" t="str">
        <f t="shared" si="13"/>
        <v/>
      </c>
      <c r="C153" s="89" t="str">
        <f t="shared" si="17"/>
        <v/>
      </c>
      <c r="D153" s="89" t="str">
        <f t="shared" si="14"/>
        <v/>
      </c>
      <c r="E153" s="89" t="str">
        <f t="shared" si="18"/>
        <v/>
      </c>
      <c r="F153" s="89" t="str">
        <f t="shared" si="15"/>
        <v/>
      </c>
      <c r="G153" s="90" t="str">
        <f t="shared" si="16"/>
        <v/>
      </c>
    </row>
    <row r="154" spans="2:7" ht="12.75">
      <c r="B154" s="88" t="str">
        <f t="shared" si="13"/>
        <v/>
      </c>
      <c r="C154" s="89" t="str">
        <f t="shared" si="17"/>
        <v/>
      </c>
      <c r="D154" s="89" t="str">
        <f t="shared" si="14"/>
        <v/>
      </c>
      <c r="E154" s="89" t="str">
        <f t="shared" si="18"/>
        <v/>
      </c>
      <c r="F154" s="89" t="str">
        <f t="shared" si="15"/>
        <v/>
      </c>
      <c r="G154" s="90" t="str">
        <f t="shared" si="16"/>
        <v/>
      </c>
    </row>
    <row r="155" spans="2:7" ht="12.75">
      <c r="B155" s="88" t="str">
        <f t="shared" si="13"/>
        <v/>
      </c>
      <c r="C155" s="89" t="str">
        <f t="shared" si="17"/>
        <v/>
      </c>
      <c r="D155" s="89" t="str">
        <f t="shared" si="14"/>
        <v/>
      </c>
      <c r="E155" s="89" t="str">
        <f t="shared" si="18"/>
        <v/>
      </c>
      <c r="F155" s="89" t="str">
        <f t="shared" si="15"/>
        <v/>
      </c>
      <c r="G155" s="90" t="str">
        <f t="shared" si="16"/>
        <v/>
      </c>
    </row>
    <row r="156" spans="2:7" ht="12.75">
      <c r="B156" s="88" t="str">
        <f t="shared" si="13"/>
        <v/>
      </c>
      <c r="C156" s="89" t="str">
        <f t="shared" si="17"/>
        <v/>
      </c>
      <c r="D156" s="89" t="str">
        <f t="shared" si="14"/>
        <v/>
      </c>
      <c r="E156" s="89" t="str">
        <f t="shared" si="18"/>
        <v/>
      </c>
      <c r="F156" s="89" t="str">
        <f t="shared" si="15"/>
        <v/>
      </c>
      <c r="G156" s="90" t="str">
        <f t="shared" si="16"/>
        <v/>
      </c>
    </row>
    <row r="157" spans="2:7" ht="12.75">
      <c r="B157" s="88" t="str">
        <f t="shared" si="13"/>
        <v/>
      </c>
      <c r="C157" s="89" t="str">
        <f t="shared" si="17"/>
        <v/>
      </c>
      <c r="D157" s="89" t="str">
        <f t="shared" si="14"/>
        <v/>
      </c>
      <c r="E157" s="89" t="str">
        <f t="shared" si="18"/>
        <v/>
      </c>
      <c r="F157" s="89" t="str">
        <f t="shared" si="15"/>
        <v/>
      </c>
      <c r="G157" s="90" t="str">
        <f t="shared" si="16"/>
        <v/>
      </c>
    </row>
    <row r="158" spans="2:7" ht="12.75">
      <c r="B158" s="88" t="str">
        <f t="shared" si="13"/>
        <v/>
      </c>
      <c r="C158" s="89" t="str">
        <f t="shared" si="17"/>
        <v/>
      </c>
      <c r="D158" s="89" t="str">
        <f t="shared" si="14"/>
        <v/>
      </c>
      <c r="E158" s="89" t="str">
        <f t="shared" si="18"/>
        <v/>
      </c>
      <c r="F158" s="89" t="str">
        <f t="shared" si="15"/>
        <v/>
      </c>
      <c r="G158" s="90" t="str">
        <f t="shared" si="16"/>
        <v/>
      </c>
    </row>
    <row r="159" spans="2:7" ht="12.75">
      <c r="B159" s="88" t="str">
        <f t="shared" si="13"/>
        <v/>
      </c>
      <c r="C159" s="89" t="str">
        <f t="shared" si="17"/>
        <v/>
      </c>
      <c r="D159" s="89" t="str">
        <f t="shared" si="14"/>
        <v/>
      </c>
      <c r="E159" s="89" t="str">
        <f t="shared" si="18"/>
        <v/>
      </c>
      <c r="F159" s="89" t="str">
        <f t="shared" si="15"/>
        <v/>
      </c>
      <c r="G159" s="90" t="str">
        <f t="shared" si="16"/>
        <v/>
      </c>
    </row>
    <row r="160" spans="2:7" ht="12.75">
      <c r="B160" s="88" t="str">
        <f t="shared" si="13"/>
        <v/>
      </c>
      <c r="C160" s="89" t="str">
        <f t="shared" si="17"/>
        <v/>
      </c>
      <c r="D160" s="89" t="str">
        <f t="shared" si="14"/>
        <v/>
      </c>
      <c r="E160" s="89" t="str">
        <f t="shared" si="18"/>
        <v/>
      </c>
      <c r="F160" s="89" t="str">
        <f t="shared" si="15"/>
        <v/>
      </c>
      <c r="G160" s="90" t="str">
        <f t="shared" si="16"/>
        <v/>
      </c>
    </row>
    <row r="161" spans="2:7" ht="12.75">
      <c r="B161" s="88" t="str">
        <f t="shared" si="13"/>
        <v/>
      </c>
      <c r="C161" s="89" t="str">
        <f t="shared" si="17"/>
        <v/>
      </c>
      <c r="D161" s="89" t="str">
        <f t="shared" si="14"/>
        <v/>
      </c>
      <c r="E161" s="89" t="str">
        <f t="shared" si="18"/>
        <v/>
      </c>
      <c r="F161" s="89" t="str">
        <f t="shared" si="15"/>
        <v/>
      </c>
      <c r="G161" s="90" t="str">
        <f t="shared" si="16"/>
        <v/>
      </c>
    </row>
    <row r="162" spans="2:7" ht="12.75">
      <c r="B162" s="88" t="str">
        <f t="shared" si="13"/>
        <v/>
      </c>
      <c r="C162" s="89" t="str">
        <f t="shared" si="17"/>
        <v/>
      </c>
      <c r="D162" s="89" t="str">
        <f t="shared" si="14"/>
        <v/>
      </c>
      <c r="E162" s="89" t="str">
        <f t="shared" si="18"/>
        <v/>
      </c>
      <c r="F162" s="89" t="str">
        <f t="shared" si="15"/>
        <v/>
      </c>
      <c r="G162" s="90" t="str">
        <f t="shared" si="16"/>
        <v/>
      </c>
    </row>
    <row r="163" spans="2:7" ht="12.75">
      <c r="B163" s="88" t="str">
        <f t="shared" si="13"/>
        <v/>
      </c>
      <c r="C163" s="89" t="str">
        <f t="shared" si="17"/>
        <v/>
      </c>
      <c r="D163" s="89" t="str">
        <f t="shared" si="14"/>
        <v/>
      </c>
      <c r="E163" s="89" t="str">
        <f t="shared" si="18"/>
        <v/>
      </c>
      <c r="F163" s="89" t="str">
        <f t="shared" si="15"/>
        <v/>
      </c>
      <c r="G163" s="90" t="str">
        <f t="shared" si="16"/>
        <v/>
      </c>
    </row>
    <row r="164" spans="2:7" ht="12.75">
      <c r="B164" s="88" t="str">
        <f t="shared" si="13"/>
        <v/>
      </c>
      <c r="C164" s="89" t="str">
        <f t="shared" si="17"/>
        <v/>
      </c>
      <c r="D164" s="89" t="str">
        <f t="shared" si="14"/>
        <v/>
      </c>
      <c r="E164" s="89" t="str">
        <f t="shared" si="18"/>
        <v/>
      </c>
      <c r="F164" s="89" t="str">
        <f t="shared" si="15"/>
        <v/>
      </c>
      <c r="G164" s="90" t="str">
        <f t="shared" si="16"/>
        <v/>
      </c>
    </row>
    <row r="165" spans="2:7" ht="12.75">
      <c r="B165" s="88" t="str">
        <f t="shared" si="13"/>
        <v/>
      </c>
      <c r="C165" s="89" t="str">
        <f t="shared" si="17"/>
        <v/>
      </c>
      <c r="D165" s="89" t="str">
        <f t="shared" si="14"/>
        <v/>
      </c>
      <c r="E165" s="89" t="str">
        <f t="shared" si="18"/>
        <v/>
      </c>
      <c r="F165" s="89" t="str">
        <f t="shared" si="15"/>
        <v/>
      </c>
      <c r="G165" s="90" t="str">
        <f t="shared" si="16"/>
        <v/>
      </c>
    </row>
    <row r="166" spans="2:7" ht="12.75">
      <c r="B166" s="88" t="str">
        <f t="shared" si="13"/>
        <v/>
      </c>
      <c r="C166" s="89" t="str">
        <f t="shared" si="17"/>
        <v/>
      </c>
      <c r="D166" s="89" t="str">
        <f t="shared" si="14"/>
        <v/>
      </c>
      <c r="E166" s="89" t="str">
        <f t="shared" si="18"/>
        <v/>
      </c>
      <c r="F166" s="89" t="str">
        <f t="shared" si="15"/>
        <v/>
      </c>
      <c r="G166" s="90" t="str">
        <f t="shared" si="16"/>
        <v/>
      </c>
    </row>
    <row r="167" spans="2:7" ht="12.75">
      <c r="B167" s="88" t="str">
        <f t="shared" si="13"/>
        <v/>
      </c>
      <c r="C167" s="89" t="str">
        <f t="shared" si="17"/>
        <v/>
      </c>
      <c r="D167" s="89" t="str">
        <f t="shared" si="14"/>
        <v/>
      </c>
      <c r="E167" s="89" t="str">
        <f t="shared" si="18"/>
        <v/>
      </c>
      <c r="F167" s="89" t="str">
        <f t="shared" si="15"/>
        <v/>
      </c>
      <c r="G167" s="90" t="str">
        <f t="shared" si="16"/>
        <v/>
      </c>
    </row>
    <row r="168" spans="2:7" ht="12.75">
      <c r="B168" s="88" t="str">
        <f t="shared" si="13"/>
        <v/>
      </c>
      <c r="C168" s="89" t="str">
        <f t="shared" si="17"/>
        <v/>
      </c>
      <c r="D168" s="89" t="str">
        <f t="shared" si="14"/>
        <v/>
      </c>
      <c r="E168" s="89" t="str">
        <f t="shared" si="18"/>
        <v/>
      </c>
      <c r="F168" s="89" t="str">
        <f t="shared" si="15"/>
        <v/>
      </c>
      <c r="G168" s="90" t="str">
        <f t="shared" si="16"/>
        <v/>
      </c>
    </row>
    <row r="169" spans="2:7" ht="12.75">
      <c r="B169" s="88" t="str">
        <f t="shared" si="13"/>
        <v/>
      </c>
      <c r="C169" s="89" t="str">
        <f t="shared" si="17"/>
        <v/>
      </c>
      <c r="D169" s="89" t="str">
        <f t="shared" si="14"/>
        <v/>
      </c>
      <c r="E169" s="89" t="str">
        <f t="shared" si="18"/>
        <v/>
      </c>
      <c r="F169" s="89" t="str">
        <f t="shared" si="15"/>
        <v/>
      </c>
      <c r="G169" s="90" t="str">
        <f t="shared" si="16"/>
        <v/>
      </c>
    </row>
    <row r="170" spans="2:7" ht="12.75">
      <c r="B170" s="88" t="str">
        <f t="shared" si="13"/>
        <v/>
      </c>
      <c r="C170" s="89" t="str">
        <f t="shared" si="17"/>
        <v/>
      </c>
      <c r="D170" s="89" t="str">
        <f t="shared" si="14"/>
        <v/>
      </c>
      <c r="E170" s="89" t="str">
        <f t="shared" si="18"/>
        <v/>
      </c>
      <c r="F170" s="89" t="str">
        <f t="shared" si="15"/>
        <v/>
      </c>
      <c r="G170" s="90" t="str">
        <f t="shared" si="16"/>
        <v/>
      </c>
    </row>
    <row r="171" spans="2:7" ht="12.75">
      <c r="B171" s="88" t="str">
        <f t="shared" si="13"/>
        <v/>
      </c>
      <c r="C171" s="89" t="str">
        <f t="shared" si="17"/>
        <v/>
      </c>
      <c r="D171" s="89" t="str">
        <f t="shared" si="14"/>
        <v/>
      </c>
      <c r="E171" s="89" t="str">
        <f t="shared" si="18"/>
        <v/>
      </c>
      <c r="F171" s="89" t="str">
        <f t="shared" si="15"/>
        <v/>
      </c>
      <c r="G171" s="90" t="str">
        <f t="shared" si="16"/>
        <v/>
      </c>
    </row>
    <row r="172" spans="2:7" ht="12.75">
      <c r="B172" s="88" t="str">
        <f t="shared" si="13"/>
        <v/>
      </c>
      <c r="C172" s="89" t="str">
        <f t="shared" si="17"/>
        <v/>
      </c>
      <c r="D172" s="89" t="str">
        <f t="shared" si="14"/>
        <v/>
      </c>
      <c r="E172" s="89" t="str">
        <f t="shared" si="18"/>
        <v/>
      </c>
      <c r="F172" s="89" t="str">
        <f t="shared" si="15"/>
        <v/>
      </c>
      <c r="G172" s="90" t="str">
        <f t="shared" si="16"/>
        <v/>
      </c>
    </row>
    <row r="173" spans="2:7" ht="12.75">
      <c r="B173" s="88" t="str">
        <f t="shared" si="13"/>
        <v/>
      </c>
      <c r="C173" s="89" t="str">
        <f t="shared" si="17"/>
        <v/>
      </c>
      <c r="D173" s="89" t="str">
        <f t="shared" si="14"/>
        <v/>
      </c>
      <c r="E173" s="89" t="str">
        <f t="shared" si="18"/>
        <v/>
      </c>
      <c r="F173" s="89" t="str">
        <f t="shared" si="15"/>
        <v/>
      </c>
      <c r="G173" s="90" t="str">
        <f t="shared" si="16"/>
        <v/>
      </c>
    </row>
    <row r="174" spans="2:7" ht="12.75">
      <c r="B174" s="88" t="str">
        <f t="shared" si="13"/>
        <v/>
      </c>
      <c r="C174" s="89" t="str">
        <f t="shared" si="17"/>
        <v/>
      </c>
      <c r="D174" s="89" t="str">
        <f t="shared" si="14"/>
        <v/>
      </c>
      <c r="E174" s="89" t="str">
        <f t="shared" si="18"/>
        <v/>
      </c>
      <c r="F174" s="89" t="str">
        <f t="shared" si="15"/>
        <v/>
      </c>
      <c r="G174" s="90" t="str">
        <f t="shared" si="16"/>
        <v/>
      </c>
    </row>
    <row r="175" spans="2:7" ht="12.75">
      <c r="B175" s="88" t="str">
        <f t="shared" si="13"/>
        <v/>
      </c>
      <c r="C175" s="89" t="str">
        <f t="shared" si="17"/>
        <v/>
      </c>
      <c r="D175" s="89" t="str">
        <f t="shared" si="14"/>
        <v/>
      </c>
      <c r="E175" s="89" t="str">
        <f t="shared" si="18"/>
        <v/>
      </c>
      <c r="F175" s="89" t="str">
        <f t="shared" si="15"/>
        <v/>
      </c>
      <c r="G175" s="90" t="str">
        <f t="shared" si="16"/>
        <v/>
      </c>
    </row>
    <row r="176" spans="2:7" ht="12.75">
      <c r="B176" s="88" t="str">
        <f t="shared" si="13"/>
        <v/>
      </c>
      <c r="C176" s="89" t="str">
        <f t="shared" si="17"/>
        <v/>
      </c>
      <c r="D176" s="89" t="str">
        <f t="shared" si="14"/>
        <v/>
      </c>
      <c r="E176" s="89" t="str">
        <f t="shared" si="18"/>
        <v/>
      </c>
      <c r="F176" s="89" t="str">
        <f t="shared" si="15"/>
        <v/>
      </c>
      <c r="G176" s="90" t="str">
        <f t="shared" si="16"/>
        <v/>
      </c>
    </row>
    <row r="177" spans="2:7" ht="12.75">
      <c r="B177" s="88" t="str">
        <f t="shared" si="13"/>
        <v/>
      </c>
      <c r="C177" s="89" t="str">
        <f t="shared" si="17"/>
        <v/>
      </c>
      <c r="D177" s="89" t="str">
        <f t="shared" si="14"/>
        <v/>
      </c>
      <c r="E177" s="89" t="str">
        <f t="shared" si="18"/>
        <v/>
      </c>
      <c r="F177" s="89" t="str">
        <f t="shared" si="15"/>
        <v/>
      </c>
      <c r="G177" s="90" t="str">
        <f t="shared" si="16"/>
        <v/>
      </c>
    </row>
    <row r="178" spans="2:7" ht="12.75">
      <c r="B178" s="88" t="str">
        <f t="shared" si="13"/>
        <v/>
      </c>
      <c r="C178" s="89" t="str">
        <f t="shared" si="17"/>
        <v/>
      </c>
      <c r="D178" s="89" t="str">
        <f t="shared" si="14"/>
        <v/>
      </c>
      <c r="E178" s="89" t="str">
        <f t="shared" si="18"/>
        <v/>
      </c>
      <c r="F178" s="89" t="str">
        <f t="shared" si="15"/>
        <v/>
      </c>
      <c r="G178" s="90" t="str">
        <f t="shared" si="16"/>
        <v/>
      </c>
    </row>
    <row r="179" spans="2:7" ht="12.75">
      <c r="B179" s="88" t="str">
        <f t="shared" si="13"/>
        <v/>
      </c>
      <c r="C179" s="89" t="str">
        <f t="shared" si="17"/>
        <v/>
      </c>
      <c r="D179" s="89" t="str">
        <f t="shared" si="14"/>
        <v/>
      </c>
      <c r="E179" s="89" t="str">
        <f t="shared" si="18"/>
        <v/>
      </c>
      <c r="F179" s="89" t="str">
        <f t="shared" si="15"/>
        <v/>
      </c>
      <c r="G179" s="90" t="str">
        <f t="shared" si="16"/>
        <v/>
      </c>
    </row>
    <row r="180" spans="2:7" ht="12.75">
      <c r="B180" s="88" t="str">
        <f t="shared" si="13"/>
        <v/>
      </c>
      <c r="C180" s="89" t="str">
        <f t="shared" si="17"/>
        <v/>
      </c>
      <c r="D180" s="89" t="str">
        <f t="shared" si="14"/>
        <v/>
      </c>
      <c r="E180" s="89" t="str">
        <f t="shared" si="18"/>
        <v/>
      </c>
      <c r="F180" s="89" t="str">
        <f t="shared" si="15"/>
        <v/>
      </c>
      <c r="G180" s="90" t="str">
        <f t="shared" si="16"/>
        <v/>
      </c>
    </row>
    <row r="181" spans="2:7" ht="12.75">
      <c r="B181" s="88" t="str">
        <f t="shared" si="13"/>
        <v/>
      </c>
      <c r="C181" s="89" t="str">
        <f t="shared" si="17"/>
        <v/>
      </c>
      <c r="D181" s="89" t="str">
        <f t="shared" si="14"/>
        <v/>
      </c>
      <c r="E181" s="89" t="str">
        <f t="shared" si="18"/>
        <v/>
      </c>
      <c r="F181" s="89" t="str">
        <f t="shared" si="15"/>
        <v/>
      </c>
      <c r="G181" s="90" t="str">
        <f t="shared" si="16"/>
        <v/>
      </c>
    </row>
    <row r="182" spans="2:7" ht="12.75">
      <c r="B182" s="88" t="str">
        <f t="shared" si="13"/>
        <v/>
      </c>
      <c r="C182" s="89" t="str">
        <f t="shared" si="17"/>
        <v/>
      </c>
      <c r="D182" s="89" t="str">
        <f t="shared" si="14"/>
        <v/>
      </c>
      <c r="E182" s="89" t="str">
        <f t="shared" si="18"/>
        <v/>
      </c>
      <c r="F182" s="89" t="str">
        <f t="shared" si="15"/>
        <v/>
      </c>
      <c r="G182" s="90" t="str">
        <f t="shared" si="16"/>
        <v/>
      </c>
    </row>
    <row r="183" spans="2:7" ht="12.75">
      <c r="B183" s="88" t="str">
        <f t="shared" si="13"/>
        <v/>
      </c>
      <c r="C183" s="89" t="str">
        <f t="shared" si="17"/>
        <v/>
      </c>
      <c r="D183" s="89" t="str">
        <f t="shared" si="14"/>
        <v/>
      </c>
      <c r="E183" s="89" t="str">
        <f t="shared" si="18"/>
        <v/>
      </c>
      <c r="F183" s="89" t="str">
        <f t="shared" si="15"/>
        <v/>
      </c>
      <c r="G183" s="90" t="str">
        <f t="shared" si="16"/>
        <v/>
      </c>
    </row>
    <row r="184" spans="2:7" ht="12.75">
      <c r="B184" s="88" t="str">
        <f t="shared" si="13"/>
        <v/>
      </c>
      <c r="C184" s="89" t="str">
        <f t="shared" si="17"/>
        <v/>
      </c>
      <c r="D184" s="89" t="str">
        <f t="shared" si="14"/>
        <v/>
      </c>
      <c r="E184" s="89" t="str">
        <f t="shared" si="18"/>
        <v/>
      </c>
      <c r="F184" s="89" t="str">
        <f t="shared" si="15"/>
        <v/>
      </c>
      <c r="G184" s="90" t="str">
        <f t="shared" si="16"/>
        <v/>
      </c>
    </row>
    <row r="185" spans="2:7" ht="12.75">
      <c r="B185" s="88" t="str">
        <f t="shared" si="13"/>
        <v/>
      </c>
      <c r="C185" s="89" t="str">
        <f t="shared" si="17"/>
        <v/>
      </c>
      <c r="D185" s="89" t="str">
        <f t="shared" si="14"/>
        <v/>
      </c>
      <c r="E185" s="89" t="str">
        <f t="shared" si="18"/>
        <v/>
      </c>
      <c r="F185" s="89" t="str">
        <f t="shared" si="15"/>
        <v/>
      </c>
      <c r="G185" s="90" t="str">
        <f t="shared" si="16"/>
        <v/>
      </c>
    </row>
    <row r="186" spans="2:7" ht="12.75">
      <c r="B186" s="88" t="str">
        <f t="shared" si="13"/>
        <v/>
      </c>
      <c r="C186" s="89" t="str">
        <f t="shared" si="17"/>
        <v/>
      </c>
      <c r="D186" s="89" t="str">
        <f t="shared" si="14"/>
        <v/>
      </c>
      <c r="E186" s="89" t="str">
        <f t="shared" si="18"/>
        <v/>
      </c>
      <c r="F186" s="89" t="str">
        <f t="shared" si="15"/>
        <v/>
      </c>
      <c r="G186" s="90" t="str">
        <f t="shared" si="16"/>
        <v/>
      </c>
    </row>
    <row r="187" spans="2:7" ht="12.75">
      <c r="B187" s="88" t="str">
        <f t="shared" si="13"/>
        <v/>
      </c>
      <c r="C187" s="89" t="str">
        <f t="shared" si="17"/>
        <v/>
      </c>
      <c r="D187" s="89" t="str">
        <f t="shared" si="14"/>
        <v/>
      </c>
      <c r="E187" s="89" t="str">
        <f t="shared" si="18"/>
        <v/>
      </c>
      <c r="F187" s="89" t="str">
        <f t="shared" si="15"/>
        <v/>
      </c>
      <c r="G187" s="90" t="str">
        <f t="shared" si="16"/>
        <v/>
      </c>
    </row>
    <row r="188" spans="2:7" ht="12.75">
      <c r="B188" s="88" t="str">
        <f t="shared" si="13"/>
        <v/>
      </c>
      <c r="C188" s="89" t="str">
        <f t="shared" si="17"/>
        <v/>
      </c>
      <c r="D188" s="89" t="str">
        <f t="shared" si="14"/>
        <v/>
      </c>
      <c r="E188" s="89" t="str">
        <f t="shared" si="18"/>
        <v/>
      </c>
      <c r="F188" s="89" t="str">
        <f t="shared" si="15"/>
        <v/>
      </c>
      <c r="G188" s="90" t="str">
        <f t="shared" si="16"/>
        <v/>
      </c>
    </row>
    <row r="189" spans="2:7" ht="12.75">
      <c r="B189" s="88" t="str">
        <f t="shared" si="13"/>
        <v/>
      </c>
      <c r="C189" s="89" t="str">
        <f t="shared" si="17"/>
        <v/>
      </c>
      <c r="D189" s="89" t="str">
        <f t="shared" si="14"/>
        <v/>
      </c>
      <c r="E189" s="89" t="str">
        <f t="shared" si="18"/>
        <v/>
      </c>
      <c r="F189" s="89" t="str">
        <f t="shared" si="15"/>
        <v/>
      </c>
      <c r="G189" s="90" t="str">
        <f t="shared" si="16"/>
        <v/>
      </c>
    </row>
    <row r="190" spans="2:7" ht="12.75">
      <c r="B190" s="88" t="str">
        <f t="shared" si="13"/>
        <v/>
      </c>
      <c r="C190" s="89" t="str">
        <f t="shared" si="17"/>
        <v/>
      </c>
      <c r="D190" s="89" t="str">
        <f t="shared" si="14"/>
        <v/>
      </c>
      <c r="E190" s="89" t="str">
        <f t="shared" si="18"/>
        <v/>
      </c>
      <c r="F190" s="89" t="str">
        <f t="shared" si="15"/>
        <v/>
      </c>
      <c r="G190" s="90" t="str">
        <f t="shared" si="16"/>
        <v/>
      </c>
    </row>
    <row r="191" spans="2:7" ht="12.75">
      <c r="B191" s="88" t="str">
        <f t="shared" si="13"/>
        <v/>
      </c>
      <c r="C191" s="89" t="str">
        <f t="shared" si="17"/>
        <v/>
      </c>
      <c r="D191" s="89" t="str">
        <f t="shared" si="14"/>
        <v/>
      </c>
      <c r="E191" s="89" t="str">
        <f t="shared" si="18"/>
        <v/>
      </c>
      <c r="F191" s="89" t="str">
        <f t="shared" si="15"/>
        <v/>
      </c>
      <c r="G191" s="90" t="str">
        <f t="shared" si="16"/>
        <v/>
      </c>
    </row>
    <row r="192" spans="2:7" ht="12.75">
      <c r="B192" s="88" t="str">
        <f t="shared" si="13"/>
        <v/>
      </c>
      <c r="C192" s="89" t="str">
        <f t="shared" si="17"/>
        <v/>
      </c>
      <c r="D192" s="89" t="str">
        <f t="shared" si="14"/>
        <v/>
      </c>
      <c r="E192" s="89" t="str">
        <f t="shared" si="18"/>
        <v/>
      </c>
      <c r="F192" s="89" t="str">
        <f t="shared" si="15"/>
        <v/>
      </c>
      <c r="G192" s="90" t="str">
        <f t="shared" si="16"/>
        <v/>
      </c>
    </row>
    <row r="193" spans="2:7" ht="12.75">
      <c r="B193" s="88" t="str">
        <f t="shared" si="13"/>
        <v/>
      </c>
      <c r="C193" s="89" t="str">
        <f t="shared" si="17"/>
        <v/>
      </c>
      <c r="D193" s="89" t="str">
        <f t="shared" si="14"/>
        <v/>
      </c>
      <c r="E193" s="89" t="str">
        <f t="shared" si="18"/>
        <v/>
      </c>
      <c r="F193" s="89" t="str">
        <f t="shared" si="15"/>
        <v/>
      </c>
      <c r="G193" s="90" t="str">
        <f t="shared" si="16"/>
        <v/>
      </c>
    </row>
    <row r="194" spans="2:7" ht="12.75">
      <c r="B194" s="88" t="str">
        <f t="shared" si="13"/>
        <v/>
      </c>
      <c r="C194" s="89" t="str">
        <f t="shared" si="17"/>
        <v/>
      </c>
      <c r="D194" s="89" t="str">
        <f t="shared" si="14"/>
        <v/>
      </c>
      <c r="E194" s="89" t="str">
        <f t="shared" si="18"/>
        <v/>
      </c>
      <c r="F194" s="89" t="str">
        <f t="shared" si="15"/>
        <v/>
      </c>
      <c r="G194" s="90" t="str">
        <f t="shared" si="16"/>
        <v/>
      </c>
    </row>
    <row r="195" spans="2:7" ht="12.75">
      <c r="B195" s="88" t="str">
        <f t="shared" si="13"/>
        <v/>
      </c>
      <c r="C195" s="89" t="str">
        <f t="shared" si="17"/>
        <v/>
      </c>
      <c r="D195" s="89" t="str">
        <f t="shared" si="14"/>
        <v/>
      </c>
      <c r="E195" s="89" t="str">
        <f t="shared" si="18"/>
        <v/>
      </c>
      <c r="F195" s="89" t="str">
        <f t="shared" si="15"/>
        <v/>
      </c>
      <c r="G195" s="90" t="str">
        <f t="shared" si="16"/>
        <v/>
      </c>
    </row>
    <row r="196" spans="2:7" ht="12.75">
      <c r="B196" s="88" t="str">
        <f t="shared" si="13"/>
        <v/>
      </c>
      <c r="C196" s="89" t="str">
        <f t="shared" si="17"/>
        <v/>
      </c>
      <c r="D196" s="89" t="str">
        <f t="shared" si="14"/>
        <v/>
      </c>
      <c r="E196" s="89" t="str">
        <f t="shared" si="18"/>
        <v/>
      </c>
      <c r="F196" s="89" t="str">
        <f t="shared" si="15"/>
        <v/>
      </c>
      <c r="G196" s="90" t="str">
        <f t="shared" si="16"/>
        <v/>
      </c>
    </row>
    <row r="197" spans="2:7" ht="12.75">
      <c r="B197" s="88" t="str">
        <f t="shared" si="13"/>
        <v/>
      </c>
      <c r="C197" s="89" t="str">
        <f t="shared" si="17"/>
        <v/>
      </c>
      <c r="D197" s="89" t="str">
        <f t="shared" si="14"/>
        <v/>
      </c>
      <c r="E197" s="89" t="str">
        <f t="shared" si="18"/>
        <v/>
      </c>
      <c r="F197" s="89" t="str">
        <f t="shared" si="15"/>
        <v/>
      </c>
      <c r="G197" s="90" t="str">
        <f t="shared" si="16"/>
        <v/>
      </c>
    </row>
    <row r="198" spans="2:7" ht="12.75">
      <c r="B198" s="88" t="str">
        <f t="shared" si="13"/>
        <v/>
      </c>
      <c r="C198" s="89" t="str">
        <f t="shared" si="17"/>
        <v/>
      </c>
      <c r="D198" s="89" t="str">
        <f t="shared" si="14"/>
        <v/>
      </c>
      <c r="E198" s="89" t="str">
        <f t="shared" si="18"/>
        <v/>
      </c>
      <c r="F198" s="89" t="str">
        <f t="shared" si="15"/>
        <v/>
      </c>
      <c r="G198" s="90" t="str">
        <f t="shared" si="16"/>
        <v/>
      </c>
    </row>
    <row r="199" spans="2:7" ht="12.75">
      <c r="B199" s="88" t="str">
        <f t="shared" si="13"/>
        <v/>
      </c>
      <c r="C199" s="89" t="str">
        <f t="shared" si="17"/>
        <v/>
      </c>
      <c r="D199" s="89" t="str">
        <f t="shared" si="14"/>
        <v/>
      </c>
      <c r="E199" s="89" t="str">
        <f t="shared" si="18"/>
        <v/>
      </c>
      <c r="F199" s="89" t="str">
        <f t="shared" si="15"/>
        <v/>
      </c>
      <c r="G199" s="90" t="str">
        <f t="shared" si="16"/>
        <v/>
      </c>
    </row>
    <row r="200" spans="2:7" ht="12.75">
      <c r="B200" s="88" t="str">
        <f t="shared" si="13"/>
        <v/>
      </c>
      <c r="C200" s="89" t="str">
        <f t="shared" si="17"/>
        <v/>
      </c>
      <c r="D200" s="89" t="str">
        <f t="shared" si="14"/>
        <v/>
      </c>
      <c r="E200" s="89" t="str">
        <f t="shared" si="18"/>
        <v/>
      </c>
      <c r="F200" s="89" t="str">
        <f t="shared" si="15"/>
        <v/>
      </c>
      <c r="G200" s="90" t="str">
        <f t="shared" si="16"/>
        <v/>
      </c>
    </row>
    <row r="201" spans="2:7" ht="12.75">
      <c r="B201" s="88" t="str">
        <f t="shared" si="13"/>
        <v/>
      </c>
      <c r="C201" s="89" t="str">
        <f t="shared" si="17"/>
        <v/>
      </c>
      <c r="D201" s="89" t="str">
        <f t="shared" si="14"/>
        <v/>
      </c>
      <c r="E201" s="89" t="str">
        <f t="shared" si="18"/>
        <v/>
      </c>
      <c r="F201" s="89" t="str">
        <f t="shared" si="15"/>
        <v/>
      </c>
      <c r="G201" s="90" t="str">
        <f t="shared" si="16"/>
        <v/>
      </c>
    </row>
    <row r="202" spans="2:7" ht="12.75">
      <c r="B202" s="88" t="str">
        <f t="shared" si="13"/>
        <v/>
      </c>
      <c r="C202" s="89" t="str">
        <f t="shared" si="17"/>
        <v/>
      </c>
      <c r="D202" s="89" t="str">
        <f t="shared" si="14"/>
        <v/>
      </c>
      <c r="E202" s="89" t="str">
        <f t="shared" si="18"/>
        <v/>
      </c>
      <c r="F202" s="89" t="str">
        <f t="shared" si="15"/>
        <v/>
      </c>
      <c r="G202" s="90" t="str">
        <f t="shared" si="16"/>
        <v/>
      </c>
    </row>
    <row r="203" spans="2:7" ht="12.75">
      <c r="B203" s="88" t="str">
        <f t="shared" si="13"/>
        <v/>
      </c>
      <c r="C203" s="89" t="str">
        <f t="shared" si="17"/>
        <v/>
      </c>
      <c r="D203" s="89" t="str">
        <f t="shared" si="14"/>
        <v/>
      </c>
      <c r="E203" s="89" t="str">
        <f t="shared" si="18"/>
        <v/>
      </c>
      <c r="F203" s="89" t="str">
        <f t="shared" si="15"/>
        <v/>
      </c>
      <c r="G203" s="90" t="str">
        <f t="shared" si="16"/>
        <v/>
      </c>
    </row>
    <row r="204" spans="2:7" ht="12.75">
      <c r="B204" s="88" t="str">
        <f t="shared" si="13"/>
        <v/>
      </c>
      <c r="C204" s="89" t="str">
        <f t="shared" si="17"/>
        <v/>
      </c>
      <c r="D204" s="89" t="str">
        <f t="shared" si="14"/>
        <v/>
      </c>
      <c r="E204" s="89" t="str">
        <f t="shared" si="18"/>
        <v/>
      </c>
      <c r="F204" s="89" t="str">
        <f t="shared" si="15"/>
        <v/>
      </c>
      <c r="G204" s="90" t="str">
        <f t="shared" si="16"/>
        <v/>
      </c>
    </row>
    <row r="205" spans="2:7" ht="12.75">
      <c r="B205" s="88" t="str">
        <f t="shared" si="13"/>
        <v/>
      </c>
      <c r="C205" s="89" t="str">
        <f t="shared" si="17"/>
        <v/>
      </c>
      <c r="D205" s="89" t="str">
        <f t="shared" si="14"/>
        <v/>
      </c>
      <c r="E205" s="89" t="str">
        <f t="shared" si="18"/>
        <v/>
      </c>
      <c r="F205" s="89" t="str">
        <f t="shared" si="15"/>
        <v/>
      </c>
      <c r="G205" s="90" t="str">
        <f t="shared" si="16"/>
        <v/>
      </c>
    </row>
    <row r="206" spans="2:7" ht="12.75">
      <c r="B206" s="88" t="str">
        <f t="shared" si="13"/>
        <v/>
      </c>
      <c r="C206" s="89" t="str">
        <f t="shared" si="17"/>
        <v/>
      </c>
      <c r="D206" s="89" t="str">
        <f t="shared" si="14"/>
        <v/>
      </c>
      <c r="E206" s="89" t="str">
        <f t="shared" si="18"/>
        <v/>
      </c>
      <c r="F206" s="89" t="str">
        <f t="shared" si="15"/>
        <v/>
      </c>
      <c r="G206" s="90" t="str">
        <f t="shared" si="16"/>
        <v/>
      </c>
    </row>
    <row r="207" spans="2:7" ht="12.75">
      <c r="B207" s="88" t="str">
        <f t="shared" si="13"/>
        <v/>
      </c>
      <c r="C207" s="89" t="str">
        <f t="shared" si="17"/>
        <v/>
      </c>
      <c r="D207" s="89" t="str">
        <f t="shared" si="14"/>
        <v/>
      </c>
      <c r="E207" s="89" t="str">
        <f t="shared" si="18"/>
        <v/>
      </c>
      <c r="F207" s="89" t="str">
        <f t="shared" si="15"/>
        <v/>
      </c>
      <c r="G207" s="90" t="str">
        <f t="shared" si="16"/>
        <v/>
      </c>
    </row>
    <row r="208" spans="2:7" ht="12.75">
      <c r="B208" s="88" t="str">
        <f t="shared" ref="B208:B271" si="19">IF(((ROW()-nSkip)&lt;=$G$9),(ROW()-nSkip), "")</f>
        <v/>
      </c>
      <c r="C208" s="89" t="str">
        <f t="shared" si="17"/>
        <v/>
      </c>
      <c r="D208" s="89" t="str">
        <f t="shared" si="14"/>
        <v/>
      </c>
      <c r="E208" s="89" t="str">
        <f t="shared" si="18"/>
        <v/>
      </c>
      <c r="F208" s="89" t="str">
        <f t="shared" si="15"/>
        <v/>
      </c>
      <c r="G208" s="90" t="str">
        <f t="shared" si="16"/>
        <v/>
      </c>
    </row>
    <row r="209" spans="2:7" ht="12.75">
      <c r="B209" s="88" t="str">
        <f t="shared" si="19"/>
        <v/>
      </c>
      <c r="C209" s="89" t="str">
        <f t="shared" si="17"/>
        <v/>
      </c>
      <c r="D209" s="89" t="str">
        <f t="shared" ref="D209:D272" si="20">IF(((ROW()-nSkip)&lt;=$G$9),-PPMT(($G$5/$G$8),B209,$G$9,$G$4),"")</f>
        <v/>
      </c>
      <c r="E209" s="89" t="str">
        <f t="shared" si="18"/>
        <v/>
      </c>
      <c r="F209" s="89" t="str">
        <f t="shared" ref="F209:F272" si="21">IF(((ROW()-nSkip)&lt;=$G$9),(E209+F208),"")</f>
        <v/>
      </c>
      <c r="G209" s="90" t="str">
        <f t="shared" ref="G209:G272" si="22">IF(((ROW()-nSkip)&lt;=$G$9),(G208-D209),"")</f>
        <v/>
      </c>
    </row>
    <row r="210" spans="2:7" ht="12.75">
      <c r="B210" s="88" t="str">
        <f t="shared" si="19"/>
        <v/>
      </c>
      <c r="C210" s="89" t="str">
        <f t="shared" ref="C210:C273" si="23">IF((B210&lt;=$G$9),-PMT(($G$5/$G$8),$G$9,$G$4),"")</f>
        <v/>
      </c>
      <c r="D210" s="89" t="str">
        <f t="shared" si="20"/>
        <v/>
      </c>
      <c r="E210" s="89" t="str">
        <f t="shared" ref="E210:E273" si="24">IF(((ROW()-nSkip)&lt;=$G$9),-IPMT(($G$5/$G$8),B210,$G$9,$G$4),"")</f>
        <v/>
      </c>
      <c r="F210" s="89" t="str">
        <f t="shared" si="21"/>
        <v/>
      </c>
      <c r="G210" s="90" t="str">
        <f t="shared" si="22"/>
        <v/>
      </c>
    </row>
    <row r="211" spans="2:7" ht="12.75">
      <c r="B211" s="88" t="str">
        <f t="shared" si="19"/>
        <v/>
      </c>
      <c r="C211" s="89" t="str">
        <f t="shared" si="23"/>
        <v/>
      </c>
      <c r="D211" s="89" t="str">
        <f t="shared" si="20"/>
        <v/>
      </c>
      <c r="E211" s="89" t="str">
        <f t="shared" si="24"/>
        <v/>
      </c>
      <c r="F211" s="89" t="str">
        <f t="shared" si="21"/>
        <v/>
      </c>
      <c r="G211" s="90" t="str">
        <f t="shared" si="22"/>
        <v/>
      </c>
    </row>
    <row r="212" spans="2:7" ht="12.75">
      <c r="B212" s="88" t="str">
        <f t="shared" si="19"/>
        <v/>
      </c>
      <c r="C212" s="89" t="str">
        <f t="shared" si="23"/>
        <v/>
      </c>
      <c r="D212" s="89" t="str">
        <f t="shared" si="20"/>
        <v/>
      </c>
      <c r="E212" s="89" t="str">
        <f t="shared" si="24"/>
        <v/>
      </c>
      <c r="F212" s="89" t="str">
        <f t="shared" si="21"/>
        <v/>
      </c>
      <c r="G212" s="90" t="str">
        <f t="shared" si="22"/>
        <v/>
      </c>
    </row>
    <row r="213" spans="2:7" ht="12.75">
      <c r="B213" s="88" t="str">
        <f t="shared" si="19"/>
        <v/>
      </c>
      <c r="C213" s="89" t="str">
        <f t="shared" si="23"/>
        <v/>
      </c>
      <c r="D213" s="89" t="str">
        <f t="shared" si="20"/>
        <v/>
      </c>
      <c r="E213" s="89" t="str">
        <f t="shared" si="24"/>
        <v/>
      </c>
      <c r="F213" s="89" t="str">
        <f t="shared" si="21"/>
        <v/>
      </c>
      <c r="G213" s="90" t="str">
        <f t="shared" si="22"/>
        <v/>
      </c>
    </row>
    <row r="214" spans="2:7" ht="12.75">
      <c r="B214" s="88" t="str">
        <f t="shared" si="19"/>
        <v/>
      </c>
      <c r="C214" s="89" t="str">
        <f t="shared" si="23"/>
        <v/>
      </c>
      <c r="D214" s="89" t="str">
        <f t="shared" si="20"/>
        <v/>
      </c>
      <c r="E214" s="89" t="str">
        <f t="shared" si="24"/>
        <v/>
      </c>
      <c r="F214" s="89" t="str">
        <f t="shared" si="21"/>
        <v/>
      </c>
      <c r="G214" s="90" t="str">
        <f t="shared" si="22"/>
        <v/>
      </c>
    </row>
    <row r="215" spans="2:7" ht="12.75">
      <c r="B215" s="88" t="str">
        <f t="shared" si="19"/>
        <v/>
      </c>
      <c r="C215" s="89" t="str">
        <f t="shared" si="23"/>
        <v/>
      </c>
      <c r="D215" s="89" t="str">
        <f t="shared" si="20"/>
        <v/>
      </c>
      <c r="E215" s="89" t="str">
        <f t="shared" si="24"/>
        <v/>
      </c>
      <c r="F215" s="89" t="str">
        <f t="shared" si="21"/>
        <v/>
      </c>
      <c r="G215" s="90" t="str">
        <f t="shared" si="22"/>
        <v/>
      </c>
    </row>
    <row r="216" spans="2:7" ht="12.75">
      <c r="B216" s="88" t="str">
        <f t="shared" si="19"/>
        <v/>
      </c>
      <c r="C216" s="89" t="str">
        <f t="shared" si="23"/>
        <v/>
      </c>
      <c r="D216" s="89" t="str">
        <f t="shared" si="20"/>
        <v/>
      </c>
      <c r="E216" s="89" t="str">
        <f t="shared" si="24"/>
        <v/>
      </c>
      <c r="F216" s="89" t="str">
        <f t="shared" si="21"/>
        <v/>
      </c>
      <c r="G216" s="90" t="str">
        <f t="shared" si="22"/>
        <v/>
      </c>
    </row>
    <row r="217" spans="2:7" ht="12.75">
      <c r="B217" s="88" t="str">
        <f t="shared" si="19"/>
        <v/>
      </c>
      <c r="C217" s="89" t="str">
        <f t="shared" si="23"/>
        <v/>
      </c>
      <c r="D217" s="89" t="str">
        <f t="shared" si="20"/>
        <v/>
      </c>
      <c r="E217" s="89" t="str">
        <f t="shared" si="24"/>
        <v/>
      </c>
      <c r="F217" s="89" t="str">
        <f t="shared" si="21"/>
        <v/>
      </c>
      <c r="G217" s="90" t="str">
        <f t="shared" si="22"/>
        <v/>
      </c>
    </row>
    <row r="218" spans="2:7" ht="12.75">
      <c r="B218" s="88" t="str">
        <f t="shared" si="19"/>
        <v/>
      </c>
      <c r="C218" s="89" t="str">
        <f t="shared" si="23"/>
        <v/>
      </c>
      <c r="D218" s="89" t="str">
        <f t="shared" si="20"/>
        <v/>
      </c>
      <c r="E218" s="89" t="str">
        <f t="shared" si="24"/>
        <v/>
      </c>
      <c r="F218" s="89" t="str">
        <f t="shared" si="21"/>
        <v/>
      </c>
      <c r="G218" s="90" t="str">
        <f t="shared" si="22"/>
        <v/>
      </c>
    </row>
    <row r="219" spans="2:7" ht="12.75">
      <c r="B219" s="88" t="str">
        <f t="shared" si="19"/>
        <v/>
      </c>
      <c r="C219" s="89" t="str">
        <f t="shared" si="23"/>
        <v/>
      </c>
      <c r="D219" s="89" t="str">
        <f t="shared" si="20"/>
        <v/>
      </c>
      <c r="E219" s="89" t="str">
        <f t="shared" si="24"/>
        <v/>
      </c>
      <c r="F219" s="89" t="str">
        <f t="shared" si="21"/>
        <v/>
      </c>
      <c r="G219" s="90" t="str">
        <f t="shared" si="22"/>
        <v/>
      </c>
    </row>
    <row r="220" spans="2:7" ht="12.75">
      <c r="B220" s="88" t="str">
        <f t="shared" si="19"/>
        <v/>
      </c>
      <c r="C220" s="89" t="str">
        <f t="shared" si="23"/>
        <v/>
      </c>
      <c r="D220" s="89" t="str">
        <f t="shared" si="20"/>
        <v/>
      </c>
      <c r="E220" s="89" t="str">
        <f t="shared" si="24"/>
        <v/>
      </c>
      <c r="F220" s="89" t="str">
        <f t="shared" si="21"/>
        <v/>
      </c>
      <c r="G220" s="90" t="str">
        <f t="shared" si="22"/>
        <v/>
      </c>
    </row>
    <row r="221" spans="2:7" ht="12.75">
      <c r="B221" s="88" t="str">
        <f t="shared" si="19"/>
        <v/>
      </c>
      <c r="C221" s="89" t="str">
        <f t="shared" si="23"/>
        <v/>
      </c>
      <c r="D221" s="89" t="str">
        <f t="shared" si="20"/>
        <v/>
      </c>
      <c r="E221" s="89" t="str">
        <f t="shared" si="24"/>
        <v/>
      </c>
      <c r="F221" s="89" t="str">
        <f t="shared" si="21"/>
        <v/>
      </c>
      <c r="G221" s="90" t="str">
        <f t="shared" si="22"/>
        <v/>
      </c>
    </row>
    <row r="222" spans="2:7" ht="12.75">
      <c r="B222" s="88" t="str">
        <f t="shared" si="19"/>
        <v/>
      </c>
      <c r="C222" s="89" t="str">
        <f t="shared" si="23"/>
        <v/>
      </c>
      <c r="D222" s="89" t="str">
        <f t="shared" si="20"/>
        <v/>
      </c>
      <c r="E222" s="89" t="str">
        <f t="shared" si="24"/>
        <v/>
      </c>
      <c r="F222" s="89" t="str">
        <f t="shared" si="21"/>
        <v/>
      </c>
      <c r="G222" s="90" t="str">
        <f t="shared" si="22"/>
        <v/>
      </c>
    </row>
    <row r="223" spans="2:7" ht="12.75">
      <c r="B223" s="88" t="str">
        <f t="shared" si="19"/>
        <v/>
      </c>
      <c r="C223" s="89" t="str">
        <f t="shared" si="23"/>
        <v/>
      </c>
      <c r="D223" s="89" t="str">
        <f t="shared" si="20"/>
        <v/>
      </c>
      <c r="E223" s="89" t="str">
        <f t="shared" si="24"/>
        <v/>
      </c>
      <c r="F223" s="89" t="str">
        <f t="shared" si="21"/>
        <v/>
      </c>
      <c r="G223" s="90" t="str">
        <f t="shared" si="22"/>
        <v/>
      </c>
    </row>
    <row r="224" spans="2:7" ht="12.75">
      <c r="B224" s="88" t="str">
        <f t="shared" si="19"/>
        <v/>
      </c>
      <c r="C224" s="89" t="str">
        <f t="shared" si="23"/>
        <v/>
      </c>
      <c r="D224" s="89" t="str">
        <f t="shared" si="20"/>
        <v/>
      </c>
      <c r="E224" s="89" t="str">
        <f t="shared" si="24"/>
        <v/>
      </c>
      <c r="F224" s="89" t="str">
        <f t="shared" si="21"/>
        <v/>
      </c>
      <c r="G224" s="90" t="str">
        <f t="shared" si="22"/>
        <v/>
      </c>
    </row>
    <row r="225" spans="2:7" ht="12.75">
      <c r="B225" s="88" t="str">
        <f t="shared" si="19"/>
        <v/>
      </c>
      <c r="C225" s="89" t="str">
        <f t="shared" si="23"/>
        <v/>
      </c>
      <c r="D225" s="89" t="str">
        <f t="shared" si="20"/>
        <v/>
      </c>
      <c r="E225" s="89" t="str">
        <f t="shared" si="24"/>
        <v/>
      </c>
      <c r="F225" s="89" t="str">
        <f t="shared" si="21"/>
        <v/>
      </c>
      <c r="G225" s="90" t="str">
        <f t="shared" si="22"/>
        <v/>
      </c>
    </row>
    <row r="226" spans="2:7" ht="12.75">
      <c r="B226" s="88" t="str">
        <f t="shared" si="19"/>
        <v/>
      </c>
      <c r="C226" s="89" t="str">
        <f t="shared" si="23"/>
        <v/>
      </c>
      <c r="D226" s="89" t="str">
        <f t="shared" si="20"/>
        <v/>
      </c>
      <c r="E226" s="89" t="str">
        <f t="shared" si="24"/>
        <v/>
      </c>
      <c r="F226" s="89" t="str">
        <f t="shared" si="21"/>
        <v/>
      </c>
      <c r="G226" s="90" t="str">
        <f t="shared" si="22"/>
        <v/>
      </c>
    </row>
    <row r="227" spans="2:7" ht="12.75">
      <c r="B227" s="88" t="str">
        <f t="shared" si="19"/>
        <v/>
      </c>
      <c r="C227" s="89" t="str">
        <f t="shared" si="23"/>
        <v/>
      </c>
      <c r="D227" s="89" t="str">
        <f t="shared" si="20"/>
        <v/>
      </c>
      <c r="E227" s="89" t="str">
        <f t="shared" si="24"/>
        <v/>
      </c>
      <c r="F227" s="89" t="str">
        <f t="shared" si="21"/>
        <v/>
      </c>
      <c r="G227" s="90" t="str">
        <f t="shared" si="22"/>
        <v/>
      </c>
    </row>
    <row r="228" spans="2:7" ht="12.75">
      <c r="B228" s="88" t="str">
        <f t="shared" si="19"/>
        <v/>
      </c>
      <c r="C228" s="89" t="str">
        <f t="shared" si="23"/>
        <v/>
      </c>
      <c r="D228" s="89" t="str">
        <f t="shared" si="20"/>
        <v/>
      </c>
      <c r="E228" s="89" t="str">
        <f t="shared" si="24"/>
        <v/>
      </c>
      <c r="F228" s="89" t="str">
        <f t="shared" si="21"/>
        <v/>
      </c>
      <c r="G228" s="90" t="str">
        <f t="shared" si="22"/>
        <v/>
      </c>
    </row>
    <row r="229" spans="2:7" ht="12.75">
      <c r="B229" s="88" t="str">
        <f t="shared" si="19"/>
        <v/>
      </c>
      <c r="C229" s="89" t="str">
        <f t="shared" si="23"/>
        <v/>
      </c>
      <c r="D229" s="89" t="str">
        <f t="shared" si="20"/>
        <v/>
      </c>
      <c r="E229" s="89" t="str">
        <f t="shared" si="24"/>
        <v/>
      </c>
      <c r="F229" s="89" t="str">
        <f t="shared" si="21"/>
        <v/>
      </c>
      <c r="G229" s="90" t="str">
        <f t="shared" si="22"/>
        <v/>
      </c>
    </row>
    <row r="230" spans="2:7" ht="12.75">
      <c r="B230" s="88" t="str">
        <f t="shared" si="19"/>
        <v/>
      </c>
      <c r="C230" s="89" t="str">
        <f t="shared" si="23"/>
        <v/>
      </c>
      <c r="D230" s="89" t="str">
        <f t="shared" si="20"/>
        <v/>
      </c>
      <c r="E230" s="89" t="str">
        <f t="shared" si="24"/>
        <v/>
      </c>
      <c r="F230" s="89" t="str">
        <f t="shared" si="21"/>
        <v/>
      </c>
      <c r="G230" s="90" t="str">
        <f t="shared" si="22"/>
        <v/>
      </c>
    </row>
    <row r="231" spans="2:7" ht="12.75">
      <c r="B231" s="88" t="str">
        <f t="shared" si="19"/>
        <v/>
      </c>
      <c r="C231" s="89" t="str">
        <f t="shared" si="23"/>
        <v/>
      </c>
      <c r="D231" s="89" t="str">
        <f t="shared" si="20"/>
        <v/>
      </c>
      <c r="E231" s="89" t="str">
        <f t="shared" si="24"/>
        <v/>
      </c>
      <c r="F231" s="89" t="str">
        <f t="shared" si="21"/>
        <v/>
      </c>
      <c r="G231" s="90" t="str">
        <f t="shared" si="22"/>
        <v/>
      </c>
    </row>
    <row r="232" spans="2:7" ht="12.75">
      <c r="B232" s="88" t="str">
        <f t="shared" si="19"/>
        <v/>
      </c>
      <c r="C232" s="89" t="str">
        <f t="shared" si="23"/>
        <v/>
      </c>
      <c r="D232" s="89" t="str">
        <f t="shared" si="20"/>
        <v/>
      </c>
      <c r="E232" s="89" t="str">
        <f t="shared" si="24"/>
        <v/>
      </c>
      <c r="F232" s="89" t="str">
        <f t="shared" si="21"/>
        <v/>
      </c>
      <c r="G232" s="90" t="str">
        <f t="shared" si="22"/>
        <v/>
      </c>
    </row>
    <row r="233" spans="2:7" ht="12.75">
      <c r="B233" s="88" t="str">
        <f t="shared" si="19"/>
        <v/>
      </c>
      <c r="C233" s="89" t="str">
        <f t="shared" si="23"/>
        <v/>
      </c>
      <c r="D233" s="89" t="str">
        <f t="shared" si="20"/>
        <v/>
      </c>
      <c r="E233" s="89" t="str">
        <f t="shared" si="24"/>
        <v/>
      </c>
      <c r="F233" s="89" t="str">
        <f t="shared" si="21"/>
        <v/>
      </c>
      <c r="G233" s="90" t="str">
        <f t="shared" si="22"/>
        <v/>
      </c>
    </row>
    <row r="234" spans="2:7" ht="12.75">
      <c r="B234" s="88" t="str">
        <f t="shared" si="19"/>
        <v/>
      </c>
      <c r="C234" s="89" t="str">
        <f t="shared" si="23"/>
        <v/>
      </c>
      <c r="D234" s="89" t="str">
        <f t="shared" si="20"/>
        <v/>
      </c>
      <c r="E234" s="89" t="str">
        <f t="shared" si="24"/>
        <v/>
      </c>
      <c r="F234" s="89" t="str">
        <f t="shared" si="21"/>
        <v/>
      </c>
      <c r="G234" s="90" t="str">
        <f t="shared" si="22"/>
        <v/>
      </c>
    </row>
    <row r="235" spans="2:7" ht="12.75">
      <c r="B235" s="88" t="str">
        <f t="shared" si="19"/>
        <v/>
      </c>
      <c r="C235" s="89" t="str">
        <f t="shared" si="23"/>
        <v/>
      </c>
      <c r="D235" s="89" t="str">
        <f t="shared" si="20"/>
        <v/>
      </c>
      <c r="E235" s="89" t="str">
        <f t="shared" si="24"/>
        <v/>
      </c>
      <c r="F235" s="89" t="str">
        <f t="shared" si="21"/>
        <v/>
      </c>
      <c r="G235" s="90" t="str">
        <f t="shared" si="22"/>
        <v/>
      </c>
    </row>
    <row r="236" spans="2:7" ht="12.75">
      <c r="B236" s="88" t="str">
        <f t="shared" si="19"/>
        <v/>
      </c>
      <c r="C236" s="89" t="str">
        <f t="shared" si="23"/>
        <v/>
      </c>
      <c r="D236" s="89" t="str">
        <f t="shared" si="20"/>
        <v/>
      </c>
      <c r="E236" s="89" t="str">
        <f t="shared" si="24"/>
        <v/>
      </c>
      <c r="F236" s="89" t="str">
        <f t="shared" si="21"/>
        <v/>
      </c>
      <c r="G236" s="90" t="str">
        <f t="shared" si="22"/>
        <v/>
      </c>
    </row>
    <row r="237" spans="2:7" ht="12.75">
      <c r="B237" s="88" t="str">
        <f t="shared" si="19"/>
        <v/>
      </c>
      <c r="C237" s="89" t="str">
        <f t="shared" si="23"/>
        <v/>
      </c>
      <c r="D237" s="89" t="str">
        <f t="shared" si="20"/>
        <v/>
      </c>
      <c r="E237" s="89" t="str">
        <f t="shared" si="24"/>
        <v/>
      </c>
      <c r="F237" s="89" t="str">
        <f t="shared" si="21"/>
        <v/>
      </c>
      <c r="G237" s="90" t="str">
        <f t="shared" si="22"/>
        <v/>
      </c>
    </row>
    <row r="238" spans="2:7" ht="12.75">
      <c r="B238" s="88" t="str">
        <f t="shared" si="19"/>
        <v/>
      </c>
      <c r="C238" s="89" t="str">
        <f t="shared" si="23"/>
        <v/>
      </c>
      <c r="D238" s="89" t="str">
        <f t="shared" si="20"/>
        <v/>
      </c>
      <c r="E238" s="89" t="str">
        <f t="shared" si="24"/>
        <v/>
      </c>
      <c r="F238" s="89" t="str">
        <f t="shared" si="21"/>
        <v/>
      </c>
      <c r="G238" s="90" t="str">
        <f t="shared" si="22"/>
        <v/>
      </c>
    </row>
    <row r="239" spans="2:7" ht="12.75">
      <c r="B239" s="88" t="str">
        <f t="shared" si="19"/>
        <v/>
      </c>
      <c r="C239" s="89" t="str">
        <f t="shared" si="23"/>
        <v/>
      </c>
      <c r="D239" s="89" t="str">
        <f t="shared" si="20"/>
        <v/>
      </c>
      <c r="E239" s="89" t="str">
        <f t="shared" si="24"/>
        <v/>
      </c>
      <c r="F239" s="89" t="str">
        <f t="shared" si="21"/>
        <v/>
      </c>
      <c r="G239" s="90" t="str">
        <f t="shared" si="22"/>
        <v/>
      </c>
    </row>
    <row r="240" spans="2:7" ht="12.75">
      <c r="B240" s="88" t="str">
        <f t="shared" si="19"/>
        <v/>
      </c>
      <c r="C240" s="89" t="str">
        <f t="shared" si="23"/>
        <v/>
      </c>
      <c r="D240" s="89" t="str">
        <f t="shared" si="20"/>
        <v/>
      </c>
      <c r="E240" s="89" t="str">
        <f t="shared" si="24"/>
        <v/>
      </c>
      <c r="F240" s="89" t="str">
        <f t="shared" si="21"/>
        <v/>
      </c>
      <c r="G240" s="90" t="str">
        <f t="shared" si="22"/>
        <v/>
      </c>
    </row>
    <row r="241" spans="2:7" ht="12.75">
      <c r="B241" s="88" t="str">
        <f t="shared" si="19"/>
        <v/>
      </c>
      <c r="C241" s="89" t="str">
        <f t="shared" si="23"/>
        <v/>
      </c>
      <c r="D241" s="89" t="str">
        <f t="shared" si="20"/>
        <v/>
      </c>
      <c r="E241" s="89" t="str">
        <f t="shared" si="24"/>
        <v/>
      </c>
      <c r="F241" s="89" t="str">
        <f t="shared" si="21"/>
        <v/>
      </c>
      <c r="G241" s="90" t="str">
        <f t="shared" si="22"/>
        <v/>
      </c>
    </row>
    <row r="242" spans="2:7" ht="12.75">
      <c r="B242" s="88" t="str">
        <f t="shared" si="19"/>
        <v/>
      </c>
      <c r="C242" s="89" t="str">
        <f t="shared" si="23"/>
        <v/>
      </c>
      <c r="D242" s="89" t="str">
        <f t="shared" si="20"/>
        <v/>
      </c>
      <c r="E242" s="89" t="str">
        <f t="shared" si="24"/>
        <v/>
      </c>
      <c r="F242" s="89" t="str">
        <f t="shared" si="21"/>
        <v/>
      </c>
      <c r="G242" s="90" t="str">
        <f t="shared" si="22"/>
        <v/>
      </c>
    </row>
    <row r="243" spans="2:7" ht="12.75">
      <c r="B243" s="88" t="str">
        <f t="shared" si="19"/>
        <v/>
      </c>
      <c r="C243" s="89" t="str">
        <f t="shared" si="23"/>
        <v/>
      </c>
      <c r="D243" s="89" t="str">
        <f t="shared" si="20"/>
        <v/>
      </c>
      <c r="E243" s="89" t="str">
        <f t="shared" si="24"/>
        <v/>
      </c>
      <c r="F243" s="89" t="str">
        <f t="shared" si="21"/>
        <v/>
      </c>
      <c r="G243" s="90" t="str">
        <f t="shared" si="22"/>
        <v/>
      </c>
    </row>
    <row r="244" spans="2:7" ht="12.75">
      <c r="B244" s="88" t="str">
        <f t="shared" si="19"/>
        <v/>
      </c>
      <c r="C244" s="89" t="str">
        <f t="shared" si="23"/>
        <v/>
      </c>
      <c r="D244" s="89" t="str">
        <f t="shared" si="20"/>
        <v/>
      </c>
      <c r="E244" s="89" t="str">
        <f t="shared" si="24"/>
        <v/>
      </c>
      <c r="F244" s="89" t="str">
        <f t="shared" si="21"/>
        <v/>
      </c>
      <c r="G244" s="90" t="str">
        <f t="shared" si="22"/>
        <v/>
      </c>
    </row>
    <row r="245" spans="2:7" ht="12.75">
      <c r="B245" s="88" t="str">
        <f t="shared" si="19"/>
        <v/>
      </c>
      <c r="C245" s="89" t="str">
        <f t="shared" si="23"/>
        <v/>
      </c>
      <c r="D245" s="89" t="str">
        <f t="shared" si="20"/>
        <v/>
      </c>
      <c r="E245" s="89" t="str">
        <f t="shared" si="24"/>
        <v/>
      </c>
      <c r="F245" s="89" t="str">
        <f t="shared" si="21"/>
        <v/>
      </c>
      <c r="G245" s="90" t="str">
        <f t="shared" si="22"/>
        <v/>
      </c>
    </row>
    <row r="246" spans="2:7" ht="12.75">
      <c r="B246" s="88" t="str">
        <f t="shared" si="19"/>
        <v/>
      </c>
      <c r="C246" s="89" t="str">
        <f t="shared" si="23"/>
        <v/>
      </c>
      <c r="D246" s="89" t="str">
        <f t="shared" si="20"/>
        <v/>
      </c>
      <c r="E246" s="89" t="str">
        <f t="shared" si="24"/>
        <v/>
      </c>
      <c r="F246" s="89" t="str">
        <f t="shared" si="21"/>
        <v/>
      </c>
      <c r="G246" s="90" t="str">
        <f t="shared" si="22"/>
        <v/>
      </c>
    </row>
    <row r="247" spans="2:7" ht="12.75">
      <c r="B247" s="88" t="str">
        <f t="shared" si="19"/>
        <v/>
      </c>
      <c r="C247" s="89" t="str">
        <f t="shared" si="23"/>
        <v/>
      </c>
      <c r="D247" s="89" t="str">
        <f t="shared" si="20"/>
        <v/>
      </c>
      <c r="E247" s="89" t="str">
        <f t="shared" si="24"/>
        <v/>
      </c>
      <c r="F247" s="89" t="str">
        <f t="shared" si="21"/>
        <v/>
      </c>
      <c r="G247" s="90" t="str">
        <f t="shared" si="22"/>
        <v/>
      </c>
    </row>
    <row r="248" spans="2:7" ht="12.75">
      <c r="B248" s="88" t="str">
        <f t="shared" si="19"/>
        <v/>
      </c>
      <c r="C248" s="89" t="str">
        <f t="shared" si="23"/>
        <v/>
      </c>
      <c r="D248" s="89" t="str">
        <f t="shared" si="20"/>
        <v/>
      </c>
      <c r="E248" s="89" t="str">
        <f t="shared" si="24"/>
        <v/>
      </c>
      <c r="F248" s="89" t="str">
        <f t="shared" si="21"/>
        <v/>
      </c>
      <c r="G248" s="90" t="str">
        <f t="shared" si="22"/>
        <v/>
      </c>
    </row>
    <row r="249" spans="2:7" ht="12.75">
      <c r="B249" s="88" t="str">
        <f t="shared" si="19"/>
        <v/>
      </c>
      <c r="C249" s="89" t="str">
        <f t="shared" si="23"/>
        <v/>
      </c>
      <c r="D249" s="89" t="str">
        <f t="shared" si="20"/>
        <v/>
      </c>
      <c r="E249" s="89" t="str">
        <f t="shared" si="24"/>
        <v/>
      </c>
      <c r="F249" s="89" t="str">
        <f t="shared" si="21"/>
        <v/>
      </c>
      <c r="G249" s="90" t="str">
        <f t="shared" si="22"/>
        <v/>
      </c>
    </row>
    <row r="250" spans="2:7" ht="12.75">
      <c r="B250" s="88" t="str">
        <f t="shared" si="19"/>
        <v/>
      </c>
      <c r="C250" s="89" t="str">
        <f t="shared" si="23"/>
        <v/>
      </c>
      <c r="D250" s="89" t="str">
        <f t="shared" si="20"/>
        <v/>
      </c>
      <c r="E250" s="89" t="str">
        <f t="shared" si="24"/>
        <v/>
      </c>
      <c r="F250" s="89" t="str">
        <f t="shared" si="21"/>
        <v/>
      </c>
      <c r="G250" s="90" t="str">
        <f t="shared" si="22"/>
        <v/>
      </c>
    </row>
    <row r="251" spans="2:7" ht="12.75">
      <c r="B251" s="88" t="str">
        <f t="shared" si="19"/>
        <v/>
      </c>
      <c r="C251" s="89" t="str">
        <f t="shared" si="23"/>
        <v/>
      </c>
      <c r="D251" s="89" t="str">
        <f t="shared" si="20"/>
        <v/>
      </c>
      <c r="E251" s="89" t="str">
        <f t="shared" si="24"/>
        <v/>
      </c>
      <c r="F251" s="89" t="str">
        <f t="shared" si="21"/>
        <v/>
      </c>
      <c r="G251" s="90" t="str">
        <f t="shared" si="22"/>
        <v/>
      </c>
    </row>
    <row r="252" spans="2:7" ht="12.75">
      <c r="B252" s="88" t="str">
        <f t="shared" si="19"/>
        <v/>
      </c>
      <c r="C252" s="89" t="str">
        <f t="shared" si="23"/>
        <v/>
      </c>
      <c r="D252" s="89" t="str">
        <f t="shared" si="20"/>
        <v/>
      </c>
      <c r="E252" s="89" t="str">
        <f t="shared" si="24"/>
        <v/>
      </c>
      <c r="F252" s="89" t="str">
        <f t="shared" si="21"/>
        <v/>
      </c>
      <c r="G252" s="90" t="str">
        <f t="shared" si="22"/>
        <v/>
      </c>
    </row>
    <row r="253" spans="2:7" ht="12.75">
      <c r="B253" s="88" t="str">
        <f t="shared" si="19"/>
        <v/>
      </c>
      <c r="C253" s="89" t="str">
        <f t="shared" si="23"/>
        <v/>
      </c>
      <c r="D253" s="89" t="str">
        <f t="shared" si="20"/>
        <v/>
      </c>
      <c r="E253" s="89" t="str">
        <f t="shared" si="24"/>
        <v/>
      </c>
      <c r="F253" s="89" t="str">
        <f t="shared" si="21"/>
        <v/>
      </c>
      <c r="G253" s="90" t="str">
        <f t="shared" si="22"/>
        <v/>
      </c>
    </row>
    <row r="254" spans="2:7" ht="12.75">
      <c r="B254" s="88" t="str">
        <f t="shared" si="19"/>
        <v/>
      </c>
      <c r="C254" s="89" t="str">
        <f t="shared" si="23"/>
        <v/>
      </c>
      <c r="D254" s="89" t="str">
        <f t="shared" si="20"/>
        <v/>
      </c>
      <c r="E254" s="89" t="str">
        <f t="shared" si="24"/>
        <v/>
      </c>
      <c r="F254" s="89" t="str">
        <f t="shared" si="21"/>
        <v/>
      </c>
      <c r="G254" s="90" t="str">
        <f t="shared" si="22"/>
        <v/>
      </c>
    </row>
    <row r="255" spans="2:7" ht="12.75">
      <c r="B255" s="88" t="str">
        <f t="shared" si="19"/>
        <v/>
      </c>
      <c r="C255" s="89" t="str">
        <f t="shared" si="23"/>
        <v/>
      </c>
      <c r="D255" s="89" t="str">
        <f t="shared" si="20"/>
        <v/>
      </c>
      <c r="E255" s="89" t="str">
        <f t="shared" si="24"/>
        <v/>
      </c>
      <c r="F255" s="89" t="str">
        <f t="shared" si="21"/>
        <v/>
      </c>
      <c r="G255" s="90" t="str">
        <f t="shared" si="22"/>
        <v/>
      </c>
    </row>
    <row r="256" spans="2:7" ht="12.75">
      <c r="B256" s="88" t="str">
        <f t="shared" si="19"/>
        <v/>
      </c>
      <c r="C256" s="89" t="str">
        <f t="shared" si="23"/>
        <v/>
      </c>
      <c r="D256" s="89" t="str">
        <f t="shared" si="20"/>
        <v/>
      </c>
      <c r="E256" s="89" t="str">
        <f t="shared" si="24"/>
        <v/>
      </c>
      <c r="F256" s="89" t="str">
        <f t="shared" si="21"/>
        <v/>
      </c>
      <c r="G256" s="90" t="str">
        <f t="shared" si="22"/>
        <v/>
      </c>
    </row>
    <row r="257" spans="2:7" ht="12.75">
      <c r="B257" s="88" t="str">
        <f t="shared" si="19"/>
        <v/>
      </c>
      <c r="C257" s="89" t="str">
        <f t="shared" si="23"/>
        <v/>
      </c>
      <c r="D257" s="89" t="str">
        <f t="shared" si="20"/>
        <v/>
      </c>
      <c r="E257" s="89" t="str">
        <f t="shared" si="24"/>
        <v/>
      </c>
      <c r="F257" s="89" t="str">
        <f t="shared" si="21"/>
        <v/>
      </c>
      <c r="G257" s="90" t="str">
        <f t="shared" si="22"/>
        <v/>
      </c>
    </row>
    <row r="258" spans="2:7" ht="12.75">
      <c r="B258" s="88" t="str">
        <f t="shared" si="19"/>
        <v/>
      </c>
      <c r="C258" s="89" t="str">
        <f t="shared" si="23"/>
        <v/>
      </c>
      <c r="D258" s="89" t="str">
        <f t="shared" si="20"/>
        <v/>
      </c>
      <c r="E258" s="89" t="str">
        <f t="shared" si="24"/>
        <v/>
      </c>
      <c r="F258" s="89" t="str">
        <f t="shared" si="21"/>
        <v/>
      </c>
      <c r="G258" s="90" t="str">
        <f t="shared" si="22"/>
        <v/>
      </c>
    </row>
    <row r="259" spans="2:7" ht="12.75">
      <c r="B259" s="88" t="str">
        <f t="shared" si="19"/>
        <v/>
      </c>
      <c r="C259" s="89" t="str">
        <f t="shared" si="23"/>
        <v/>
      </c>
      <c r="D259" s="89" t="str">
        <f t="shared" si="20"/>
        <v/>
      </c>
      <c r="E259" s="89" t="str">
        <f t="shared" si="24"/>
        <v/>
      </c>
      <c r="F259" s="89" t="str">
        <f t="shared" si="21"/>
        <v/>
      </c>
      <c r="G259" s="90" t="str">
        <f t="shared" si="22"/>
        <v/>
      </c>
    </row>
    <row r="260" spans="2:7" ht="12.75">
      <c r="B260" s="88" t="str">
        <f t="shared" si="19"/>
        <v/>
      </c>
      <c r="C260" s="89" t="str">
        <f t="shared" si="23"/>
        <v/>
      </c>
      <c r="D260" s="89" t="str">
        <f t="shared" si="20"/>
        <v/>
      </c>
      <c r="E260" s="89" t="str">
        <f t="shared" si="24"/>
        <v/>
      </c>
      <c r="F260" s="89" t="str">
        <f t="shared" si="21"/>
        <v/>
      </c>
      <c r="G260" s="90" t="str">
        <f t="shared" si="22"/>
        <v/>
      </c>
    </row>
    <row r="261" spans="2:7" ht="12.75">
      <c r="B261" s="88" t="str">
        <f t="shared" si="19"/>
        <v/>
      </c>
      <c r="C261" s="89" t="str">
        <f t="shared" si="23"/>
        <v/>
      </c>
      <c r="D261" s="89" t="str">
        <f t="shared" si="20"/>
        <v/>
      </c>
      <c r="E261" s="89" t="str">
        <f t="shared" si="24"/>
        <v/>
      </c>
      <c r="F261" s="89" t="str">
        <f t="shared" si="21"/>
        <v/>
      </c>
      <c r="G261" s="90" t="str">
        <f t="shared" si="22"/>
        <v/>
      </c>
    </row>
    <row r="262" spans="2:7" ht="12.75">
      <c r="B262" s="88" t="str">
        <f t="shared" si="19"/>
        <v/>
      </c>
      <c r="C262" s="89" t="str">
        <f t="shared" si="23"/>
        <v/>
      </c>
      <c r="D262" s="89" t="str">
        <f t="shared" si="20"/>
        <v/>
      </c>
      <c r="E262" s="89" t="str">
        <f t="shared" si="24"/>
        <v/>
      </c>
      <c r="F262" s="89" t="str">
        <f t="shared" si="21"/>
        <v/>
      </c>
      <c r="G262" s="90" t="str">
        <f t="shared" si="22"/>
        <v/>
      </c>
    </row>
    <row r="263" spans="2:7" ht="12.75">
      <c r="B263" s="88" t="str">
        <f t="shared" si="19"/>
        <v/>
      </c>
      <c r="C263" s="89" t="str">
        <f t="shared" si="23"/>
        <v/>
      </c>
      <c r="D263" s="89" t="str">
        <f t="shared" si="20"/>
        <v/>
      </c>
      <c r="E263" s="89" t="str">
        <f t="shared" si="24"/>
        <v/>
      </c>
      <c r="F263" s="89" t="str">
        <f t="shared" si="21"/>
        <v/>
      </c>
      <c r="G263" s="90" t="str">
        <f t="shared" si="22"/>
        <v/>
      </c>
    </row>
    <row r="264" spans="2:7" ht="12.75">
      <c r="B264" s="88" t="str">
        <f t="shared" si="19"/>
        <v/>
      </c>
      <c r="C264" s="89" t="str">
        <f t="shared" si="23"/>
        <v/>
      </c>
      <c r="D264" s="89" t="str">
        <f t="shared" si="20"/>
        <v/>
      </c>
      <c r="E264" s="89" t="str">
        <f t="shared" si="24"/>
        <v/>
      </c>
      <c r="F264" s="89" t="str">
        <f t="shared" si="21"/>
        <v/>
      </c>
      <c r="G264" s="90" t="str">
        <f t="shared" si="22"/>
        <v/>
      </c>
    </row>
    <row r="265" spans="2:7" ht="12.75">
      <c r="B265" s="88" t="str">
        <f t="shared" si="19"/>
        <v/>
      </c>
      <c r="C265" s="89" t="str">
        <f t="shared" si="23"/>
        <v/>
      </c>
      <c r="D265" s="89" t="str">
        <f t="shared" si="20"/>
        <v/>
      </c>
      <c r="E265" s="89" t="str">
        <f t="shared" si="24"/>
        <v/>
      </c>
      <c r="F265" s="89" t="str">
        <f t="shared" si="21"/>
        <v/>
      </c>
      <c r="G265" s="90" t="str">
        <f t="shared" si="22"/>
        <v/>
      </c>
    </row>
    <row r="266" spans="2:7" ht="12.75">
      <c r="B266" s="88" t="str">
        <f t="shared" si="19"/>
        <v/>
      </c>
      <c r="C266" s="89" t="str">
        <f t="shared" si="23"/>
        <v/>
      </c>
      <c r="D266" s="89" t="str">
        <f t="shared" si="20"/>
        <v/>
      </c>
      <c r="E266" s="89" t="str">
        <f t="shared" si="24"/>
        <v/>
      </c>
      <c r="F266" s="89" t="str">
        <f t="shared" si="21"/>
        <v/>
      </c>
      <c r="G266" s="90" t="str">
        <f t="shared" si="22"/>
        <v/>
      </c>
    </row>
    <row r="267" spans="2:7" ht="12.75">
      <c r="B267" s="88" t="str">
        <f t="shared" si="19"/>
        <v/>
      </c>
      <c r="C267" s="89" t="str">
        <f t="shared" si="23"/>
        <v/>
      </c>
      <c r="D267" s="89" t="str">
        <f t="shared" si="20"/>
        <v/>
      </c>
      <c r="E267" s="89" t="str">
        <f t="shared" si="24"/>
        <v/>
      </c>
      <c r="F267" s="89" t="str">
        <f t="shared" si="21"/>
        <v/>
      </c>
      <c r="G267" s="90" t="str">
        <f t="shared" si="22"/>
        <v/>
      </c>
    </row>
    <row r="268" spans="2:7" ht="12.75">
      <c r="B268" s="88" t="str">
        <f t="shared" si="19"/>
        <v/>
      </c>
      <c r="C268" s="89" t="str">
        <f t="shared" si="23"/>
        <v/>
      </c>
      <c r="D268" s="89" t="str">
        <f t="shared" si="20"/>
        <v/>
      </c>
      <c r="E268" s="89" t="str">
        <f t="shared" si="24"/>
        <v/>
      </c>
      <c r="F268" s="89" t="str">
        <f t="shared" si="21"/>
        <v/>
      </c>
      <c r="G268" s="90" t="str">
        <f t="shared" si="22"/>
        <v/>
      </c>
    </row>
    <row r="269" spans="2:7" ht="12.75">
      <c r="B269" s="88" t="str">
        <f t="shared" si="19"/>
        <v/>
      </c>
      <c r="C269" s="89" t="str">
        <f t="shared" si="23"/>
        <v/>
      </c>
      <c r="D269" s="89" t="str">
        <f t="shared" si="20"/>
        <v/>
      </c>
      <c r="E269" s="89" t="str">
        <f t="shared" si="24"/>
        <v/>
      </c>
      <c r="F269" s="89" t="str">
        <f t="shared" si="21"/>
        <v/>
      </c>
      <c r="G269" s="90" t="str">
        <f t="shared" si="22"/>
        <v/>
      </c>
    </row>
    <row r="270" spans="2:7" ht="12.75">
      <c r="B270" s="88" t="str">
        <f t="shared" si="19"/>
        <v/>
      </c>
      <c r="C270" s="89" t="str">
        <f t="shared" si="23"/>
        <v/>
      </c>
      <c r="D270" s="89" t="str">
        <f t="shared" si="20"/>
        <v/>
      </c>
      <c r="E270" s="89" t="str">
        <f t="shared" si="24"/>
        <v/>
      </c>
      <c r="F270" s="89" t="str">
        <f t="shared" si="21"/>
        <v/>
      </c>
      <c r="G270" s="90" t="str">
        <f t="shared" si="22"/>
        <v/>
      </c>
    </row>
    <row r="271" spans="2:7" ht="12.75">
      <c r="B271" s="88" t="str">
        <f t="shared" si="19"/>
        <v/>
      </c>
      <c r="C271" s="89" t="str">
        <f t="shared" si="23"/>
        <v/>
      </c>
      <c r="D271" s="89" t="str">
        <f t="shared" si="20"/>
        <v/>
      </c>
      <c r="E271" s="89" t="str">
        <f t="shared" si="24"/>
        <v/>
      </c>
      <c r="F271" s="89" t="str">
        <f t="shared" si="21"/>
        <v/>
      </c>
      <c r="G271" s="90" t="str">
        <f t="shared" si="22"/>
        <v/>
      </c>
    </row>
    <row r="272" spans="2:7" ht="12.75">
      <c r="B272" s="88" t="str">
        <f t="shared" ref="B272:B335" si="25">IF(((ROW()-nSkip)&lt;=$G$9),(ROW()-nSkip), "")</f>
        <v/>
      </c>
      <c r="C272" s="89" t="str">
        <f t="shared" si="23"/>
        <v/>
      </c>
      <c r="D272" s="89" t="str">
        <f t="shared" si="20"/>
        <v/>
      </c>
      <c r="E272" s="89" t="str">
        <f t="shared" si="24"/>
        <v/>
      </c>
      <c r="F272" s="89" t="str">
        <f t="shared" si="21"/>
        <v/>
      </c>
      <c r="G272" s="90" t="str">
        <f t="shared" si="22"/>
        <v/>
      </c>
    </row>
    <row r="273" spans="2:7" ht="12.75">
      <c r="B273" s="88" t="str">
        <f t="shared" si="25"/>
        <v/>
      </c>
      <c r="C273" s="89" t="str">
        <f t="shared" si="23"/>
        <v/>
      </c>
      <c r="D273" s="89" t="str">
        <f t="shared" ref="D273:D336" si="26">IF(((ROW()-nSkip)&lt;=$G$9),-PPMT(($G$5/$G$8),B273,$G$9,$G$4),"")</f>
        <v/>
      </c>
      <c r="E273" s="89" t="str">
        <f t="shared" si="24"/>
        <v/>
      </c>
      <c r="F273" s="89" t="str">
        <f t="shared" ref="F273:F336" si="27">IF(((ROW()-nSkip)&lt;=$G$9),(E273+F272),"")</f>
        <v/>
      </c>
      <c r="G273" s="90" t="str">
        <f t="shared" ref="G273:G336" si="28">IF(((ROW()-nSkip)&lt;=$G$9),(G272-D273),"")</f>
        <v/>
      </c>
    </row>
    <row r="274" spans="2:7" ht="12.75">
      <c r="B274" s="88" t="str">
        <f t="shared" si="25"/>
        <v/>
      </c>
      <c r="C274" s="89" t="str">
        <f t="shared" ref="C274:C337" si="29">IF((B274&lt;=$G$9),-PMT(($G$5/$G$8),$G$9,$G$4),"")</f>
        <v/>
      </c>
      <c r="D274" s="89" t="str">
        <f t="shared" si="26"/>
        <v/>
      </c>
      <c r="E274" s="89" t="str">
        <f t="shared" ref="E274:E337" si="30">IF(((ROW()-nSkip)&lt;=$G$9),-IPMT(($G$5/$G$8),B274,$G$9,$G$4),"")</f>
        <v/>
      </c>
      <c r="F274" s="89" t="str">
        <f t="shared" si="27"/>
        <v/>
      </c>
      <c r="G274" s="90" t="str">
        <f t="shared" si="28"/>
        <v/>
      </c>
    </row>
    <row r="275" spans="2:7" ht="12.75">
      <c r="B275" s="88" t="str">
        <f t="shared" si="25"/>
        <v/>
      </c>
      <c r="C275" s="89" t="str">
        <f t="shared" si="29"/>
        <v/>
      </c>
      <c r="D275" s="89" t="str">
        <f t="shared" si="26"/>
        <v/>
      </c>
      <c r="E275" s="89" t="str">
        <f t="shared" si="30"/>
        <v/>
      </c>
      <c r="F275" s="89" t="str">
        <f t="shared" si="27"/>
        <v/>
      </c>
      <c r="G275" s="90" t="str">
        <f t="shared" si="28"/>
        <v/>
      </c>
    </row>
    <row r="276" spans="2:7" ht="12.75">
      <c r="B276" s="88" t="str">
        <f t="shared" si="25"/>
        <v/>
      </c>
      <c r="C276" s="89" t="str">
        <f t="shared" si="29"/>
        <v/>
      </c>
      <c r="D276" s="89" t="str">
        <f t="shared" si="26"/>
        <v/>
      </c>
      <c r="E276" s="89" t="str">
        <f t="shared" si="30"/>
        <v/>
      </c>
      <c r="F276" s="89" t="str">
        <f t="shared" si="27"/>
        <v/>
      </c>
      <c r="G276" s="90" t="str">
        <f t="shared" si="28"/>
        <v/>
      </c>
    </row>
    <row r="277" spans="2:7" ht="12.75">
      <c r="B277" s="88" t="str">
        <f t="shared" si="25"/>
        <v/>
      </c>
      <c r="C277" s="89" t="str">
        <f t="shared" si="29"/>
        <v/>
      </c>
      <c r="D277" s="89" t="str">
        <f t="shared" si="26"/>
        <v/>
      </c>
      <c r="E277" s="89" t="str">
        <f t="shared" si="30"/>
        <v/>
      </c>
      <c r="F277" s="89" t="str">
        <f t="shared" si="27"/>
        <v/>
      </c>
      <c r="G277" s="90" t="str">
        <f t="shared" si="28"/>
        <v/>
      </c>
    </row>
    <row r="278" spans="2:7" ht="12.75">
      <c r="B278" s="88" t="str">
        <f t="shared" si="25"/>
        <v/>
      </c>
      <c r="C278" s="89" t="str">
        <f t="shared" si="29"/>
        <v/>
      </c>
      <c r="D278" s="89" t="str">
        <f t="shared" si="26"/>
        <v/>
      </c>
      <c r="E278" s="89" t="str">
        <f t="shared" si="30"/>
        <v/>
      </c>
      <c r="F278" s="89" t="str">
        <f t="shared" si="27"/>
        <v/>
      </c>
      <c r="G278" s="90" t="str">
        <f t="shared" si="28"/>
        <v/>
      </c>
    </row>
    <row r="279" spans="2:7" ht="12.75">
      <c r="B279" s="88" t="str">
        <f t="shared" si="25"/>
        <v/>
      </c>
      <c r="C279" s="89" t="str">
        <f t="shared" si="29"/>
        <v/>
      </c>
      <c r="D279" s="89" t="str">
        <f t="shared" si="26"/>
        <v/>
      </c>
      <c r="E279" s="89" t="str">
        <f t="shared" si="30"/>
        <v/>
      </c>
      <c r="F279" s="89" t="str">
        <f t="shared" si="27"/>
        <v/>
      </c>
      <c r="G279" s="90" t="str">
        <f t="shared" si="28"/>
        <v/>
      </c>
    </row>
    <row r="280" spans="2:7" ht="12.75">
      <c r="B280" s="88" t="str">
        <f t="shared" si="25"/>
        <v/>
      </c>
      <c r="C280" s="89" t="str">
        <f t="shared" si="29"/>
        <v/>
      </c>
      <c r="D280" s="89" t="str">
        <f t="shared" si="26"/>
        <v/>
      </c>
      <c r="E280" s="89" t="str">
        <f t="shared" si="30"/>
        <v/>
      </c>
      <c r="F280" s="89" t="str">
        <f t="shared" si="27"/>
        <v/>
      </c>
      <c r="G280" s="90" t="str">
        <f t="shared" si="28"/>
        <v/>
      </c>
    </row>
    <row r="281" spans="2:7" ht="12.75">
      <c r="B281" s="88" t="str">
        <f t="shared" si="25"/>
        <v/>
      </c>
      <c r="C281" s="89" t="str">
        <f t="shared" si="29"/>
        <v/>
      </c>
      <c r="D281" s="89" t="str">
        <f t="shared" si="26"/>
        <v/>
      </c>
      <c r="E281" s="89" t="str">
        <f t="shared" si="30"/>
        <v/>
      </c>
      <c r="F281" s="89" t="str">
        <f t="shared" si="27"/>
        <v/>
      </c>
      <c r="G281" s="90" t="str">
        <f t="shared" si="28"/>
        <v/>
      </c>
    </row>
    <row r="282" spans="2:7" ht="12.75">
      <c r="B282" s="88" t="str">
        <f t="shared" si="25"/>
        <v/>
      </c>
      <c r="C282" s="89" t="str">
        <f t="shared" si="29"/>
        <v/>
      </c>
      <c r="D282" s="89" t="str">
        <f t="shared" si="26"/>
        <v/>
      </c>
      <c r="E282" s="89" t="str">
        <f t="shared" si="30"/>
        <v/>
      </c>
      <c r="F282" s="89" t="str">
        <f t="shared" si="27"/>
        <v/>
      </c>
      <c r="G282" s="90" t="str">
        <f t="shared" si="28"/>
        <v/>
      </c>
    </row>
    <row r="283" spans="2:7" ht="12.75">
      <c r="B283" s="88" t="str">
        <f t="shared" si="25"/>
        <v/>
      </c>
      <c r="C283" s="89" t="str">
        <f t="shared" si="29"/>
        <v/>
      </c>
      <c r="D283" s="89" t="str">
        <f t="shared" si="26"/>
        <v/>
      </c>
      <c r="E283" s="89" t="str">
        <f t="shared" si="30"/>
        <v/>
      </c>
      <c r="F283" s="89" t="str">
        <f t="shared" si="27"/>
        <v/>
      </c>
      <c r="G283" s="90" t="str">
        <f t="shared" si="28"/>
        <v/>
      </c>
    </row>
    <row r="284" spans="2:7" ht="12.75">
      <c r="B284" s="88" t="str">
        <f t="shared" si="25"/>
        <v/>
      </c>
      <c r="C284" s="89" t="str">
        <f t="shared" si="29"/>
        <v/>
      </c>
      <c r="D284" s="89" t="str">
        <f t="shared" si="26"/>
        <v/>
      </c>
      <c r="E284" s="89" t="str">
        <f t="shared" si="30"/>
        <v/>
      </c>
      <c r="F284" s="89" t="str">
        <f t="shared" si="27"/>
        <v/>
      </c>
      <c r="G284" s="90" t="str">
        <f t="shared" si="28"/>
        <v/>
      </c>
    </row>
    <row r="285" spans="2:7" ht="12.75">
      <c r="B285" s="88" t="str">
        <f t="shared" si="25"/>
        <v/>
      </c>
      <c r="C285" s="89" t="str">
        <f t="shared" si="29"/>
        <v/>
      </c>
      <c r="D285" s="89" t="str">
        <f t="shared" si="26"/>
        <v/>
      </c>
      <c r="E285" s="89" t="str">
        <f t="shared" si="30"/>
        <v/>
      </c>
      <c r="F285" s="89" t="str">
        <f t="shared" si="27"/>
        <v/>
      </c>
      <c r="G285" s="90" t="str">
        <f t="shared" si="28"/>
        <v/>
      </c>
    </row>
    <row r="286" spans="2:7" ht="12.75">
      <c r="B286" s="88" t="str">
        <f t="shared" si="25"/>
        <v/>
      </c>
      <c r="C286" s="89" t="str">
        <f t="shared" si="29"/>
        <v/>
      </c>
      <c r="D286" s="89" t="str">
        <f t="shared" si="26"/>
        <v/>
      </c>
      <c r="E286" s="89" t="str">
        <f t="shared" si="30"/>
        <v/>
      </c>
      <c r="F286" s="89" t="str">
        <f t="shared" si="27"/>
        <v/>
      </c>
      <c r="G286" s="90" t="str">
        <f t="shared" si="28"/>
        <v/>
      </c>
    </row>
    <row r="287" spans="2:7" ht="12.75">
      <c r="B287" s="88" t="str">
        <f t="shared" si="25"/>
        <v/>
      </c>
      <c r="C287" s="89" t="str">
        <f t="shared" si="29"/>
        <v/>
      </c>
      <c r="D287" s="89" t="str">
        <f t="shared" si="26"/>
        <v/>
      </c>
      <c r="E287" s="89" t="str">
        <f t="shared" si="30"/>
        <v/>
      </c>
      <c r="F287" s="89" t="str">
        <f t="shared" si="27"/>
        <v/>
      </c>
      <c r="G287" s="90" t="str">
        <f t="shared" si="28"/>
        <v/>
      </c>
    </row>
    <row r="288" spans="2:7" ht="12.75">
      <c r="B288" s="88" t="str">
        <f t="shared" si="25"/>
        <v/>
      </c>
      <c r="C288" s="89" t="str">
        <f t="shared" si="29"/>
        <v/>
      </c>
      <c r="D288" s="89" t="str">
        <f t="shared" si="26"/>
        <v/>
      </c>
      <c r="E288" s="89" t="str">
        <f t="shared" si="30"/>
        <v/>
      </c>
      <c r="F288" s="89" t="str">
        <f t="shared" si="27"/>
        <v/>
      </c>
      <c r="G288" s="90" t="str">
        <f t="shared" si="28"/>
        <v/>
      </c>
    </row>
    <row r="289" spans="2:7" ht="12.75">
      <c r="B289" s="88" t="str">
        <f t="shared" si="25"/>
        <v/>
      </c>
      <c r="C289" s="89" t="str">
        <f t="shared" si="29"/>
        <v/>
      </c>
      <c r="D289" s="89" t="str">
        <f t="shared" si="26"/>
        <v/>
      </c>
      <c r="E289" s="89" t="str">
        <f t="shared" si="30"/>
        <v/>
      </c>
      <c r="F289" s="89" t="str">
        <f t="shared" si="27"/>
        <v/>
      </c>
      <c r="G289" s="90" t="str">
        <f t="shared" si="28"/>
        <v/>
      </c>
    </row>
    <row r="290" spans="2:7" ht="12.75">
      <c r="B290" s="88" t="str">
        <f t="shared" si="25"/>
        <v/>
      </c>
      <c r="C290" s="89" t="str">
        <f t="shared" si="29"/>
        <v/>
      </c>
      <c r="D290" s="89" t="str">
        <f t="shared" si="26"/>
        <v/>
      </c>
      <c r="E290" s="89" t="str">
        <f t="shared" si="30"/>
        <v/>
      </c>
      <c r="F290" s="89" t="str">
        <f t="shared" si="27"/>
        <v/>
      </c>
      <c r="G290" s="90" t="str">
        <f t="shared" si="28"/>
        <v/>
      </c>
    </row>
    <row r="291" spans="2:7" ht="12.75">
      <c r="B291" s="88" t="str">
        <f t="shared" si="25"/>
        <v/>
      </c>
      <c r="C291" s="89" t="str">
        <f t="shared" si="29"/>
        <v/>
      </c>
      <c r="D291" s="89" t="str">
        <f t="shared" si="26"/>
        <v/>
      </c>
      <c r="E291" s="89" t="str">
        <f t="shared" si="30"/>
        <v/>
      </c>
      <c r="F291" s="89" t="str">
        <f t="shared" si="27"/>
        <v/>
      </c>
      <c r="G291" s="90" t="str">
        <f t="shared" si="28"/>
        <v/>
      </c>
    </row>
    <row r="292" spans="2:7" ht="12.75">
      <c r="B292" s="88" t="str">
        <f t="shared" si="25"/>
        <v/>
      </c>
      <c r="C292" s="89" t="str">
        <f t="shared" si="29"/>
        <v/>
      </c>
      <c r="D292" s="89" t="str">
        <f t="shared" si="26"/>
        <v/>
      </c>
      <c r="E292" s="89" t="str">
        <f t="shared" si="30"/>
        <v/>
      </c>
      <c r="F292" s="89" t="str">
        <f t="shared" si="27"/>
        <v/>
      </c>
      <c r="G292" s="90" t="str">
        <f t="shared" si="28"/>
        <v/>
      </c>
    </row>
    <row r="293" spans="2:7" ht="12.75">
      <c r="B293" s="88" t="str">
        <f t="shared" si="25"/>
        <v/>
      </c>
      <c r="C293" s="89" t="str">
        <f t="shared" si="29"/>
        <v/>
      </c>
      <c r="D293" s="89" t="str">
        <f t="shared" si="26"/>
        <v/>
      </c>
      <c r="E293" s="89" t="str">
        <f t="shared" si="30"/>
        <v/>
      </c>
      <c r="F293" s="89" t="str">
        <f t="shared" si="27"/>
        <v/>
      </c>
      <c r="G293" s="90" t="str">
        <f t="shared" si="28"/>
        <v/>
      </c>
    </row>
    <row r="294" spans="2:7" ht="12.75">
      <c r="B294" s="88" t="str">
        <f t="shared" si="25"/>
        <v/>
      </c>
      <c r="C294" s="89" t="str">
        <f t="shared" si="29"/>
        <v/>
      </c>
      <c r="D294" s="89" t="str">
        <f t="shared" si="26"/>
        <v/>
      </c>
      <c r="E294" s="89" t="str">
        <f t="shared" si="30"/>
        <v/>
      </c>
      <c r="F294" s="89" t="str">
        <f t="shared" si="27"/>
        <v/>
      </c>
      <c r="G294" s="90" t="str">
        <f t="shared" si="28"/>
        <v/>
      </c>
    </row>
    <row r="295" spans="2:7" ht="12.75">
      <c r="B295" s="88" t="str">
        <f t="shared" si="25"/>
        <v/>
      </c>
      <c r="C295" s="89" t="str">
        <f t="shared" si="29"/>
        <v/>
      </c>
      <c r="D295" s="89" t="str">
        <f t="shared" si="26"/>
        <v/>
      </c>
      <c r="E295" s="89" t="str">
        <f t="shared" si="30"/>
        <v/>
      </c>
      <c r="F295" s="89" t="str">
        <f t="shared" si="27"/>
        <v/>
      </c>
      <c r="G295" s="90" t="str">
        <f t="shared" si="28"/>
        <v/>
      </c>
    </row>
    <row r="296" spans="2:7" ht="12.75">
      <c r="B296" s="88" t="str">
        <f t="shared" si="25"/>
        <v/>
      </c>
      <c r="C296" s="89" t="str">
        <f t="shared" si="29"/>
        <v/>
      </c>
      <c r="D296" s="89" t="str">
        <f t="shared" si="26"/>
        <v/>
      </c>
      <c r="E296" s="89" t="str">
        <f t="shared" si="30"/>
        <v/>
      </c>
      <c r="F296" s="89" t="str">
        <f t="shared" si="27"/>
        <v/>
      </c>
      <c r="G296" s="90" t="str">
        <f t="shared" si="28"/>
        <v/>
      </c>
    </row>
    <row r="297" spans="2:7" ht="12.75">
      <c r="B297" s="88" t="str">
        <f t="shared" si="25"/>
        <v/>
      </c>
      <c r="C297" s="89" t="str">
        <f t="shared" si="29"/>
        <v/>
      </c>
      <c r="D297" s="89" t="str">
        <f t="shared" si="26"/>
        <v/>
      </c>
      <c r="E297" s="89" t="str">
        <f t="shared" si="30"/>
        <v/>
      </c>
      <c r="F297" s="89" t="str">
        <f t="shared" si="27"/>
        <v/>
      </c>
      <c r="G297" s="90" t="str">
        <f t="shared" si="28"/>
        <v/>
      </c>
    </row>
    <row r="298" spans="2:7" ht="12.75">
      <c r="B298" s="88" t="str">
        <f t="shared" si="25"/>
        <v/>
      </c>
      <c r="C298" s="89" t="str">
        <f t="shared" si="29"/>
        <v/>
      </c>
      <c r="D298" s="89" t="str">
        <f t="shared" si="26"/>
        <v/>
      </c>
      <c r="E298" s="89" t="str">
        <f t="shared" si="30"/>
        <v/>
      </c>
      <c r="F298" s="89" t="str">
        <f t="shared" si="27"/>
        <v/>
      </c>
      <c r="G298" s="90" t="str">
        <f t="shared" si="28"/>
        <v/>
      </c>
    </row>
    <row r="299" spans="2:7" ht="12.75">
      <c r="B299" s="88" t="str">
        <f t="shared" si="25"/>
        <v/>
      </c>
      <c r="C299" s="89" t="str">
        <f t="shared" si="29"/>
        <v/>
      </c>
      <c r="D299" s="89" t="str">
        <f t="shared" si="26"/>
        <v/>
      </c>
      <c r="E299" s="89" t="str">
        <f t="shared" si="30"/>
        <v/>
      </c>
      <c r="F299" s="89" t="str">
        <f t="shared" si="27"/>
        <v/>
      </c>
      <c r="G299" s="90" t="str">
        <f t="shared" si="28"/>
        <v/>
      </c>
    </row>
    <row r="300" spans="2:7" ht="12.75">
      <c r="B300" s="88" t="str">
        <f t="shared" si="25"/>
        <v/>
      </c>
      <c r="C300" s="89" t="str">
        <f t="shared" si="29"/>
        <v/>
      </c>
      <c r="D300" s="89" t="str">
        <f t="shared" si="26"/>
        <v/>
      </c>
      <c r="E300" s="89" t="str">
        <f t="shared" si="30"/>
        <v/>
      </c>
      <c r="F300" s="89" t="str">
        <f t="shared" si="27"/>
        <v/>
      </c>
      <c r="G300" s="90" t="str">
        <f t="shared" si="28"/>
        <v/>
      </c>
    </row>
    <row r="301" spans="2:7" ht="12.75">
      <c r="B301" s="88" t="str">
        <f t="shared" si="25"/>
        <v/>
      </c>
      <c r="C301" s="89" t="str">
        <f t="shared" si="29"/>
        <v/>
      </c>
      <c r="D301" s="89" t="str">
        <f t="shared" si="26"/>
        <v/>
      </c>
      <c r="E301" s="89" t="str">
        <f t="shared" si="30"/>
        <v/>
      </c>
      <c r="F301" s="89" t="str">
        <f t="shared" si="27"/>
        <v/>
      </c>
      <c r="G301" s="90" t="str">
        <f t="shared" si="28"/>
        <v/>
      </c>
    </row>
    <row r="302" spans="2:7" ht="12.75">
      <c r="B302" s="88" t="str">
        <f t="shared" si="25"/>
        <v/>
      </c>
      <c r="C302" s="89" t="str">
        <f t="shared" si="29"/>
        <v/>
      </c>
      <c r="D302" s="89" t="str">
        <f t="shared" si="26"/>
        <v/>
      </c>
      <c r="E302" s="89" t="str">
        <f t="shared" si="30"/>
        <v/>
      </c>
      <c r="F302" s="89" t="str">
        <f t="shared" si="27"/>
        <v/>
      </c>
      <c r="G302" s="90" t="str">
        <f t="shared" si="28"/>
        <v/>
      </c>
    </row>
    <row r="303" spans="2:7" ht="12.75">
      <c r="B303" s="88" t="str">
        <f t="shared" si="25"/>
        <v/>
      </c>
      <c r="C303" s="89" t="str">
        <f t="shared" si="29"/>
        <v/>
      </c>
      <c r="D303" s="89" t="str">
        <f t="shared" si="26"/>
        <v/>
      </c>
      <c r="E303" s="89" t="str">
        <f t="shared" si="30"/>
        <v/>
      </c>
      <c r="F303" s="89" t="str">
        <f t="shared" si="27"/>
        <v/>
      </c>
      <c r="G303" s="90" t="str">
        <f t="shared" si="28"/>
        <v/>
      </c>
    </row>
    <row r="304" spans="2:7" ht="12.75">
      <c r="B304" s="88" t="str">
        <f t="shared" si="25"/>
        <v/>
      </c>
      <c r="C304" s="89" t="str">
        <f t="shared" si="29"/>
        <v/>
      </c>
      <c r="D304" s="89" t="str">
        <f t="shared" si="26"/>
        <v/>
      </c>
      <c r="E304" s="89" t="str">
        <f t="shared" si="30"/>
        <v/>
      </c>
      <c r="F304" s="89" t="str">
        <f t="shared" si="27"/>
        <v/>
      </c>
      <c r="G304" s="90" t="str">
        <f t="shared" si="28"/>
        <v/>
      </c>
    </row>
    <row r="305" spans="2:7" ht="12.75">
      <c r="B305" s="88" t="str">
        <f t="shared" si="25"/>
        <v/>
      </c>
      <c r="C305" s="89" t="str">
        <f t="shared" si="29"/>
        <v/>
      </c>
      <c r="D305" s="89" t="str">
        <f t="shared" si="26"/>
        <v/>
      </c>
      <c r="E305" s="89" t="str">
        <f t="shared" si="30"/>
        <v/>
      </c>
      <c r="F305" s="89" t="str">
        <f t="shared" si="27"/>
        <v/>
      </c>
      <c r="G305" s="90" t="str">
        <f t="shared" si="28"/>
        <v/>
      </c>
    </row>
    <row r="306" spans="2:7" ht="12.75">
      <c r="B306" s="88" t="str">
        <f t="shared" si="25"/>
        <v/>
      </c>
      <c r="C306" s="89" t="str">
        <f t="shared" si="29"/>
        <v/>
      </c>
      <c r="D306" s="89" t="str">
        <f t="shared" si="26"/>
        <v/>
      </c>
      <c r="E306" s="89" t="str">
        <f t="shared" si="30"/>
        <v/>
      </c>
      <c r="F306" s="89" t="str">
        <f t="shared" si="27"/>
        <v/>
      </c>
      <c r="G306" s="90" t="str">
        <f t="shared" si="28"/>
        <v/>
      </c>
    </row>
    <row r="307" spans="2:7" ht="12.75">
      <c r="B307" s="88" t="str">
        <f t="shared" si="25"/>
        <v/>
      </c>
      <c r="C307" s="89" t="str">
        <f t="shared" si="29"/>
        <v/>
      </c>
      <c r="D307" s="89" t="str">
        <f t="shared" si="26"/>
        <v/>
      </c>
      <c r="E307" s="89" t="str">
        <f t="shared" si="30"/>
        <v/>
      </c>
      <c r="F307" s="89" t="str">
        <f t="shared" si="27"/>
        <v/>
      </c>
      <c r="G307" s="90" t="str">
        <f t="shared" si="28"/>
        <v/>
      </c>
    </row>
    <row r="308" spans="2:7" ht="12.75">
      <c r="B308" s="88" t="str">
        <f t="shared" si="25"/>
        <v/>
      </c>
      <c r="C308" s="89" t="str">
        <f t="shared" si="29"/>
        <v/>
      </c>
      <c r="D308" s="89" t="str">
        <f t="shared" si="26"/>
        <v/>
      </c>
      <c r="E308" s="89" t="str">
        <f t="shared" si="30"/>
        <v/>
      </c>
      <c r="F308" s="89" t="str">
        <f t="shared" si="27"/>
        <v/>
      </c>
      <c r="G308" s="90" t="str">
        <f t="shared" si="28"/>
        <v/>
      </c>
    </row>
    <row r="309" spans="2:7" ht="12.75">
      <c r="B309" s="88" t="str">
        <f t="shared" si="25"/>
        <v/>
      </c>
      <c r="C309" s="89" t="str">
        <f t="shared" si="29"/>
        <v/>
      </c>
      <c r="D309" s="89" t="str">
        <f t="shared" si="26"/>
        <v/>
      </c>
      <c r="E309" s="89" t="str">
        <f t="shared" si="30"/>
        <v/>
      </c>
      <c r="F309" s="89" t="str">
        <f t="shared" si="27"/>
        <v/>
      </c>
      <c r="G309" s="90" t="str">
        <f t="shared" si="28"/>
        <v/>
      </c>
    </row>
    <row r="310" spans="2:7" ht="12.75">
      <c r="B310" s="88" t="str">
        <f t="shared" si="25"/>
        <v/>
      </c>
      <c r="C310" s="89" t="str">
        <f t="shared" si="29"/>
        <v/>
      </c>
      <c r="D310" s="89" t="str">
        <f t="shared" si="26"/>
        <v/>
      </c>
      <c r="E310" s="89" t="str">
        <f t="shared" si="30"/>
        <v/>
      </c>
      <c r="F310" s="89" t="str">
        <f t="shared" si="27"/>
        <v/>
      </c>
      <c r="G310" s="90" t="str">
        <f t="shared" si="28"/>
        <v/>
      </c>
    </row>
    <row r="311" spans="2:7" ht="12.75">
      <c r="B311" s="88" t="str">
        <f t="shared" si="25"/>
        <v/>
      </c>
      <c r="C311" s="89" t="str">
        <f t="shared" si="29"/>
        <v/>
      </c>
      <c r="D311" s="89" t="str">
        <f t="shared" si="26"/>
        <v/>
      </c>
      <c r="E311" s="89" t="str">
        <f t="shared" si="30"/>
        <v/>
      </c>
      <c r="F311" s="89" t="str">
        <f t="shared" si="27"/>
        <v/>
      </c>
      <c r="G311" s="90" t="str">
        <f t="shared" si="28"/>
        <v/>
      </c>
    </row>
    <row r="312" spans="2:7" ht="12.75">
      <c r="B312" s="88" t="str">
        <f t="shared" si="25"/>
        <v/>
      </c>
      <c r="C312" s="89" t="str">
        <f t="shared" si="29"/>
        <v/>
      </c>
      <c r="D312" s="89" t="str">
        <f t="shared" si="26"/>
        <v/>
      </c>
      <c r="E312" s="89" t="str">
        <f t="shared" si="30"/>
        <v/>
      </c>
      <c r="F312" s="89" t="str">
        <f t="shared" si="27"/>
        <v/>
      </c>
      <c r="G312" s="90" t="str">
        <f t="shared" si="28"/>
        <v/>
      </c>
    </row>
    <row r="313" spans="2:7" ht="12.75">
      <c r="B313" s="88" t="str">
        <f t="shared" si="25"/>
        <v/>
      </c>
      <c r="C313" s="89" t="str">
        <f t="shared" si="29"/>
        <v/>
      </c>
      <c r="D313" s="89" t="str">
        <f t="shared" si="26"/>
        <v/>
      </c>
      <c r="E313" s="89" t="str">
        <f t="shared" si="30"/>
        <v/>
      </c>
      <c r="F313" s="89" t="str">
        <f t="shared" si="27"/>
        <v/>
      </c>
      <c r="G313" s="90" t="str">
        <f t="shared" si="28"/>
        <v/>
      </c>
    </row>
    <row r="314" spans="2:7" ht="12.75">
      <c r="B314" s="88" t="str">
        <f t="shared" si="25"/>
        <v/>
      </c>
      <c r="C314" s="89" t="str">
        <f t="shared" si="29"/>
        <v/>
      </c>
      <c r="D314" s="89" t="str">
        <f t="shared" si="26"/>
        <v/>
      </c>
      <c r="E314" s="89" t="str">
        <f t="shared" si="30"/>
        <v/>
      </c>
      <c r="F314" s="89" t="str">
        <f t="shared" si="27"/>
        <v/>
      </c>
      <c r="G314" s="90" t="str">
        <f t="shared" si="28"/>
        <v/>
      </c>
    </row>
    <row r="315" spans="2:7" ht="12.75">
      <c r="B315" s="88" t="str">
        <f t="shared" si="25"/>
        <v/>
      </c>
      <c r="C315" s="89" t="str">
        <f t="shared" si="29"/>
        <v/>
      </c>
      <c r="D315" s="89" t="str">
        <f t="shared" si="26"/>
        <v/>
      </c>
      <c r="E315" s="89" t="str">
        <f t="shared" si="30"/>
        <v/>
      </c>
      <c r="F315" s="89" t="str">
        <f t="shared" si="27"/>
        <v/>
      </c>
      <c r="G315" s="90" t="str">
        <f t="shared" si="28"/>
        <v/>
      </c>
    </row>
    <row r="316" spans="2:7" ht="12.75">
      <c r="B316" s="88" t="str">
        <f t="shared" si="25"/>
        <v/>
      </c>
      <c r="C316" s="89" t="str">
        <f t="shared" si="29"/>
        <v/>
      </c>
      <c r="D316" s="89" t="str">
        <f t="shared" si="26"/>
        <v/>
      </c>
      <c r="E316" s="89" t="str">
        <f t="shared" si="30"/>
        <v/>
      </c>
      <c r="F316" s="89" t="str">
        <f t="shared" si="27"/>
        <v/>
      </c>
      <c r="G316" s="90" t="str">
        <f t="shared" si="28"/>
        <v/>
      </c>
    </row>
    <row r="317" spans="2:7" ht="12.75">
      <c r="B317" s="88" t="str">
        <f t="shared" si="25"/>
        <v/>
      </c>
      <c r="C317" s="89" t="str">
        <f t="shared" si="29"/>
        <v/>
      </c>
      <c r="D317" s="89" t="str">
        <f t="shared" si="26"/>
        <v/>
      </c>
      <c r="E317" s="89" t="str">
        <f t="shared" si="30"/>
        <v/>
      </c>
      <c r="F317" s="89" t="str">
        <f t="shared" si="27"/>
        <v/>
      </c>
      <c r="G317" s="90" t="str">
        <f t="shared" si="28"/>
        <v/>
      </c>
    </row>
    <row r="318" spans="2:7" ht="12.75">
      <c r="B318" s="88" t="str">
        <f t="shared" si="25"/>
        <v/>
      </c>
      <c r="C318" s="89" t="str">
        <f t="shared" si="29"/>
        <v/>
      </c>
      <c r="D318" s="89" t="str">
        <f t="shared" si="26"/>
        <v/>
      </c>
      <c r="E318" s="89" t="str">
        <f t="shared" si="30"/>
        <v/>
      </c>
      <c r="F318" s="89" t="str">
        <f t="shared" si="27"/>
        <v/>
      </c>
      <c r="G318" s="90" t="str">
        <f t="shared" si="28"/>
        <v/>
      </c>
    </row>
    <row r="319" spans="2:7" ht="12.75">
      <c r="B319" s="88" t="str">
        <f t="shared" si="25"/>
        <v/>
      </c>
      <c r="C319" s="89" t="str">
        <f t="shared" si="29"/>
        <v/>
      </c>
      <c r="D319" s="89" t="str">
        <f t="shared" si="26"/>
        <v/>
      </c>
      <c r="E319" s="89" t="str">
        <f t="shared" si="30"/>
        <v/>
      </c>
      <c r="F319" s="89" t="str">
        <f t="shared" si="27"/>
        <v/>
      </c>
      <c r="G319" s="90" t="str">
        <f t="shared" si="28"/>
        <v/>
      </c>
    </row>
    <row r="320" spans="2:7" ht="12.75">
      <c r="B320" s="88" t="str">
        <f t="shared" si="25"/>
        <v/>
      </c>
      <c r="C320" s="89" t="str">
        <f t="shared" si="29"/>
        <v/>
      </c>
      <c r="D320" s="89" t="str">
        <f t="shared" si="26"/>
        <v/>
      </c>
      <c r="E320" s="89" t="str">
        <f t="shared" si="30"/>
        <v/>
      </c>
      <c r="F320" s="89" t="str">
        <f t="shared" si="27"/>
        <v/>
      </c>
      <c r="G320" s="90" t="str">
        <f t="shared" si="28"/>
        <v/>
      </c>
    </row>
    <row r="321" spans="2:7" ht="12.75">
      <c r="B321" s="88" t="str">
        <f t="shared" si="25"/>
        <v/>
      </c>
      <c r="C321" s="89" t="str">
        <f t="shared" si="29"/>
        <v/>
      </c>
      <c r="D321" s="89" t="str">
        <f t="shared" si="26"/>
        <v/>
      </c>
      <c r="E321" s="89" t="str">
        <f t="shared" si="30"/>
        <v/>
      </c>
      <c r="F321" s="89" t="str">
        <f t="shared" si="27"/>
        <v/>
      </c>
      <c r="G321" s="90" t="str">
        <f t="shared" si="28"/>
        <v/>
      </c>
    </row>
    <row r="322" spans="2:7" ht="12.75">
      <c r="B322" s="88" t="str">
        <f t="shared" si="25"/>
        <v/>
      </c>
      <c r="C322" s="89" t="str">
        <f t="shared" si="29"/>
        <v/>
      </c>
      <c r="D322" s="89" t="str">
        <f t="shared" si="26"/>
        <v/>
      </c>
      <c r="E322" s="89" t="str">
        <f t="shared" si="30"/>
        <v/>
      </c>
      <c r="F322" s="89" t="str">
        <f t="shared" si="27"/>
        <v/>
      </c>
      <c r="G322" s="90" t="str">
        <f t="shared" si="28"/>
        <v/>
      </c>
    </row>
    <row r="323" spans="2:7" ht="12.75">
      <c r="B323" s="88" t="str">
        <f t="shared" si="25"/>
        <v/>
      </c>
      <c r="C323" s="89" t="str">
        <f t="shared" si="29"/>
        <v/>
      </c>
      <c r="D323" s="89" t="str">
        <f t="shared" si="26"/>
        <v/>
      </c>
      <c r="E323" s="89" t="str">
        <f t="shared" si="30"/>
        <v/>
      </c>
      <c r="F323" s="89" t="str">
        <f t="shared" si="27"/>
        <v/>
      </c>
      <c r="G323" s="90" t="str">
        <f t="shared" si="28"/>
        <v/>
      </c>
    </row>
    <row r="324" spans="2:7" ht="12.75">
      <c r="B324" s="91" t="str">
        <f t="shared" si="25"/>
        <v/>
      </c>
      <c r="C324" s="92" t="str">
        <f t="shared" si="29"/>
        <v/>
      </c>
      <c r="D324" s="92" t="str">
        <f t="shared" si="26"/>
        <v/>
      </c>
      <c r="E324" s="92" t="str">
        <f t="shared" si="30"/>
        <v/>
      </c>
      <c r="F324" s="92" t="str">
        <f t="shared" si="27"/>
        <v/>
      </c>
      <c r="G324" s="93" t="str">
        <f t="shared" si="28"/>
        <v/>
      </c>
    </row>
    <row r="325" spans="2:7" ht="12.75">
      <c r="B325" s="91" t="str">
        <f t="shared" si="25"/>
        <v/>
      </c>
      <c r="C325" s="92" t="str">
        <f t="shared" si="29"/>
        <v/>
      </c>
      <c r="D325" s="92" t="str">
        <f t="shared" si="26"/>
        <v/>
      </c>
      <c r="E325" s="92" t="str">
        <f t="shared" si="30"/>
        <v/>
      </c>
      <c r="F325" s="92" t="str">
        <f t="shared" si="27"/>
        <v/>
      </c>
      <c r="G325" s="93" t="str">
        <f t="shared" si="28"/>
        <v/>
      </c>
    </row>
    <row r="326" spans="2:7" ht="12.75">
      <c r="B326" s="91" t="str">
        <f t="shared" si="25"/>
        <v/>
      </c>
      <c r="C326" s="92" t="str">
        <f t="shared" si="29"/>
        <v/>
      </c>
      <c r="D326" s="92" t="str">
        <f t="shared" si="26"/>
        <v/>
      </c>
      <c r="E326" s="92" t="str">
        <f t="shared" si="30"/>
        <v/>
      </c>
      <c r="F326" s="92" t="str">
        <f t="shared" si="27"/>
        <v/>
      </c>
      <c r="G326" s="93" t="str">
        <f t="shared" si="28"/>
        <v/>
      </c>
    </row>
    <row r="327" spans="2:7" ht="12.75">
      <c r="B327" s="91" t="str">
        <f t="shared" si="25"/>
        <v/>
      </c>
      <c r="C327" s="92" t="str">
        <f t="shared" si="29"/>
        <v/>
      </c>
      <c r="D327" s="92" t="str">
        <f t="shared" si="26"/>
        <v/>
      </c>
      <c r="E327" s="92" t="str">
        <f t="shared" si="30"/>
        <v/>
      </c>
      <c r="F327" s="92" t="str">
        <f t="shared" si="27"/>
        <v/>
      </c>
      <c r="G327" s="93" t="str">
        <f t="shared" si="28"/>
        <v/>
      </c>
    </row>
    <row r="328" spans="2:7" ht="12.75">
      <c r="B328" s="91" t="str">
        <f t="shared" si="25"/>
        <v/>
      </c>
      <c r="C328" s="92" t="str">
        <f t="shared" si="29"/>
        <v/>
      </c>
      <c r="D328" s="92" t="str">
        <f t="shared" si="26"/>
        <v/>
      </c>
      <c r="E328" s="92" t="str">
        <f t="shared" si="30"/>
        <v/>
      </c>
      <c r="F328" s="92" t="str">
        <f t="shared" si="27"/>
        <v/>
      </c>
      <c r="G328" s="93" t="str">
        <f t="shared" si="28"/>
        <v/>
      </c>
    </row>
    <row r="329" spans="2:7" ht="12.75">
      <c r="B329" s="91" t="str">
        <f t="shared" si="25"/>
        <v/>
      </c>
      <c r="C329" s="92" t="str">
        <f t="shared" si="29"/>
        <v/>
      </c>
      <c r="D329" s="92" t="str">
        <f t="shared" si="26"/>
        <v/>
      </c>
      <c r="E329" s="92" t="str">
        <f t="shared" si="30"/>
        <v/>
      </c>
      <c r="F329" s="92" t="str">
        <f t="shared" si="27"/>
        <v/>
      </c>
      <c r="G329" s="93" t="str">
        <f t="shared" si="28"/>
        <v/>
      </c>
    </row>
    <row r="330" spans="2:7" ht="12.75">
      <c r="B330" s="91" t="str">
        <f t="shared" si="25"/>
        <v/>
      </c>
      <c r="C330" s="92" t="str">
        <f t="shared" si="29"/>
        <v/>
      </c>
      <c r="D330" s="92" t="str">
        <f t="shared" si="26"/>
        <v/>
      </c>
      <c r="E330" s="92" t="str">
        <f t="shared" si="30"/>
        <v/>
      </c>
      <c r="F330" s="92" t="str">
        <f t="shared" si="27"/>
        <v/>
      </c>
      <c r="G330" s="93" t="str">
        <f t="shared" si="28"/>
        <v/>
      </c>
    </row>
    <row r="331" spans="2:7" ht="12.75">
      <c r="B331" s="91" t="str">
        <f t="shared" si="25"/>
        <v/>
      </c>
      <c r="C331" s="92" t="str">
        <f t="shared" si="29"/>
        <v/>
      </c>
      <c r="D331" s="92" t="str">
        <f t="shared" si="26"/>
        <v/>
      </c>
      <c r="E331" s="92" t="str">
        <f t="shared" si="30"/>
        <v/>
      </c>
      <c r="F331" s="92" t="str">
        <f t="shared" si="27"/>
        <v/>
      </c>
      <c r="G331" s="93" t="str">
        <f t="shared" si="28"/>
        <v/>
      </c>
    </row>
    <row r="332" spans="2:7" ht="12.75">
      <c r="B332" s="91" t="str">
        <f t="shared" si="25"/>
        <v/>
      </c>
      <c r="C332" s="92" t="str">
        <f t="shared" si="29"/>
        <v/>
      </c>
      <c r="D332" s="92" t="str">
        <f t="shared" si="26"/>
        <v/>
      </c>
      <c r="E332" s="92" t="str">
        <f t="shared" si="30"/>
        <v/>
      </c>
      <c r="F332" s="92" t="str">
        <f t="shared" si="27"/>
        <v/>
      </c>
      <c r="G332" s="93" t="str">
        <f t="shared" si="28"/>
        <v/>
      </c>
    </row>
    <row r="333" spans="2:7" ht="12.75">
      <c r="B333" s="91" t="str">
        <f t="shared" si="25"/>
        <v/>
      </c>
      <c r="C333" s="92" t="str">
        <f t="shared" si="29"/>
        <v/>
      </c>
      <c r="D333" s="92" t="str">
        <f t="shared" si="26"/>
        <v/>
      </c>
      <c r="E333" s="92" t="str">
        <f t="shared" si="30"/>
        <v/>
      </c>
      <c r="F333" s="92" t="str">
        <f t="shared" si="27"/>
        <v/>
      </c>
      <c r="G333" s="93" t="str">
        <f t="shared" si="28"/>
        <v/>
      </c>
    </row>
    <row r="334" spans="2:7" ht="12.75">
      <c r="B334" s="91" t="str">
        <f t="shared" si="25"/>
        <v/>
      </c>
      <c r="C334" s="92" t="str">
        <f t="shared" si="29"/>
        <v/>
      </c>
      <c r="D334" s="92" t="str">
        <f t="shared" si="26"/>
        <v/>
      </c>
      <c r="E334" s="92" t="str">
        <f t="shared" si="30"/>
        <v/>
      </c>
      <c r="F334" s="92" t="str">
        <f t="shared" si="27"/>
        <v/>
      </c>
      <c r="G334" s="93" t="str">
        <f t="shared" si="28"/>
        <v/>
      </c>
    </row>
    <row r="335" spans="2:7" ht="12.75">
      <c r="B335" s="91" t="str">
        <f t="shared" si="25"/>
        <v/>
      </c>
      <c r="C335" s="92" t="str">
        <f t="shared" si="29"/>
        <v/>
      </c>
      <c r="D335" s="92" t="str">
        <f t="shared" si="26"/>
        <v/>
      </c>
      <c r="E335" s="92" t="str">
        <f t="shared" si="30"/>
        <v/>
      </c>
      <c r="F335" s="92" t="str">
        <f t="shared" si="27"/>
        <v/>
      </c>
      <c r="G335" s="93" t="str">
        <f t="shared" si="28"/>
        <v/>
      </c>
    </row>
    <row r="336" spans="2:7" ht="12.75">
      <c r="B336" s="91" t="str">
        <f t="shared" ref="B336:B375" si="31">IF(((ROW()-nSkip)&lt;=$G$9),(ROW()-nSkip), "")</f>
        <v/>
      </c>
      <c r="C336" s="92" t="str">
        <f t="shared" si="29"/>
        <v/>
      </c>
      <c r="D336" s="92" t="str">
        <f t="shared" si="26"/>
        <v/>
      </c>
      <c r="E336" s="92" t="str">
        <f t="shared" si="30"/>
        <v/>
      </c>
      <c r="F336" s="92" t="str">
        <f t="shared" si="27"/>
        <v/>
      </c>
      <c r="G336" s="93" t="str">
        <f t="shared" si="28"/>
        <v/>
      </c>
    </row>
    <row r="337" spans="2:7" ht="12.75">
      <c r="B337" s="91" t="str">
        <f t="shared" si="31"/>
        <v/>
      </c>
      <c r="C337" s="92" t="str">
        <f t="shared" si="29"/>
        <v/>
      </c>
      <c r="D337" s="92" t="str">
        <f t="shared" ref="D337:D375" si="32">IF(((ROW()-nSkip)&lt;=$G$9),-PPMT(($G$5/$G$8),B337,$G$9,$G$4),"")</f>
        <v/>
      </c>
      <c r="E337" s="92" t="str">
        <f t="shared" si="30"/>
        <v/>
      </c>
      <c r="F337" s="92" t="str">
        <f t="shared" ref="F337:F375" si="33">IF(((ROW()-nSkip)&lt;=$G$9),(E337+F336),"")</f>
        <v/>
      </c>
      <c r="G337" s="93" t="str">
        <f t="shared" ref="G337:G375" si="34">IF(((ROW()-nSkip)&lt;=$G$9),(G336-D337),"")</f>
        <v/>
      </c>
    </row>
    <row r="338" spans="2:7" ht="12.75">
      <c r="B338" s="91" t="str">
        <f t="shared" si="31"/>
        <v/>
      </c>
      <c r="C338" s="92" t="str">
        <f t="shared" ref="C338:C375" si="35">IF((B338&lt;=$G$9),-PMT(($G$5/$G$8),$G$9,$G$4),"")</f>
        <v/>
      </c>
      <c r="D338" s="92" t="str">
        <f t="shared" si="32"/>
        <v/>
      </c>
      <c r="E338" s="92" t="str">
        <f t="shared" ref="E338:E375" si="36">IF(((ROW()-nSkip)&lt;=$G$9),-IPMT(($G$5/$G$8),B338,$G$9,$G$4),"")</f>
        <v/>
      </c>
      <c r="F338" s="92" t="str">
        <f t="shared" si="33"/>
        <v/>
      </c>
      <c r="G338" s="93" t="str">
        <f t="shared" si="34"/>
        <v/>
      </c>
    </row>
    <row r="339" spans="2:7" ht="12.75">
      <c r="B339" s="91" t="str">
        <f t="shared" si="31"/>
        <v/>
      </c>
      <c r="C339" s="92" t="str">
        <f t="shared" si="35"/>
        <v/>
      </c>
      <c r="D339" s="92" t="str">
        <f t="shared" si="32"/>
        <v/>
      </c>
      <c r="E339" s="92" t="str">
        <f t="shared" si="36"/>
        <v/>
      </c>
      <c r="F339" s="92" t="str">
        <f t="shared" si="33"/>
        <v/>
      </c>
      <c r="G339" s="93" t="str">
        <f t="shared" si="34"/>
        <v/>
      </c>
    </row>
    <row r="340" spans="2:7" ht="12.75">
      <c r="B340" s="91" t="str">
        <f t="shared" si="31"/>
        <v/>
      </c>
      <c r="C340" s="92" t="str">
        <f t="shared" si="35"/>
        <v/>
      </c>
      <c r="D340" s="92" t="str">
        <f t="shared" si="32"/>
        <v/>
      </c>
      <c r="E340" s="92" t="str">
        <f t="shared" si="36"/>
        <v/>
      </c>
      <c r="F340" s="92" t="str">
        <f t="shared" si="33"/>
        <v/>
      </c>
      <c r="G340" s="93" t="str">
        <f t="shared" si="34"/>
        <v/>
      </c>
    </row>
    <row r="341" spans="2:7" ht="12.75">
      <c r="B341" s="91" t="str">
        <f t="shared" si="31"/>
        <v/>
      </c>
      <c r="C341" s="92" t="str">
        <f t="shared" si="35"/>
        <v/>
      </c>
      <c r="D341" s="92" t="str">
        <f t="shared" si="32"/>
        <v/>
      </c>
      <c r="E341" s="92" t="str">
        <f t="shared" si="36"/>
        <v/>
      </c>
      <c r="F341" s="92" t="str">
        <f t="shared" si="33"/>
        <v/>
      </c>
      <c r="G341" s="93" t="str">
        <f t="shared" si="34"/>
        <v/>
      </c>
    </row>
    <row r="342" spans="2:7" ht="12.75">
      <c r="B342" s="91" t="str">
        <f t="shared" si="31"/>
        <v/>
      </c>
      <c r="C342" s="92" t="str">
        <f t="shared" si="35"/>
        <v/>
      </c>
      <c r="D342" s="92" t="str">
        <f t="shared" si="32"/>
        <v/>
      </c>
      <c r="E342" s="92" t="str">
        <f t="shared" si="36"/>
        <v/>
      </c>
      <c r="F342" s="92" t="str">
        <f t="shared" si="33"/>
        <v/>
      </c>
      <c r="G342" s="93" t="str">
        <f t="shared" si="34"/>
        <v/>
      </c>
    </row>
    <row r="343" spans="2:7" ht="12.75">
      <c r="B343" s="91" t="str">
        <f t="shared" si="31"/>
        <v/>
      </c>
      <c r="C343" s="92" t="str">
        <f t="shared" si="35"/>
        <v/>
      </c>
      <c r="D343" s="92" t="str">
        <f t="shared" si="32"/>
        <v/>
      </c>
      <c r="E343" s="92" t="str">
        <f t="shared" si="36"/>
        <v/>
      </c>
      <c r="F343" s="92" t="str">
        <f t="shared" si="33"/>
        <v/>
      </c>
      <c r="G343" s="93" t="str">
        <f t="shared" si="34"/>
        <v/>
      </c>
    </row>
    <row r="344" spans="2:7" ht="12.75">
      <c r="B344" s="91" t="str">
        <f t="shared" si="31"/>
        <v/>
      </c>
      <c r="C344" s="92" t="str">
        <f t="shared" si="35"/>
        <v/>
      </c>
      <c r="D344" s="92" t="str">
        <f t="shared" si="32"/>
        <v/>
      </c>
      <c r="E344" s="92" t="str">
        <f t="shared" si="36"/>
        <v/>
      </c>
      <c r="F344" s="92" t="str">
        <f t="shared" si="33"/>
        <v/>
      </c>
      <c r="G344" s="93" t="str">
        <f t="shared" si="34"/>
        <v/>
      </c>
    </row>
    <row r="345" spans="2:7" ht="12.75">
      <c r="B345" s="91" t="str">
        <f t="shared" si="31"/>
        <v/>
      </c>
      <c r="C345" s="92" t="str">
        <f t="shared" si="35"/>
        <v/>
      </c>
      <c r="D345" s="92" t="str">
        <f t="shared" si="32"/>
        <v/>
      </c>
      <c r="E345" s="92" t="str">
        <f t="shared" si="36"/>
        <v/>
      </c>
      <c r="F345" s="92" t="str">
        <f t="shared" si="33"/>
        <v/>
      </c>
      <c r="G345" s="93" t="str">
        <f t="shared" si="34"/>
        <v/>
      </c>
    </row>
    <row r="346" spans="2:7" ht="12.75">
      <c r="B346" s="91" t="str">
        <f t="shared" si="31"/>
        <v/>
      </c>
      <c r="C346" s="92" t="str">
        <f t="shared" si="35"/>
        <v/>
      </c>
      <c r="D346" s="92" t="str">
        <f t="shared" si="32"/>
        <v/>
      </c>
      <c r="E346" s="92" t="str">
        <f t="shared" si="36"/>
        <v/>
      </c>
      <c r="F346" s="92" t="str">
        <f t="shared" si="33"/>
        <v/>
      </c>
      <c r="G346" s="93" t="str">
        <f t="shared" si="34"/>
        <v/>
      </c>
    </row>
    <row r="347" spans="2:7" ht="12.75">
      <c r="B347" s="91" t="str">
        <f t="shared" si="31"/>
        <v/>
      </c>
      <c r="C347" s="92" t="str">
        <f t="shared" si="35"/>
        <v/>
      </c>
      <c r="D347" s="92" t="str">
        <f t="shared" si="32"/>
        <v/>
      </c>
      <c r="E347" s="92" t="str">
        <f t="shared" si="36"/>
        <v/>
      </c>
      <c r="F347" s="92" t="str">
        <f t="shared" si="33"/>
        <v/>
      </c>
      <c r="G347" s="93" t="str">
        <f t="shared" si="34"/>
        <v/>
      </c>
    </row>
    <row r="348" spans="2:7" ht="12.75">
      <c r="B348" s="91" t="str">
        <f t="shared" si="31"/>
        <v/>
      </c>
      <c r="C348" s="92" t="str">
        <f t="shared" si="35"/>
        <v/>
      </c>
      <c r="D348" s="92" t="str">
        <f t="shared" si="32"/>
        <v/>
      </c>
      <c r="E348" s="92" t="str">
        <f t="shared" si="36"/>
        <v/>
      </c>
      <c r="F348" s="92" t="str">
        <f t="shared" si="33"/>
        <v/>
      </c>
      <c r="G348" s="93" t="str">
        <f t="shared" si="34"/>
        <v/>
      </c>
    </row>
    <row r="349" spans="2:7" ht="12.75">
      <c r="B349" s="91" t="str">
        <f t="shared" si="31"/>
        <v/>
      </c>
      <c r="C349" s="92" t="str">
        <f t="shared" si="35"/>
        <v/>
      </c>
      <c r="D349" s="92" t="str">
        <f t="shared" si="32"/>
        <v/>
      </c>
      <c r="E349" s="92" t="str">
        <f t="shared" si="36"/>
        <v/>
      </c>
      <c r="F349" s="92" t="str">
        <f t="shared" si="33"/>
        <v/>
      </c>
      <c r="G349" s="93" t="str">
        <f t="shared" si="34"/>
        <v/>
      </c>
    </row>
    <row r="350" spans="2:7" ht="12.75">
      <c r="B350" s="91" t="str">
        <f t="shared" si="31"/>
        <v/>
      </c>
      <c r="C350" s="92" t="str">
        <f t="shared" si="35"/>
        <v/>
      </c>
      <c r="D350" s="92" t="str">
        <f t="shared" si="32"/>
        <v/>
      </c>
      <c r="E350" s="92" t="str">
        <f t="shared" si="36"/>
        <v/>
      </c>
      <c r="F350" s="92" t="str">
        <f t="shared" si="33"/>
        <v/>
      </c>
      <c r="G350" s="93" t="str">
        <f t="shared" si="34"/>
        <v/>
      </c>
    </row>
    <row r="351" spans="2:7" ht="12.75">
      <c r="B351" s="91" t="str">
        <f t="shared" si="31"/>
        <v/>
      </c>
      <c r="C351" s="92" t="str">
        <f t="shared" si="35"/>
        <v/>
      </c>
      <c r="D351" s="92" t="str">
        <f t="shared" si="32"/>
        <v/>
      </c>
      <c r="E351" s="92" t="str">
        <f t="shared" si="36"/>
        <v/>
      </c>
      <c r="F351" s="92" t="str">
        <f t="shared" si="33"/>
        <v/>
      </c>
      <c r="G351" s="93" t="str">
        <f t="shared" si="34"/>
        <v/>
      </c>
    </row>
    <row r="352" spans="2:7" ht="12.75">
      <c r="B352" s="91" t="str">
        <f t="shared" si="31"/>
        <v/>
      </c>
      <c r="C352" s="92" t="str">
        <f t="shared" si="35"/>
        <v/>
      </c>
      <c r="D352" s="92" t="str">
        <f t="shared" si="32"/>
        <v/>
      </c>
      <c r="E352" s="92" t="str">
        <f t="shared" si="36"/>
        <v/>
      </c>
      <c r="F352" s="92" t="str">
        <f t="shared" si="33"/>
        <v/>
      </c>
      <c r="G352" s="93" t="str">
        <f t="shared" si="34"/>
        <v/>
      </c>
    </row>
    <row r="353" spans="2:7" ht="12.75">
      <c r="B353" s="91" t="str">
        <f t="shared" si="31"/>
        <v/>
      </c>
      <c r="C353" s="92" t="str">
        <f t="shared" si="35"/>
        <v/>
      </c>
      <c r="D353" s="92" t="str">
        <f t="shared" si="32"/>
        <v/>
      </c>
      <c r="E353" s="92" t="str">
        <f t="shared" si="36"/>
        <v/>
      </c>
      <c r="F353" s="92" t="str">
        <f t="shared" si="33"/>
        <v/>
      </c>
      <c r="G353" s="93" t="str">
        <f t="shared" si="34"/>
        <v/>
      </c>
    </row>
    <row r="354" spans="2:7" ht="12.75">
      <c r="B354" s="91" t="str">
        <f t="shared" si="31"/>
        <v/>
      </c>
      <c r="C354" s="92" t="str">
        <f t="shared" si="35"/>
        <v/>
      </c>
      <c r="D354" s="92" t="str">
        <f t="shared" si="32"/>
        <v/>
      </c>
      <c r="E354" s="92" t="str">
        <f t="shared" si="36"/>
        <v/>
      </c>
      <c r="F354" s="92" t="str">
        <f t="shared" si="33"/>
        <v/>
      </c>
      <c r="G354" s="93" t="str">
        <f t="shared" si="34"/>
        <v/>
      </c>
    </row>
    <row r="355" spans="2:7" ht="12.75">
      <c r="B355" s="91" t="str">
        <f t="shared" si="31"/>
        <v/>
      </c>
      <c r="C355" s="92" t="str">
        <f t="shared" si="35"/>
        <v/>
      </c>
      <c r="D355" s="92" t="str">
        <f t="shared" si="32"/>
        <v/>
      </c>
      <c r="E355" s="92" t="str">
        <f t="shared" si="36"/>
        <v/>
      </c>
      <c r="F355" s="92" t="str">
        <f t="shared" si="33"/>
        <v/>
      </c>
      <c r="G355" s="93" t="str">
        <f t="shared" si="34"/>
        <v/>
      </c>
    </row>
    <row r="356" spans="2:7" ht="12.75">
      <c r="B356" s="91" t="str">
        <f t="shared" si="31"/>
        <v/>
      </c>
      <c r="C356" s="92" t="str">
        <f t="shared" si="35"/>
        <v/>
      </c>
      <c r="D356" s="92" t="str">
        <f t="shared" si="32"/>
        <v/>
      </c>
      <c r="E356" s="92" t="str">
        <f t="shared" si="36"/>
        <v/>
      </c>
      <c r="F356" s="92" t="str">
        <f t="shared" si="33"/>
        <v/>
      </c>
      <c r="G356" s="93" t="str">
        <f t="shared" si="34"/>
        <v/>
      </c>
    </row>
    <row r="357" spans="2:7" ht="12.75">
      <c r="B357" s="91" t="str">
        <f t="shared" si="31"/>
        <v/>
      </c>
      <c r="C357" s="92" t="str">
        <f t="shared" si="35"/>
        <v/>
      </c>
      <c r="D357" s="92" t="str">
        <f t="shared" si="32"/>
        <v/>
      </c>
      <c r="E357" s="92" t="str">
        <f t="shared" si="36"/>
        <v/>
      </c>
      <c r="F357" s="92" t="str">
        <f t="shared" si="33"/>
        <v/>
      </c>
      <c r="G357" s="93" t="str">
        <f t="shared" si="34"/>
        <v/>
      </c>
    </row>
    <row r="358" spans="2:7" ht="12.75">
      <c r="B358" s="91" t="str">
        <f t="shared" si="31"/>
        <v/>
      </c>
      <c r="C358" s="92" t="str">
        <f t="shared" si="35"/>
        <v/>
      </c>
      <c r="D358" s="92" t="str">
        <f t="shared" si="32"/>
        <v/>
      </c>
      <c r="E358" s="92" t="str">
        <f t="shared" si="36"/>
        <v/>
      </c>
      <c r="F358" s="92" t="str">
        <f t="shared" si="33"/>
        <v/>
      </c>
      <c r="G358" s="93" t="str">
        <f t="shared" si="34"/>
        <v/>
      </c>
    </row>
    <row r="359" spans="2:7" ht="12.75">
      <c r="B359" s="91" t="str">
        <f t="shared" si="31"/>
        <v/>
      </c>
      <c r="C359" s="92" t="str">
        <f t="shared" si="35"/>
        <v/>
      </c>
      <c r="D359" s="92" t="str">
        <f t="shared" si="32"/>
        <v/>
      </c>
      <c r="E359" s="92" t="str">
        <f t="shared" si="36"/>
        <v/>
      </c>
      <c r="F359" s="92" t="str">
        <f t="shared" si="33"/>
        <v/>
      </c>
      <c r="G359" s="93" t="str">
        <f t="shared" si="34"/>
        <v/>
      </c>
    </row>
    <row r="360" spans="2:7" ht="12.75">
      <c r="B360" s="91" t="str">
        <f t="shared" si="31"/>
        <v/>
      </c>
      <c r="C360" s="92" t="str">
        <f t="shared" si="35"/>
        <v/>
      </c>
      <c r="D360" s="92" t="str">
        <f t="shared" si="32"/>
        <v/>
      </c>
      <c r="E360" s="92" t="str">
        <f t="shared" si="36"/>
        <v/>
      </c>
      <c r="F360" s="92" t="str">
        <f t="shared" si="33"/>
        <v/>
      </c>
      <c r="G360" s="93" t="str">
        <f t="shared" si="34"/>
        <v/>
      </c>
    </row>
    <row r="361" spans="2:7" ht="12.75">
      <c r="B361" s="91" t="str">
        <f t="shared" si="31"/>
        <v/>
      </c>
      <c r="C361" s="92" t="str">
        <f t="shared" si="35"/>
        <v/>
      </c>
      <c r="D361" s="92" t="str">
        <f t="shared" si="32"/>
        <v/>
      </c>
      <c r="E361" s="92" t="str">
        <f t="shared" si="36"/>
        <v/>
      </c>
      <c r="F361" s="92" t="str">
        <f t="shared" si="33"/>
        <v/>
      </c>
      <c r="G361" s="93" t="str">
        <f t="shared" si="34"/>
        <v/>
      </c>
    </row>
    <row r="362" spans="2:7" ht="12.75">
      <c r="B362" s="91" t="str">
        <f t="shared" si="31"/>
        <v/>
      </c>
      <c r="C362" s="92" t="str">
        <f t="shared" si="35"/>
        <v/>
      </c>
      <c r="D362" s="92" t="str">
        <f t="shared" si="32"/>
        <v/>
      </c>
      <c r="E362" s="92" t="str">
        <f t="shared" si="36"/>
        <v/>
      </c>
      <c r="F362" s="92" t="str">
        <f t="shared" si="33"/>
        <v/>
      </c>
      <c r="G362" s="93" t="str">
        <f t="shared" si="34"/>
        <v/>
      </c>
    </row>
    <row r="363" spans="2:7" ht="12.75">
      <c r="B363" s="91" t="str">
        <f t="shared" si="31"/>
        <v/>
      </c>
      <c r="C363" s="92" t="str">
        <f t="shared" si="35"/>
        <v/>
      </c>
      <c r="D363" s="92" t="str">
        <f t="shared" si="32"/>
        <v/>
      </c>
      <c r="E363" s="92" t="str">
        <f t="shared" si="36"/>
        <v/>
      </c>
      <c r="F363" s="92" t="str">
        <f t="shared" si="33"/>
        <v/>
      </c>
      <c r="G363" s="93" t="str">
        <f t="shared" si="34"/>
        <v/>
      </c>
    </row>
    <row r="364" spans="2:7" ht="12.75">
      <c r="B364" s="91" t="str">
        <f t="shared" si="31"/>
        <v/>
      </c>
      <c r="C364" s="92" t="str">
        <f t="shared" si="35"/>
        <v/>
      </c>
      <c r="D364" s="92" t="str">
        <f t="shared" si="32"/>
        <v/>
      </c>
      <c r="E364" s="92" t="str">
        <f t="shared" si="36"/>
        <v/>
      </c>
      <c r="F364" s="92" t="str">
        <f t="shared" si="33"/>
        <v/>
      </c>
      <c r="G364" s="93" t="str">
        <f t="shared" si="34"/>
        <v/>
      </c>
    </row>
    <row r="365" spans="2:7" ht="12.75">
      <c r="B365" s="91" t="str">
        <f t="shared" si="31"/>
        <v/>
      </c>
      <c r="C365" s="92" t="str">
        <f t="shared" si="35"/>
        <v/>
      </c>
      <c r="D365" s="92" t="str">
        <f t="shared" si="32"/>
        <v/>
      </c>
      <c r="E365" s="92" t="str">
        <f t="shared" si="36"/>
        <v/>
      </c>
      <c r="F365" s="92" t="str">
        <f t="shared" si="33"/>
        <v/>
      </c>
      <c r="G365" s="93" t="str">
        <f t="shared" si="34"/>
        <v/>
      </c>
    </row>
    <row r="366" spans="2:7" ht="12.75">
      <c r="B366" s="91" t="str">
        <f t="shared" si="31"/>
        <v/>
      </c>
      <c r="C366" s="92" t="str">
        <f t="shared" si="35"/>
        <v/>
      </c>
      <c r="D366" s="92" t="str">
        <f t="shared" si="32"/>
        <v/>
      </c>
      <c r="E366" s="92" t="str">
        <f t="shared" si="36"/>
        <v/>
      </c>
      <c r="F366" s="92" t="str">
        <f t="shared" si="33"/>
        <v/>
      </c>
      <c r="G366" s="93" t="str">
        <f t="shared" si="34"/>
        <v/>
      </c>
    </row>
    <row r="367" spans="2:7" ht="12.75">
      <c r="B367" s="91" t="str">
        <f t="shared" si="31"/>
        <v/>
      </c>
      <c r="C367" s="92" t="str">
        <f t="shared" si="35"/>
        <v/>
      </c>
      <c r="D367" s="92" t="str">
        <f t="shared" si="32"/>
        <v/>
      </c>
      <c r="E367" s="92" t="str">
        <f t="shared" si="36"/>
        <v/>
      </c>
      <c r="F367" s="92" t="str">
        <f t="shared" si="33"/>
        <v/>
      </c>
      <c r="G367" s="93" t="str">
        <f t="shared" si="34"/>
        <v/>
      </c>
    </row>
    <row r="368" spans="2:7" ht="12.75">
      <c r="B368" s="91" t="str">
        <f t="shared" si="31"/>
        <v/>
      </c>
      <c r="C368" s="92" t="str">
        <f t="shared" si="35"/>
        <v/>
      </c>
      <c r="D368" s="92" t="str">
        <f t="shared" si="32"/>
        <v/>
      </c>
      <c r="E368" s="92" t="str">
        <f t="shared" si="36"/>
        <v/>
      </c>
      <c r="F368" s="92" t="str">
        <f t="shared" si="33"/>
        <v/>
      </c>
      <c r="G368" s="93" t="str">
        <f t="shared" si="34"/>
        <v/>
      </c>
    </row>
    <row r="369" spans="2:7" ht="12.75">
      <c r="B369" s="91" t="str">
        <f t="shared" si="31"/>
        <v/>
      </c>
      <c r="C369" s="92" t="str">
        <f t="shared" si="35"/>
        <v/>
      </c>
      <c r="D369" s="92" t="str">
        <f t="shared" si="32"/>
        <v/>
      </c>
      <c r="E369" s="92" t="str">
        <f t="shared" si="36"/>
        <v/>
      </c>
      <c r="F369" s="92" t="str">
        <f t="shared" si="33"/>
        <v/>
      </c>
      <c r="G369" s="93" t="str">
        <f t="shared" si="34"/>
        <v/>
      </c>
    </row>
    <row r="370" spans="2:7" ht="12.75">
      <c r="B370" s="91" t="str">
        <f t="shared" si="31"/>
        <v/>
      </c>
      <c r="C370" s="92" t="str">
        <f t="shared" si="35"/>
        <v/>
      </c>
      <c r="D370" s="92" t="str">
        <f t="shared" si="32"/>
        <v/>
      </c>
      <c r="E370" s="92" t="str">
        <f t="shared" si="36"/>
        <v/>
      </c>
      <c r="F370" s="92" t="str">
        <f t="shared" si="33"/>
        <v/>
      </c>
      <c r="G370" s="93" t="str">
        <f t="shared" si="34"/>
        <v/>
      </c>
    </row>
    <row r="371" spans="2:7" ht="12.75">
      <c r="B371" s="91" t="str">
        <f t="shared" si="31"/>
        <v/>
      </c>
      <c r="C371" s="92" t="str">
        <f t="shared" si="35"/>
        <v/>
      </c>
      <c r="D371" s="92" t="str">
        <f t="shared" si="32"/>
        <v/>
      </c>
      <c r="E371" s="92" t="str">
        <f t="shared" si="36"/>
        <v/>
      </c>
      <c r="F371" s="92" t="str">
        <f t="shared" si="33"/>
        <v/>
      </c>
      <c r="G371" s="93" t="str">
        <f t="shared" si="34"/>
        <v/>
      </c>
    </row>
    <row r="372" spans="2:7" ht="12.75">
      <c r="B372" s="91" t="str">
        <f t="shared" si="31"/>
        <v/>
      </c>
      <c r="C372" s="92" t="str">
        <f t="shared" si="35"/>
        <v/>
      </c>
      <c r="D372" s="92" t="str">
        <f t="shared" si="32"/>
        <v/>
      </c>
      <c r="E372" s="92" t="str">
        <f t="shared" si="36"/>
        <v/>
      </c>
      <c r="F372" s="92" t="str">
        <f t="shared" si="33"/>
        <v/>
      </c>
      <c r="G372" s="93" t="str">
        <f t="shared" si="34"/>
        <v/>
      </c>
    </row>
    <row r="373" spans="2:7" ht="12.75">
      <c r="B373" s="91" t="str">
        <f t="shared" si="31"/>
        <v/>
      </c>
      <c r="C373" s="92" t="str">
        <f t="shared" si="35"/>
        <v/>
      </c>
      <c r="D373" s="92" t="str">
        <f t="shared" si="32"/>
        <v/>
      </c>
      <c r="E373" s="92" t="str">
        <f t="shared" si="36"/>
        <v/>
      </c>
      <c r="F373" s="92" t="str">
        <f t="shared" si="33"/>
        <v/>
      </c>
      <c r="G373" s="93" t="str">
        <f t="shared" si="34"/>
        <v/>
      </c>
    </row>
    <row r="374" spans="2:7" ht="12.75">
      <c r="B374" s="91" t="str">
        <f t="shared" si="31"/>
        <v/>
      </c>
      <c r="C374" s="92" t="str">
        <f t="shared" si="35"/>
        <v/>
      </c>
      <c r="D374" s="92" t="str">
        <f t="shared" si="32"/>
        <v/>
      </c>
      <c r="E374" s="92" t="str">
        <f t="shared" si="36"/>
        <v/>
      </c>
      <c r="F374" s="92" t="str">
        <f t="shared" si="33"/>
        <v/>
      </c>
      <c r="G374" s="93" t="str">
        <f t="shared" si="34"/>
        <v/>
      </c>
    </row>
    <row r="375" spans="2:7" ht="13.5" thickBot="1">
      <c r="B375" s="94" t="str">
        <f t="shared" si="31"/>
        <v/>
      </c>
      <c r="C375" s="95" t="str">
        <f t="shared" si="35"/>
        <v/>
      </c>
      <c r="D375" s="95" t="str">
        <f t="shared" si="32"/>
        <v/>
      </c>
      <c r="E375" s="95" t="str">
        <f t="shared" si="36"/>
        <v/>
      </c>
      <c r="F375" s="95" t="str">
        <f t="shared" si="33"/>
        <v/>
      </c>
      <c r="G375" s="96" t="str">
        <f t="shared" si="34"/>
        <v/>
      </c>
    </row>
    <row r="376" spans="2:7" ht="12.75"/>
  </sheetData>
  <mergeCells count="12">
    <mergeCell ref="E12:F12"/>
    <mergeCell ref="E13:F13"/>
    <mergeCell ref="A2:H2"/>
    <mergeCell ref="B4:D13"/>
    <mergeCell ref="E4:F4"/>
    <mergeCell ref="E5:F5"/>
    <mergeCell ref="E6:F6"/>
    <mergeCell ref="E7:F7"/>
    <mergeCell ref="E8:F8"/>
    <mergeCell ref="E9:F9"/>
    <mergeCell ref="E10:F10"/>
    <mergeCell ref="E11:F11"/>
  </mergeCells>
  <printOptions horizontalCentered="1"/>
  <pageMargins left="0.78740157480314965" right="0.78740157480314965" top="0.98425196850393704" bottom="0.98425196850393704" header="0.51181102362204722" footer="0.51181102362204722"/>
  <pageSetup paperSize="9" scale="87" orientation="landscape"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559F6-0B9E-0848-93B7-F6F2F9B04A19}">
  <sheetPr>
    <tabColor theme="1"/>
  </sheetPr>
  <dimension ref="A2:P99"/>
  <sheetViews>
    <sheetView workbookViewId="0">
      <selection activeCell="E34" sqref="E34"/>
    </sheetView>
  </sheetViews>
  <sheetFormatPr baseColWidth="10" defaultColWidth="10.85546875" defaultRowHeight="12.75"/>
  <cols>
    <col min="1" max="1" width="14.28515625" style="444" customWidth="1"/>
    <col min="2" max="12" width="14.28515625" style="444" bestFit="1" customWidth="1"/>
    <col min="13" max="16384" width="10.85546875" style="444"/>
  </cols>
  <sheetData>
    <row r="2" spans="1:10" s="451" customFormat="1">
      <c r="A2" s="452" t="s">
        <v>173</v>
      </c>
    </row>
    <row r="4" spans="1:10">
      <c r="A4" s="445" t="str">
        <f>'Hotel Operating Revenue'!B8</f>
        <v>Filling rate</v>
      </c>
      <c r="B4" s="469">
        <v>0.75</v>
      </c>
    </row>
    <row r="5" spans="1:10">
      <c r="A5" s="445" t="s">
        <v>172</v>
      </c>
      <c r="B5" s="464">
        <v>300</v>
      </c>
    </row>
    <row r="6" spans="1:10">
      <c r="A6" s="445" t="s">
        <v>103</v>
      </c>
      <c r="B6" s="465">
        <f>'IRR 15y'!C55</f>
        <v>0.11139768064343136</v>
      </c>
    </row>
    <row r="7" spans="1:10">
      <c r="B7" s="474"/>
    </row>
    <row r="8" spans="1:10" ht="13.5" thickBot="1"/>
    <row r="9" spans="1:10" ht="13.5" thickBot="1">
      <c r="A9" s="463">
        <f>'IRR 15y'!C55</f>
        <v>0.11139768064343136</v>
      </c>
      <c r="B9" s="470">
        <v>0.55000000000000004</v>
      </c>
      <c r="C9" s="470">
        <f t="shared" ref="C9:J9" si="0">B9+0.05</f>
        <v>0.60000000000000009</v>
      </c>
      <c r="D9" s="470">
        <f t="shared" si="0"/>
        <v>0.65000000000000013</v>
      </c>
      <c r="E9" s="470">
        <f t="shared" si="0"/>
        <v>0.70000000000000018</v>
      </c>
      <c r="F9" s="471">
        <f t="shared" si="0"/>
        <v>0.75000000000000022</v>
      </c>
      <c r="G9" s="470">
        <f t="shared" si="0"/>
        <v>0.80000000000000027</v>
      </c>
      <c r="H9" s="470">
        <f t="shared" si="0"/>
        <v>0.85000000000000031</v>
      </c>
      <c r="I9" s="470">
        <f t="shared" si="0"/>
        <v>0.90000000000000036</v>
      </c>
      <c r="J9" s="472">
        <f t="shared" si="0"/>
        <v>0.9500000000000004</v>
      </c>
    </row>
    <row r="10" spans="1:10">
      <c r="A10" s="467">
        <v>200</v>
      </c>
      <c r="B10" s="459">
        <f t="dataTable" ref="B10:J23" dt2D="1" dtr="1" r1="B4" r2="B5" ca="1"/>
        <v>-0.13596987890548407</v>
      </c>
      <c r="C10" s="459">
        <v>-8.1919237558308322E-2</v>
      </c>
      <c r="D10" s="459">
        <v>-4.6506610635333678E-2</v>
      </c>
      <c r="E10" s="459">
        <v>-1.9815858550082943E-2</v>
      </c>
      <c r="F10" s="446">
        <v>1.8332308536088693E-3</v>
      </c>
      <c r="G10" s="459">
        <v>2.0199673476458013E-2</v>
      </c>
      <c r="H10" s="459">
        <v>3.6258824129963729E-2</v>
      </c>
      <c r="I10" s="459">
        <v>5.0607362391845712E-2</v>
      </c>
      <c r="J10" s="460">
        <v>6.3636791207695831E-2</v>
      </c>
    </row>
    <row r="11" spans="1:10">
      <c r="A11" s="467">
        <f t="shared" ref="A11:A23" si="1">A10+20</f>
        <v>220</v>
      </c>
      <c r="B11" s="459">
        <v>-7.3848699953127594E-2</v>
      </c>
      <c r="C11" s="459">
        <v>-3.7399963422113158E-2</v>
      </c>
      <c r="D11" s="459">
        <v>-9.993374993876758E-3</v>
      </c>
      <c r="E11" s="459">
        <v>1.2241193644569215E-2</v>
      </c>
      <c r="F11" s="446">
        <v>3.1128559346779605E-2</v>
      </c>
      <c r="G11" s="459">
        <v>4.7672719717863465E-2</v>
      </c>
      <c r="H11" s="459">
        <v>6.2484835538180183E-2</v>
      </c>
      <c r="I11" s="459">
        <v>7.5964548324296333E-2</v>
      </c>
      <c r="J11" s="460">
        <v>8.8387525212189955E-2</v>
      </c>
    </row>
    <row r="12" spans="1:10">
      <c r="A12" s="467">
        <f t="shared" si="1"/>
        <v>240</v>
      </c>
      <c r="B12" s="459">
        <v>-3.4909153333732346E-2</v>
      </c>
      <c r="C12" s="459">
        <v>-5.570542649134147E-3</v>
      </c>
      <c r="D12" s="459">
        <v>1.7985106118301175E-2</v>
      </c>
      <c r="E12" s="459">
        <v>3.7885118407468443E-2</v>
      </c>
      <c r="F12" s="446">
        <v>5.5265593400096513E-2</v>
      </c>
      <c r="G12" s="459">
        <v>7.0804490844509571E-2</v>
      </c>
      <c r="H12" s="459">
        <v>8.4938871141492012E-2</v>
      </c>
      <c r="I12" s="459">
        <v>9.7967007267729223E-2</v>
      </c>
      <c r="J12" s="460">
        <v>0.11010155802162358</v>
      </c>
    </row>
    <row r="13" spans="1:10">
      <c r="A13" s="467">
        <f t="shared" si="1"/>
        <v>260</v>
      </c>
      <c r="B13" s="459">
        <v>-5.9782230406781878E-3</v>
      </c>
      <c r="C13" s="459">
        <v>1.9648912523409834E-2</v>
      </c>
      <c r="D13" s="459">
        <v>4.1036460367546601E-2</v>
      </c>
      <c r="E13" s="459">
        <v>5.9579681295355291E-2</v>
      </c>
      <c r="F13" s="446">
        <v>7.6082969243627119E-2</v>
      </c>
      <c r="G13" s="459">
        <v>9.1052411129195043E-2</v>
      </c>
      <c r="H13" s="459">
        <v>0.10482717370125316</v>
      </c>
      <c r="I13" s="459">
        <v>0.11764569240496936</v>
      </c>
      <c r="J13" s="460">
        <v>0.12968198517392016</v>
      </c>
    </row>
    <row r="14" spans="1:10" ht="13.5" thickBot="1">
      <c r="A14" s="467">
        <f t="shared" si="1"/>
        <v>280</v>
      </c>
      <c r="B14" s="459">
        <v>1.7387029770064233E-2</v>
      </c>
      <c r="C14" s="459">
        <v>4.0817579903761114E-2</v>
      </c>
      <c r="D14" s="459">
        <v>6.0883269364972126E-2</v>
      </c>
      <c r="E14" s="459">
        <v>7.8601277411387782E-2</v>
      </c>
      <c r="F14" s="446">
        <v>9.4589209812274477E-2</v>
      </c>
      <c r="G14" s="459">
        <v>0.10925034060712635</v>
      </c>
      <c r="H14" s="459">
        <v>0.12286258846135456</v>
      </c>
      <c r="I14" s="459">
        <v>0.13562561999542377</v>
      </c>
      <c r="J14" s="460">
        <v>0.14768770049451185</v>
      </c>
    </row>
    <row r="15" spans="1:10" ht="13.5" thickBot="1">
      <c r="A15" s="466">
        <f t="shared" si="1"/>
        <v>300</v>
      </c>
      <c r="B15" s="447">
        <v>3.7212716066407747E-2</v>
      </c>
      <c r="C15" s="447">
        <v>5.9252312448346611E-2</v>
      </c>
      <c r="D15" s="447">
        <v>7.8482173464500482E-2</v>
      </c>
      <c r="E15" s="447">
        <v>9.5696996285033142E-2</v>
      </c>
      <c r="F15" s="448">
        <v>0.11139768064343158</v>
      </c>
      <c r="G15" s="447">
        <v>0.12592040380352554</v>
      </c>
      <c r="H15" s="447">
        <v>0.13950175656415276</v>
      </c>
      <c r="I15" s="447">
        <v>0.15231453650011528</v>
      </c>
      <c r="J15" s="449">
        <v>0.16448875777211591</v>
      </c>
    </row>
    <row r="16" spans="1:10">
      <c r="A16" s="467">
        <f t="shared" si="1"/>
        <v>320</v>
      </c>
      <c r="B16" s="459">
        <v>5.4591419907185079E-2</v>
      </c>
      <c r="C16" s="459">
        <v>7.5720006738875911E-2</v>
      </c>
      <c r="D16" s="459">
        <v>9.441973243028623E-2</v>
      </c>
      <c r="E16" s="459">
        <v>0.11134209092172664</v>
      </c>
      <c r="F16" s="446">
        <v>0.1269094648259681</v>
      </c>
      <c r="G16" s="459">
        <v>0.14141136790988673</v>
      </c>
      <c r="H16" s="459">
        <v>0.15505488576239457</v>
      </c>
      <c r="I16" s="459">
        <v>0.1679932123913499</v>
      </c>
      <c r="J16" s="460">
        <v>0.18034279296525524</v>
      </c>
    </row>
    <row r="17" spans="1:10">
      <c r="A17" s="467">
        <f t="shared" si="1"/>
        <v>340</v>
      </c>
      <c r="B17" s="459">
        <v>7.0179396742430011E-2</v>
      </c>
      <c r="C17" s="459">
        <v>9.070663597973283E-2</v>
      </c>
      <c r="D17" s="459">
        <v>0.10908172635788227</v>
      </c>
      <c r="E17" s="459">
        <v>0.12585776716477559</v>
      </c>
      <c r="F17" s="446">
        <v>0.141401311970758</v>
      </c>
      <c r="G17" s="459">
        <v>0.15596780451984338</v>
      </c>
      <c r="H17" s="459">
        <v>0.16974231693249475</v>
      </c>
      <c r="I17" s="459">
        <v>0.18286314208667487</v>
      </c>
      <c r="J17" s="460">
        <v>0.19543623521266928</v>
      </c>
    </row>
    <row r="18" spans="1:10">
      <c r="A18" s="467">
        <f t="shared" si="1"/>
        <v>360</v>
      </c>
      <c r="B18" s="459">
        <v>8.440173045244137E-2</v>
      </c>
      <c r="C18" s="459">
        <v>0.10453966733632725</v>
      </c>
      <c r="D18" s="459">
        <v>0.12273552256378339</v>
      </c>
      <c r="E18" s="459">
        <v>0.13947134679277751</v>
      </c>
      <c r="F18" s="446">
        <v>0.15507225127546742</v>
      </c>
      <c r="G18" s="459">
        <v>0.16976782461071305</v>
      </c>
      <c r="H18" s="459">
        <v>0.18372611678439643</v>
      </c>
      <c r="I18" s="459">
        <v>0.19707370158837922</v>
      </c>
      <c r="J18" s="460">
        <v>0.20990815057040924</v>
      </c>
    </row>
    <row r="19" spans="1:10">
      <c r="A19" s="467">
        <f t="shared" si="1"/>
        <v>380</v>
      </c>
      <c r="B19" s="459">
        <v>9.7549593367439957E-2</v>
      </c>
      <c r="C19" s="459">
        <v>0.11745031671729755</v>
      </c>
      <c r="D19" s="459">
        <v>0.13557409518395436</v>
      </c>
      <c r="E19" s="459">
        <v>0.15234963142957025</v>
      </c>
      <c r="F19" s="446">
        <v>0.16807019038244531</v>
      </c>
      <c r="G19" s="459">
        <v>0.18294510644445272</v>
      </c>
      <c r="H19" s="459">
        <v>0.19712886490509351</v>
      </c>
      <c r="I19" s="459">
        <v>0.2107385485401565</v>
      </c>
      <c r="J19" s="460">
        <v>0.22386482937902374</v>
      </c>
    </row>
    <row r="20" spans="1:10">
      <c r="A20" s="467">
        <f t="shared" si="1"/>
        <v>400</v>
      </c>
      <c r="B20" s="459">
        <v>0.10983120975635807</v>
      </c>
      <c r="C20" s="459">
        <v>0.12960794807873888</v>
      </c>
      <c r="D20" s="459">
        <v>0.1477413020206324</v>
      </c>
      <c r="E20" s="459">
        <v>0.16461862684941364</v>
      </c>
      <c r="F20" s="446">
        <v>0.18050800309632065</v>
      </c>
      <c r="G20" s="459">
        <v>0.19560246539086101</v>
      </c>
      <c r="H20" s="459">
        <v>0.21004540316038312</v>
      </c>
      <c r="I20" s="459">
        <v>0.22394600955679822</v>
      </c>
      <c r="J20" s="460">
        <v>0.2373891260721801</v>
      </c>
    </row>
    <row r="21" spans="1:10">
      <c r="A21" s="467">
        <f t="shared" si="1"/>
        <v>420</v>
      </c>
      <c r="B21" s="459">
        <v>0.12140066684307382</v>
      </c>
      <c r="C21" s="459">
        <v>0.14114034772977324</v>
      </c>
      <c r="D21" s="459">
        <v>0.15934724717017157</v>
      </c>
      <c r="E21" s="459">
        <v>0.17637581705409833</v>
      </c>
      <c r="F21" s="446">
        <v>0.19247372922850436</v>
      </c>
      <c r="G21" s="459">
        <v>0.20782058893285771</v>
      </c>
      <c r="H21" s="459">
        <v>0.22255049482677758</v>
      </c>
      <c r="I21" s="459">
        <v>0.2367659242664264</v>
      </c>
      <c r="J21" s="460">
        <v>0.25054667030318578</v>
      </c>
    </row>
    <row r="22" spans="1:10">
      <c r="A22" s="467">
        <f t="shared" si="1"/>
        <v>440</v>
      </c>
      <c r="B22" s="459">
        <v>0.13237520452201545</v>
      </c>
      <c r="C22" s="459">
        <v>0.15214630742652924</v>
      </c>
      <c r="D22" s="459">
        <v>0.17047805871506649</v>
      </c>
      <c r="E22" s="459">
        <v>0.18769813031685612</v>
      </c>
      <c r="F22" s="446">
        <v>0.20403729863569553</v>
      </c>
      <c r="G22" s="459">
        <v>0.21966386928598403</v>
      </c>
      <c r="H22" s="459">
        <v>0.23470399414908716</v>
      </c>
      <c r="I22" s="459">
        <v>0.24925430765891909</v>
      </c>
      <c r="J22" s="460">
        <v>0.26339013274686085</v>
      </c>
    </row>
    <row r="23" spans="1:10" ht="13.5" thickBot="1">
      <c r="A23" s="468">
        <f t="shared" si="1"/>
        <v>460</v>
      </c>
      <c r="B23" s="461">
        <v>0.14284610397256903</v>
      </c>
      <c r="C23" s="461">
        <v>0.16270377205980391</v>
      </c>
      <c r="D23" s="461">
        <v>0.18120235436159926</v>
      </c>
      <c r="E23" s="461">
        <v>0.19864729434421258</v>
      </c>
      <c r="F23" s="450">
        <v>0.21525511196129288</v>
      </c>
      <c r="G23" s="461">
        <v>0.23118442091558866</v>
      </c>
      <c r="H23" s="461">
        <v>0.24655444070810928</v>
      </c>
      <c r="I23" s="461">
        <v>0.26145661848535551</v>
      </c>
      <c r="J23" s="462">
        <v>0.27596223760859617</v>
      </c>
    </row>
    <row r="27" spans="1:10" s="451" customFormat="1">
      <c r="A27" s="452" t="s">
        <v>174</v>
      </c>
    </row>
    <row r="29" spans="1:10">
      <c r="A29" s="445" t="str">
        <f>Assumptions!F5</f>
        <v xml:space="preserve">Purchase price </v>
      </c>
      <c r="B29" s="473">
        <v>10000000</v>
      </c>
    </row>
    <row r="30" spans="1:10">
      <c r="A30" s="445" t="str">
        <f>Assumptions!B32</f>
        <v>Capitalization rate</v>
      </c>
      <c r="B30" s="465">
        <v>5.5E-2</v>
      </c>
    </row>
    <row r="31" spans="1:10">
      <c r="A31" s="445" t="s">
        <v>103</v>
      </c>
      <c r="B31" s="465">
        <f>'IRR 15y'!C55</f>
        <v>0.11139768064343136</v>
      </c>
    </row>
    <row r="32" spans="1:10">
      <c r="B32" s="474"/>
    </row>
    <row r="33" spans="1:12" ht="13.5" thickBot="1"/>
    <row r="34" spans="1:12" ht="13.5" thickBot="1">
      <c r="A34" s="463">
        <f>'IRR 15y'!C55</f>
        <v>0.11139768064343136</v>
      </c>
      <c r="B34" s="453">
        <v>12500000</v>
      </c>
      <c r="C34" s="453">
        <f>B34-500000</f>
        <v>12000000</v>
      </c>
      <c r="D34" s="453">
        <f t="shared" ref="D34:L34" si="2">C34-500000</f>
        <v>11500000</v>
      </c>
      <c r="E34" s="453">
        <f t="shared" si="2"/>
        <v>11000000</v>
      </c>
      <c r="F34" s="453">
        <f t="shared" si="2"/>
        <v>10500000</v>
      </c>
      <c r="G34" s="454">
        <f t="shared" si="2"/>
        <v>10000000</v>
      </c>
      <c r="H34" s="453">
        <f t="shared" si="2"/>
        <v>9500000</v>
      </c>
      <c r="I34" s="453">
        <f t="shared" si="2"/>
        <v>9000000</v>
      </c>
      <c r="J34" s="453">
        <f t="shared" si="2"/>
        <v>8500000</v>
      </c>
      <c r="K34" s="453">
        <f t="shared" si="2"/>
        <v>8000000</v>
      </c>
      <c r="L34" s="455">
        <f t="shared" si="2"/>
        <v>7500000</v>
      </c>
    </row>
    <row r="35" spans="1:12">
      <c r="A35" s="457">
        <v>7.0000000000000007E-2</v>
      </c>
      <c r="B35" s="459">
        <f t="dataTable" ref="B35:L49" dt2D="1" dtr="1" r1="B29" r2="B30"/>
        <v>6.3950286056584815E-2</v>
      </c>
      <c r="C35" s="459">
        <v>6.9780129878673325E-2</v>
      </c>
      <c r="D35" s="459">
        <v>7.5845271379249013E-2</v>
      </c>
      <c r="E35" s="459">
        <v>8.2172344598877345E-2</v>
      </c>
      <c r="F35" s="459">
        <v>8.8792179524532999E-2</v>
      </c>
      <c r="G35" s="446">
        <v>9.5740728540324005E-2</v>
      </c>
      <c r="H35" s="459">
        <v>0.10306025651985351</v>
      </c>
      <c r="I35" s="459">
        <v>0.11080088844100966</v>
      </c>
      <c r="J35" s="459">
        <v>0.11902264920700301</v>
      </c>
      <c r="K35" s="459">
        <v>0.12779819245893687</v>
      </c>
      <c r="L35" s="460">
        <v>0.13721651176314476</v>
      </c>
    </row>
    <row r="36" spans="1:12">
      <c r="A36" s="457">
        <f>A35-0.0025</f>
        <v>6.7500000000000004E-2</v>
      </c>
      <c r="B36" s="459">
        <v>6.6564187903282557E-2</v>
      </c>
      <c r="C36" s="459">
        <v>7.2338646287662067E-2</v>
      </c>
      <c r="D36" s="459">
        <v>7.8348632453528744E-2</v>
      </c>
      <c r="E36" s="459">
        <v>8.4620626442665658E-2</v>
      </c>
      <c r="F36" s="459">
        <v>9.1185287271470461E-2</v>
      </c>
      <c r="G36" s="446">
        <v>9.8078374961170445E-2</v>
      </c>
      <c r="H36" s="459">
        <v>0.10534193501045075</v>
      </c>
      <c r="I36" s="459">
        <v>0.11302583877971784</v>
      </c>
      <c r="J36" s="459">
        <v>0.12118981389441741</v>
      </c>
      <c r="K36" s="459">
        <v>0.12990616063519567</v>
      </c>
      <c r="L36" s="460">
        <v>0.13926344652363198</v>
      </c>
    </row>
    <row r="37" spans="1:12">
      <c r="A37" s="457">
        <f t="shared" ref="A37:A49" si="3">A36-0.0025</f>
        <v>6.5000000000000002E-2</v>
      </c>
      <c r="B37" s="459">
        <v>6.9276247437286553E-2</v>
      </c>
      <c r="C37" s="459">
        <v>7.4995248475399734E-2</v>
      </c>
      <c r="D37" s="459">
        <v>8.094992300512649E-2</v>
      </c>
      <c r="E37" s="459">
        <v>8.7166596831373511E-2</v>
      </c>
      <c r="F37" s="459">
        <v>9.3675756732949367E-2</v>
      </c>
      <c r="G37" s="446">
        <v>0.10051296790297037</v>
      </c>
      <c r="H37" s="459">
        <v>0.10772005257184603</v>
      </c>
      <c r="I37" s="459">
        <v>0.11534662284841479</v>
      </c>
      <c r="J37" s="459">
        <v>0.12345210127806006</v>
      </c>
      <c r="K37" s="459">
        <v>0.13210842422064828</v>
      </c>
      <c r="L37" s="460">
        <v>0.14140371901110615</v>
      </c>
    </row>
    <row r="38" spans="1:12">
      <c r="A38" s="457">
        <f t="shared" si="3"/>
        <v>6.25E-2</v>
      </c>
      <c r="B38" s="459">
        <v>7.209459450195066E-2</v>
      </c>
      <c r="C38" s="459">
        <v>7.7758047176347711E-2</v>
      </c>
      <c r="D38" s="459">
        <v>8.3657234290741123E-2</v>
      </c>
      <c r="E38" s="459">
        <v>8.9818326717960861E-2</v>
      </c>
      <c r="F38" s="459">
        <v>9.6271637255540998E-2</v>
      </c>
      <c r="G38" s="446">
        <v>0.10305253329211794</v>
      </c>
      <c r="H38" s="459">
        <v>0.11020260933232517</v>
      </c>
      <c r="I38" s="459">
        <v>0.11777121195827189</v>
      </c>
      <c r="J38" s="459">
        <v>0.12581745008336132</v>
      </c>
      <c r="K38" s="459">
        <v>0.13441288468516399</v>
      </c>
      <c r="L38" s="460">
        <v>0.14364518765736478</v>
      </c>
    </row>
    <row r="39" spans="1:12">
      <c r="A39" s="457">
        <f t="shared" si="3"/>
        <v>0.06</v>
      </c>
      <c r="B39" s="459">
        <v>7.5028382818561834E-2</v>
      </c>
      <c r="C39" s="459">
        <v>8.0636175919676978E-2</v>
      </c>
      <c r="D39" s="459">
        <v>8.6479679126794773E-2</v>
      </c>
      <c r="E39" s="459">
        <v>9.2584907217243995E-2</v>
      </c>
      <c r="F39" s="459">
        <v>9.898199676960151E-2</v>
      </c>
      <c r="G39" s="446">
        <v>0.10570611385621165</v>
      </c>
      <c r="H39" s="459">
        <v>0.11279862020169129</v>
      </c>
      <c r="I39" s="459">
        <v>0.12030858990253313</v>
      </c>
      <c r="J39" s="459">
        <v>0.12829480888322897</v>
      </c>
      <c r="K39" s="459">
        <v>0.13682845030445234</v>
      </c>
      <c r="L39" s="460">
        <v>0.145996714157413</v>
      </c>
    </row>
    <row r="40" spans="1:12" ht="13.5" thickBot="1">
      <c r="A40" s="457">
        <f t="shared" si="3"/>
        <v>5.7499999999999996E-2</v>
      </c>
      <c r="B40" s="459">
        <v>7.8087968228758076E-2</v>
      </c>
      <c r="C40" s="459">
        <v>8.3639969159133409E-2</v>
      </c>
      <c r="D40" s="459">
        <v>8.9427569891430414E-2</v>
      </c>
      <c r="E40" s="459">
        <v>9.5476627461734243E-2</v>
      </c>
      <c r="F40" s="459">
        <v>0.10181709947724071</v>
      </c>
      <c r="G40" s="446">
        <v>0.10848394661832872</v>
      </c>
      <c r="H40" s="459">
        <v>0.11551829214109333</v>
      </c>
      <c r="I40" s="459">
        <v>0.12296892996498898</v>
      </c>
      <c r="J40" s="459">
        <v>0.13089431280057662</v>
      </c>
      <c r="K40" s="459">
        <v>0.13936521250220979</v>
      </c>
      <c r="L40" s="460">
        <v>0.14846833938405513</v>
      </c>
    </row>
    <row r="41" spans="1:12" ht="13.5" thickBot="1">
      <c r="A41" s="456">
        <f t="shared" si="3"/>
        <v>5.4999999999999993E-2</v>
      </c>
      <c r="B41" s="447">
        <v>8.1285127277594738E-2</v>
      </c>
      <c r="C41" s="447">
        <v>8.6781180732436569E-2</v>
      </c>
      <c r="D41" s="447">
        <v>9.2512636842179363E-2</v>
      </c>
      <c r="E41" s="447">
        <v>9.8505192756047633E-2</v>
      </c>
      <c r="F41" s="447">
        <v>0.10478862381791343</v>
      </c>
      <c r="G41" s="448">
        <v>0.11139768064343136</v>
      </c>
      <c r="H41" s="447">
        <v>0.1183732416539951</v>
      </c>
      <c r="I41" s="447">
        <v>0.12576381211201215</v>
      </c>
      <c r="J41" s="447">
        <v>0.13362750034876103</v>
      </c>
      <c r="K41" s="447">
        <v>0.14203466227461647</v>
      </c>
      <c r="L41" s="449">
        <v>0.15107149931693553</v>
      </c>
    </row>
    <row r="42" spans="1:12">
      <c r="A42" s="457">
        <f t="shared" si="3"/>
        <v>5.2499999999999991E-2</v>
      </c>
      <c r="B42" s="459">
        <v>8.463332757416131E-2</v>
      </c>
      <c r="C42" s="459">
        <v>9.0073254086910914E-2</v>
      </c>
      <c r="D42" s="459">
        <v>9.5748298185206471E-2</v>
      </c>
      <c r="E42" s="459">
        <v>0.10168399446430332</v>
      </c>
      <c r="F42" s="459">
        <v>0.1079099321437329</v>
      </c>
      <c r="G42" s="446">
        <v>0.11446064646564258</v>
      </c>
      <c r="H42" s="459">
        <v>0.12137676392245944</v>
      </c>
      <c r="I42" s="459">
        <v>0.12870649178619287</v>
      </c>
      <c r="J42" s="459">
        <v>0.13650758181998124</v>
      </c>
      <c r="K42" s="459">
        <v>0.14484995809691981</v>
      </c>
      <c r="L42" s="460">
        <v>0.1538192923726045</v>
      </c>
    </row>
    <row r="43" spans="1:12">
      <c r="A43" s="457">
        <f t="shared" si="3"/>
        <v>4.9999999999999989E-2</v>
      </c>
      <c r="B43" s="459">
        <v>8.8148065327404934E-2</v>
      </c>
      <c r="C43" s="459">
        <v>9.3531659669572775E-2</v>
      </c>
      <c r="D43" s="459">
        <v>9.9149997294166292E-2</v>
      </c>
      <c r="E43" s="459">
        <v>0.10502844702745739</v>
      </c>
      <c r="F43" s="459">
        <v>0.11119640749930548</v>
      </c>
      <c r="G43" s="446">
        <v>0.11768819258771868</v>
      </c>
      <c r="H43" s="459">
        <v>0.12454416897500131</v>
      </c>
      <c r="I43" s="459">
        <v>0.13181223568084555</v>
      </c>
      <c r="J43" s="459">
        <v>0.13954977459151796</v>
      </c>
      <c r="K43" s="459">
        <v>0.14782626066961968</v>
      </c>
      <c r="L43" s="460">
        <v>0.15672681347695683</v>
      </c>
    </row>
    <row r="44" spans="1:12">
      <c r="A44" s="457">
        <f t="shared" si="3"/>
        <v>4.7499999999999987E-2</v>
      </c>
      <c r="B44" s="459">
        <v>9.1847291061795344E-2</v>
      </c>
      <c r="C44" s="459">
        <v>9.7174320488170318E-2</v>
      </c>
      <c r="D44" s="459">
        <v>0.1027356280861198</v>
      </c>
      <c r="E44" s="459">
        <v>0.10855641311783404</v>
      </c>
      <c r="F44" s="459">
        <v>0.11466587851175114</v>
      </c>
      <c r="G44" s="446">
        <v>0.12109811005515181</v>
      </c>
      <c r="H44" s="459">
        <v>0.12789320588313235</v>
      </c>
      <c r="I44" s="459">
        <v>0.13509874548466794</v>
      </c>
      <c r="J44" s="459">
        <v>0.14277172632813229</v>
      </c>
      <c r="K44" s="459">
        <v>0.15098115546770563</v>
      </c>
      <c r="L44" s="460">
        <v>0.15981157582377992</v>
      </c>
    </row>
    <row r="45" spans="1:12">
      <c r="A45" s="457">
        <f t="shared" si="3"/>
        <v>4.4999999999999984E-2</v>
      </c>
      <c r="B45" s="459">
        <v>9.57519525813606E-2</v>
      </c>
      <c r="C45" s="459">
        <v>0.10102215491591138</v>
      </c>
      <c r="D45" s="459">
        <v>0.10652607763022282</v>
      </c>
      <c r="E45" s="459">
        <v>0.11228874600808281</v>
      </c>
      <c r="F45" s="459">
        <v>0.11833916146790457</v>
      </c>
      <c r="G45" s="446">
        <v>0.12471117417943001</v>
      </c>
      <c r="H45" s="459">
        <v>0.13144460405603131</v>
      </c>
      <c r="I45" s="459">
        <v>0.13858669865756679</v>
      </c>
      <c r="J45" s="459">
        <v>0.14619405512911499</v>
      </c>
      <c r="K45" s="459">
        <v>0.15433519212381919</v>
      </c>
      <c r="L45" s="460">
        <v>0.16309404932615656</v>
      </c>
    </row>
    <row r="46" spans="1:12">
      <c r="A46" s="457">
        <f t="shared" si="3"/>
        <v>4.2499999999999982E-2</v>
      </c>
      <c r="B46" s="459">
        <v>9.9886696050957902E-2</v>
      </c>
      <c r="C46" s="459">
        <v>0.10509977761693978</v>
      </c>
      <c r="D46" s="459">
        <v>0.11054592687290432</v>
      </c>
      <c r="E46" s="459">
        <v>0.11624999004303738</v>
      </c>
      <c r="F46" s="459">
        <v>0.12224076046956434</v>
      </c>
      <c r="G46" s="446">
        <v>0.12855184430089661</v>
      </c>
      <c r="H46" s="459">
        <v>0.13522277251976811</v>
      </c>
      <c r="I46" s="459">
        <v>0.14230044711573187</v>
      </c>
      <c r="J46" s="459">
        <v>0.1498410474842804</v>
      </c>
      <c r="K46" s="459">
        <v>0.15791258148895149</v>
      </c>
      <c r="L46" s="460">
        <v>0.16659835657505306</v>
      </c>
    </row>
    <row r="47" spans="1:12">
      <c r="A47" s="457">
        <f t="shared" si="3"/>
        <v>3.999999999999998E-2</v>
      </c>
      <c r="B47" s="459">
        <v>0.10428078366504767</v>
      </c>
      <c r="C47" s="459">
        <v>0.10943641707789209</v>
      </c>
      <c r="D47" s="459">
        <v>0.11482436797792128</v>
      </c>
      <c r="E47" s="459">
        <v>0.12046929772342296</v>
      </c>
      <c r="F47" s="459">
        <v>0.12639978418326603</v>
      </c>
      <c r="G47" s="446">
        <v>0.13264918011137361</v>
      </c>
      <c r="H47" s="459">
        <v>0.13925671570027021</v>
      </c>
      <c r="I47" s="459">
        <v>0.14626893233825333</v>
      </c>
      <c r="J47" s="459">
        <v>0.15374157253697551</v>
      </c>
      <c r="K47" s="459">
        <v>0.1617421088453439</v>
      </c>
      <c r="L47" s="460">
        <v>0.17035318474457095</v>
      </c>
    </row>
    <row r="48" spans="1:12">
      <c r="A48" s="457">
        <f t="shared" si="3"/>
        <v>3.7499999999999978E-2</v>
      </c>
      <c r="B48" s="459">
        <v>0.10896931318997072</v>
      </c>
      <c r="C48" s="459">
        <v>0.11406713505854782</v>
      </c>
      <c r="D48" s="459">
        <v>0.11939642361868374</v>
      </c>
      <c r="E48" s="459">
        <v>0.12498164875992823</v>
      </c>
      <c r="F48" s="459">
        <v>0.13085116456008361</v>
      </c>
      <c r="G48" s="446">
        <v>0.13703805992397977</v>
      </c>
      <c r="H48" s="459">
        <v>0.1435812511029988</v>
      </c>
      <c r="I48" s="459">
        <v>0.15052690228586618</v>
      </c>
      <c r="J48" s="459">
        <v>0.157930298032251</v>
      </c>
      <c r="K48" s="459">
        <v>0.16585834862460791</v>
      </c>
      <c r="L48" s="460">
        <v>0.17439299875563763</v>
      </c>
    </row>
    <row r="49" spans="1:16" ht="13.5" thickBot="1">
      <c r="A49" s="458">
        <f t="shared" si="3"/>
        <v>3.4999999999999976E-2</v>
      </c>
      <c r="B49" s="461">
        <v>0.11399486649443302</v>
      </c>
      <c r="C49" s="461">
        <v>0.11903447512419962</v>
      </c>
      <c r="D49" s="461">
        <v>0.12430459542996508</v>
      </c>
      <c r="E49" s="461">
        <v>0.12982949834485891</v>
      </c>
      <c r="F49" s="461">
        <v>0.13563730480732428</v>
      </c>
      <c r="G49" s="450">
        <v>0.14176082819971936</v>
      </c>
      <c r="H49" s="461">
        <v>0.14823865621790455</v>
      </c>
      <c r="I49" s="461">
        <v>0.15511655746841368</v>
      </c>
      <c r="J49" s="461">
        <v>0.16244933528096017</v>
      </c>
      <c r="K49" s="461">
        <v>0.17030330793833337</v>
      </c>
      <c r="L49" s="462">
        <v>0.17875968295929834</v>
      </c>
    </row>
    <row r="51" spans="1:16">
      <c r="A51" s="1"/>
      <c r="B51" s="1"/>
      <c r="C51" s="1"/>
      <c r="D51" s="1"/>
      <c r="E51" s="1"/>
      <c r="F51" s="1"/>
      <c r="G51" s="1"/>
      <c r="H51" s="1"/>
      <c r="I51" s="1"/>
      <c r="J51" s="1"/>
      <c r="K51" s="1"/>
      <c r="L51" s="1"/>
      <c r="M51" s="1"/>
      <c r="N51" s="1"/>
      <c r="O51" s="1"/>
      <c r="P51" s="1"/>
    </row>
    <row r="52" spans="1:16" ht="18">
      <c r="A52" s="478"/>
      <c r="B52" s="479"/>
      <c r="C52" s="479"/>
      <c r="D52" s="479"/>
      <c r="E52" s="479"/>
      <c r="F52" s="479"/>
      <c r="G52" s="479"/>
      <c r="H52" s="479"/>
      <c r="I52" s="479"/>
      <c r="J52" s="479"/>
      <c r="K52" s="479"/>
      <c r="L52" s="479"/>
      <c r="M52" s="1"/>
      <c r="N52" s="1"/>
      <c r="O52" s="1"/>
      <c r="P52" s="1"/>
    </row>
    <row r="53" spans="1:16" ht="18">
      <c r="A53" s="480"/>
      <c r="B53" s="1"/>
      <c r="C53" s="1"/>
      <c r="D53" s="1"/>
      <c r="E53" s="1"/>
      <c r="F53" s="1"/>
      <c r="G53" s="1"/>
      <c r="H53" s="1"/>
      <c r="I53" s="1"/>
      <c r="J53" s="1"/>
      <c r="K53" s="1"/>
      <c r="L53" s="1"/>
      <c r="M53" s="1"/>
      <c r="N53" s="1"/>
      <c r="O53" s="1"/>
      <c r="P53" s="1"/>
    </row>
    <row r="54" spans="1:16">
      <c r="A54" s="1"/>
      <c r="B54" s="1"/>
      <c r="C54" s="1"/>
      <c r="D54" s="1"/>
      <c r="E54" s="1"/>
      <c r="F54" s="1"/>
      <c r="G54" s="1"/>
      <c r="H54" s="1"/>
      <c r="I54" s="1"/>
      <c r="J54" s="1"/>
      <c r="K54" s="1"/>
      <c r="L54" s="1"/>
      <c r="M54" s="1"/>
      <c r="N54" s="1"/>
      <c r="O54" s="1"/>
      <c r="P54" s="1"/>
    </row>
    <row r="55" spans="1:16">
      <c r="A55" s="439"/>
      <c r="B55" s="1"/>
      <c r="C55" s="1"/>
      <c r="D55" s="1"/>
      <c r="E55" s="1"/>
      <c r="F55" s="1"/>
      <c r="G55" s="1"/>
      <c r="H55" s="1"/>
      <c r="I55" s="1"/>
      <c r="J55" s="1"/>
      <c r="K55" s="1"/>
      <c r="L55" s="1"/>
      <c r="M55" s="1"/>
      <c r="N55" s="1"/>
      <c r="O55" s="1"/>
      <c r="P55" s="1"/>
    </row>
    <row r="56" spans="1:16">
      <c r="A56" s="439"/>
      <c r="B56" s="481"/>
      <c r="C56" s="1"/>
      <c r="D56" s="1"/>
      <c r="E56" s="1"/>
      <c r="F56" s="1"/>
      <c r="G56" s="1"/>
      <c r="H56" s="1"/>
      <c r="I56" s="1"/>
      <c r="J56" s="1"/>
      <c r="K56" s="1"/>
      <c r="L56" s="1"/>
      <c r="M56" s="1"/>
      <c r="N56" s="1"/>
      <c r="O56" s="1"/>
      <c r="P56" s="1"/>
    </row>
    <row r="57" spans="1:16">
      <c r="A57" s="439"/>
      <c r="B57" s="482"/>
      <c r="C57" s="1"/>
      <c r="D57" s="1"/>
      <c r="E57" s="1"/>
      <c r="F57" s="1"/>
      <c r="G57" s="1"/>
      <c r="H57" s="1"/>
      <c r="I57" s="1"/>
      <c r="J57" s="1"/>
      <c r="K57" s="1"/>
      <c r="L57" s="1"/>
      <c r="M57" s="1"/>
      <c r="N57" s="1"/>
      <c r="O57" s="1"/>
      <c r="P57" s="1"/>
    </row>
    <row r="58" spans="1:16">
      <c r="A58" s="1"/>
      <c r="B58" s="483"/>
      <c r="C58" s="1"/>
      <c r="D58" s="1"/>
      <c r="E58" s="1"/>
      <c r="F58" s="1"/>
      <c r="G58" s="1"/>
      <c r="H58" s="1"/>
      <c r="I58" s="1"/>
      <c r="J58" s="1"/>
      <c r="K58" s="1"/>
      <c r="L58" s="1"/>
      <c r="M58" s="1"/>
      <c r="N58" s="1"/>
      <c r="O58" s="1"/>
      <c r="P58" s="1"/>
    </row>
    <row r="59" spans="1:16">
      <c r="A59" s="1"/>
      <c r="B59" s="1"/>
      <c r="C59" s="1"/>
      <c r="D59" s="1"/>
      <c r="E59" s="1"/>
      <c r="F59" s="1"/>
      <c r="G59" s="1"/>
      <c r="H59" s="1"/>
      <c r="I59" s="1"/>
      <c r="J59" s="1"/>
      <c r="K59" s="1"/>
      <c r="L59" s="1"/>
      <c r="M59" s="1"/>
      <c r="N59" s="1"/>
      <c r="O59" s="1"/>
      <c r="P59" s="1"/>
    </row>
    <row r="60" spans="1:16">
      <c r="A60" s="482"/>
      <c r="B60" s="484"/>
      <c r="C60" s="484"/>
      <c r="D60" s="484"/>
      <c r="E60" s="484"/>
      <c r="F60" s="484"/>
      <c r="G60" s="484"/>
      <c r="H60" s="484"/>
      <c r="I60" s="484"/>
      <c r="J60" s="484"/>
      <c r="K60" s="1"/>
      <c r="L60" s="1"/>
      <c r="M60" s="1"/>
      <c r="N60" s="1"/>
      <c r="O60" s="1"/>
      <c r="P60" s="1"/>
    </row>
    <row r="61" spans="1:16">
      <c r="A61" s="1"/>
      <c r="B61" s="459"/>
      <c r="C61" s="459"/>
      <c r="D61" s="459"/>
      <c r="E61" s="459"/>
      <c r="F61" s="459"/>
      <c r="G61" s="459"/>
      <c r="H61" s="459"/>
      <c r="I61" s="459"/>
      <c r="J61" s="459"/>
      <c r="K61" s="1"/>
      <c r="L61" s="1"/>
      <c r="M61" s="1"/>
      <c r="N61" s="1"/>
      <c r="O61" s="1"/>
      <c r="P61" s="1"/>
    </row>
    <row r="62" spans="1:16">
      <c r="A62" s="1"/>
      <c r="B62" s="459"/>
      <c r="C62" s="459"/>
      <c r="D62" s="459"/>
      <c r="E62" s="459"/>
      <c r="F62" s="459"/>
      <c r="G62" s="459"/>
      <c r="H62" s="459"/>
      <c r="I62" s="459"/>
      <c r="J62" s="459"/>
      <c r="K62" s="1"/>
      <c r="L62" s="1"/>
      <c r="M62" s="1"/>
      <c r="N62" s="1"/>
      <c r="O62" s="1"/>
      <c r="P62" s="1"/>
    </row>
    <row r="63" spans="1:16">
      <c r="A63" s="1"/>
      <c r="B63" s="459"/>
      <c r="C63" s="459"/>
      <c r="D63" s="459"/>
      <c r="E63" s="459"/>
      <c r="F63" s="459"/>
      <c r="G63" s="459"/>
      <c r="H63" s="459"/>
      <c r="I63" s="459"/>
      <c r="J63" s="459"/>
      <c r="K63" s="1"/>
      <c r="L63" s="1"/>
      <c r="M63" s="1"/>
      <c r="N63" s="1"/>
      <c r="O63" s="1"/>
      <c r="P63" s="1"/>
    </row>
    <row r="64" spans="1:16">
      <c r="A64" s="1"/>
      <c r="B64" s="459"/>
      <c r="C64" s="459"/>
      <c r="D64" s="459"/>
      <c r="E64" s="459"/>
      <c r="F64" s="459"/>
      <c r="G64" s="459"/>
      <c r="H64" s="459"/>
      <c r="I64" s="459"/>
      <c r="J64" s="459"/>
      <c r="K64" s="1"/>
      <c r="L64" s="1"/>
      <c r="M64" s="1"/>
      <c r="N64" s="1"/>
      <c r="O64" s="1"/>
      <c r="P64" s="1"/>
    </row>
    <row r="65" spans="1:16">
      <c r="A65" s="1"/>
      <c r="B65" s="459"/>
      <c r="C65" s="459"/>
      <c r="D65" s="459"/>
      <c r="E65" s="459"/>
      <c r="F65" s="459"/>
      <c r="G65" s="459"/>
      <c r="H65" s="459"/>
      <c r="I65" s="459"/>
      <c r="J65" s="459"/>
      <c r="K65" s="1"/>
      <c r="L65" s="1"/>
      <c r="M65" s="1"/>
      <c r="N65" s="1"/>
      <c r="O65" s="1"/>
      <c r="P65" s="1"/>
    </row>
    <row r="66" spans="1:16">
      <c r="A66" s="1"/>
      <c r="B66" s="459"/>
      <c r="C66" s="459"/>
      <c r="D66" s="459"/>
      <c r="E66" s="459"/>
      <c r="F66" s="459"/>
      <c r="G66" s="459"/>
      <c r="H66" s="459"/>
      <c r="I66" s="459"/>
      <c r="J66" s="459"/>
      <c r="K66" s="1"/>
      <c r="L66" s="1"/>
      <c r="M66" s="1"/>
      <c r="N66" s="1"/>
      <c r="O66" s="1"/>
      <c r="P66" s="1"/>
    </row>
    <row r="67" spans="1:16">
      <c r="A67" s="1"/>
      <c r="B67" s="459"/>
      <c r="C67" s="459"/>
      <c r="D67" s="459"/>
      <c r="E67" s="459"/>
      <c r="F67" s="459"/>
      <c r="G67" s="459"/>
      <c r="H67" s="459"/>
      <c r="I67" s="459"/>
      <c r="J67" s="459"/>
      <c r="K67" s="1"/>
      <c r="L67" s="1"/>
      <c r="M67" s="1"/>
      <c r="N67" s="1"/>
      <c r="O67" s="1"/>
      <c r="P67" s="1"/>
    </row>
    <row r="68" spans="1:16">
      <c r="A68" s="1"/>
      <c r="B68" s="459"/>
      <c r="C68" s="459"/>
      <c r="D68" s="459"/>
      <c r="E68" s="459"/>
      <c r="F68" s="459"/>
      <c r="G68" s="459"/>
      <c r="H68" s="459"/>
      <c r="I68" s="459"/>
      <c r="J68" s="459"/>
      <c r="K68" s="1"/>
      <c r="L68" s="1"/>
      <c r="M68" s="1"/>
      <c r="N68" s="1"/>
      <c r="O68" s="1"/>
      <c r="P68" s="1"/>
    </row>
    <row r="69" spans="1:16">
      <c r="A69" s="1"/>
      <c r="B69" s="459"/>
      <c r="C69" s="459"/>
      <c r="D69" s="459"/>
      <c r="E69" s="459"/>
      <c r="F69" s="459"/>
      <c r="G69" s="459"/>
      <c r="H69" s="459"/>
      <c r="I69" s="459"/>
      <c r="J69" s="459"/>
      <c r="K69" s="1"/>
      <c r="L69" s="1"/>
      <c r="M69" s="1"/>
      <c r="N69" s="1"/>
      <c r="O69" s="1"/>
      <c r="P69" s="1"/>
    </row>
    <row r="70" spans="1:16">
      <c r="A70" s="1"/>
      <c r="B70" s="459"/>
      <c r="C70" s="459"/>
      <c r="D70" s="459"/>
      <c r="E70" s="459"/>
      <c r="F70" s="459"/>
      <c r="G70" s="459"/>
      <c r="H70" s="459"/>
      <c r="I70" s="459"/>
      <c r="J70" s="459"/>
      <c r="K70" s="1"/>
      <c r="L70" s="1"/>
      <c r="M70" s="1"/>
      <c r="N70" s="1"/>
      <c r="O70" s="1"/>
      <c r="P70" s="1"/>
    </row>
    <row r="71" spans="1:16">
      <c r="A71" s="1"/>
      <c r="B71" s="459"/>
      <c r="C71" s="459"/>
      <c r="D71" s="459"/>
      <c r="E71" s="459"/>
      <c r="F71" s="459"/>
      <c r="G71" s="459"/>
      <c r="H71" s="459"/>
      <c r="I71" s="459"/>
      <c r="J71" s="459"/>
      <c r="K71" s="1"/>
      <c r="L71" s="1"/>
      <c r="M71" s="1"/>
      <c r="N71" s="1"/>
      <c r="O71" s="1"/>
      <c r="P71" s="1"/>
    </row>
    <row r="72" spans="1:16">
      <c r="A72" s="1"/>
      <c r="B72" s="459"/>
      <c r="C72" s="459"/>
      <c r="D72" s="459"/>
      <c r="E72" s="459"/>
      <c r="F72" s="459"/>
      <c r="G72" s="459"/>
      <c r="H72" s="459"/>
      <c r="I72" s="459"/>
      <c r="J72" s="459"/>
      <c r="K72" s="1"/>
      <c r="L72" s="1"/>
      <c r="M72" s="1"/>
      <c r="N72" s="1"/>
      <c r="O72" s="1"/>
      <c r="P72" s="1"/>
    </row>
    <row r="73" spans="1:16">
      <c r="A73" s="1"/>
      <c r="B73" s="459"/>
      <c r="C73" s="459"/>
      <c r="D73" s="459"/>
      <c r="E73" s="459"/>
      <c r="F73" s="459"/>
      <c r="G73" s="459"/>
      <c r="H73" s="459"/>
      <c r="I73" s="459"/>
      <c r="J73" s="459"/>
      <c r="K73" s="1"/>
      <c r="L73" s="1"/>
      <c r="M73" s="1"/>
      <c r="N73" s="1"/>
      <c r="O73" s="1"/>
      <c r="P73" s="1"/>
    </row>
    <row r="74" spans="1:16">
      <c r="A74" s="1"/>
      <c r="B74" s="459"/>
      <c r="C74" s="459"/>
      <c r="D74" s="459"/>
      <c r="E74" s="459"/>
      <c r="F74" s="459"/>
      <c r="G74" s="459"/>
      <c r="H74" s="459"/>
      <c r="I74" s="459"/>
      <c r="J74" s="459"/>
      <c r="K74" s="1"/>
      <c r="L74" s="1"/>
      <c r="M74" s="1"/>
      <c r="N74" s="1"/>
      <c r="O74" s="1"/>
      <c r="P74" s="1"/>
    </row>
    <row r="75" spans="1:16">
      <c r="A75" s="1"/>
      <c r="B75" s="1"/>
      <c r="C75" s="1"/>
      <c r="D75" s="1"/>
      <c r="E75" s="1"/>
      <c r="F75" s="1"/>
      <c r="G75" s="1"/>
      <c r="H75" s="1"/>
      <c r="I75" s="1"/>
      <c r="J75" s="1"/>
      <c r="K75" s="1"/>
      <c r="L75" s="1"/>
      <c r="M75" s="1"/>
      <c r="N75" s="1"/>
      <c r="O75" s="1"/>
      <c r="P75" s="1"/>
    </row>
    <row r="76" spans="1:16">
      <c r="A76" s="1"/>
      <c r="B76" s="1"/>
      <c r="C76" s="1"/>
      <c r="D76" s="1"/>
      <c r="E76" s="1"/>
      <c r="F76" s="1"/>
      <c r="G76" s="1"/>
      <c r="H76" s="1"/>
      <c r="I76" s="1"/>
      <c r="J76" s="1"/>
      <c r="K76" s="1"/>
      <c r="L76" s="1"/>
      <c r="M76" s="1"/>
      <c r="N76" s="1"/>
      <c r="O76" s="1"/>
      <c r="P76" s="1"/>
    </row>
    <row r="77" spans="1:16">
      <c r="A77" s="1"/>
      <c r="B77" s="1"/>
      <c r="C77" s="1"/>
      <c r="D77" s="1"/>
      <c r="E77" s="1"/>
      <c r="F77" s="1"/>
      <c r="G77" s="1"/>
      <c r="H77" s="1"/>
      <c r="I77" s="1"/>
      <c r="J77" s="1"/>
      <c r="K77" s="1"/>
      <c r="L77" s="1"/>
      <c r="M77" s="1"/>
      <c r="N77" s="1"/>
      <c r="O77" s="1"/>
      <c r="P77" s="1"/>
    </row>
    <row r="78" spans="1:16">
      <c r="A78" s="439"/>
      <c r="B78" s="1"/>
      <c r="C78" s="1"/>
      <c r="D78" s="1"/>
      <c r="E78" s="1"/>
      <c r="F78" s="1"/>
      <c r="G78" s="1"/>
      <c r="H78" s="1"/>
      <c r="I78" s="1"/>
      <c r="J78" s="1"/>
      <c r="K78" s="1"/>
      <c r="L78" s="1"/>
      <c r="M78" s="1"/>
      <c r="N78" s="1"/>
      <c r="O78" s="1"/>
      <c r="P78" s="1"/>
    </row>
    <row r="79" spans="1:16">
      <c r="A79" s="439"/>
      <c r="B79" s="485"/>
      <c r="C79" s="1"/>
      <c r="D79" s="1"/>
      <c r="E79" s="1"/>
      <c r="F79" s="1"/>
      <c r="G79" s="1"/>
      <c r="H79" s="1"/>
      <c r="I79" s="1"/>
      <c r="J79" s="1"/>
      <c r="K79" s="1"/>
      <c r="L79" s="1"/>
      <c r="M79" s="1"/>
      <c r="N79" s="1"/>
      <c r="O79" s="1"/>
      <c r="P79" s="1"/>
    </row>
    <row r="80" spans="1:16">
      <c r="A80" s="439"/>
      <c r="B80" s="482"/>
      <c r="C80" s="1"/>
      <c r="D80" s="1"/>
      <c r="E80" s="1"/>
      <c r="F80" s="1"/>
      <c r="G80" s="1"/>
      <c r="H80" s="1"/>
      <c r="I80" s="1"/>
      <c r="J80" s="1"/>
      <c r="K80" s="1"/>
      <c r="L80" s="1"/>
      <c r="M80" s="1"/>
      <c r="N80" s="1"/>
      <c r="O80" s="1"/>
      <c r="P80" s="1"/>
    </row>
    <row r="81" spans="1:16">
      <c r="A81" s="1"/>
      <c r="B81" s="483"/>
      <c r="C81" s="1"/>
      <c r="D81" s="1"/>
      <c r="E81" s="1"/>
      <c r="F81" s="1"/>
      <c r="G81" s="1"/>
      <c r="H81" s="1"/>
      <c r="I81" s="1"/>
      <c r="J81" s="1"/>
      <c r="K81" s="1"/>
      <c r="L81" s="1"/>
      <c r="M81" s="1"/>
      <c r="N81" s="1"/>
      <c r="O81" s="1"/>
      <c r="P81" s="1"/>
    </row>
    <row r="82" spans="1:16">
      <c r="A82" s="1"/>
      <c r="B82" s="1"/>
      <c r="C82" s="1"/>
      <c r="D82" s="1"/>
      <c r="E82" s="1"/>
      <c r="F82" s="1"/>
      <c r="G82" s="1"/>
      <c r="H82" s="1"/>
      <c r="I82" s="1"/>
      <c r="J82" s="1"/>
      <c r="K82" s="1"/>
      <c r="L82" s="1"/>
      <c r="M82" s="1"/>
      <c r="N82" s="1"/>
      <c r="O82" s="1"/>
      <c r="P82" s="1"/>
    </row>
    <row r="83" spans="1:16">
      <c r="A83" s="482"/>
      <c r="B83" s="486"/>
      <c r="C83" s="486"/>
      <c r="D83" s="486"/>
      <c r="E83" s="486"/>
      <c r="F83" s="486"/>
      <c r="G83" s="486"/>
      <c r="H83" s="486"/>
      <c r="I83" s="486"/>
      <c r="J83" s="486"/>
      <c r="K83" s="486"/>
      <c r="L83" s="486"/>
      <c r="M83" s="1"/>
      <c r="N83" s="1"/>
      <c r="O83" s="1"/>
      <c r="P83" s="1"/>
    </row>
    <row r="84" spans="1:16">
      <c r="A84" s="487"/>
      <c r="B84" s="459"/>
      <c r="C84" s="459"/>
      <c r="D84" s="459"/>
      <c r="E84" s="459"/>
      <c r="F84" s="459"/>
      <c r="G84" s="459"/>
      <c r="H84" s="459"/>
      <c r="I84" s="459"/>
      <c r="J84" s="459"/>
      <c r="K84" s="459"/>
      <c r="L84" s="459"/>
      <c r="M84" s="1"/>
      <c r="N84" s="1"/>
      <c r="O84" s="1"/>
      <c r="P84" s="1"/>
    </row>
    <row r="85" spans="1:16">
      <c r="A85" s="487"/>
      <c r="B85" s="459"/>
      <c r="C85" s="459"/>
      <c r="D85" s="459"/>
      <c r="E85" s="459"/>
      <c r="F85" s="459"/>
      <c r="G85" s="459"/>
      <c r="H85" s="459"/>
      <c r="I85" s="459"/>
      <c r="J85" s="459"/>
      <c r="K85" s="459"/>
      <c r="L85" s="459"/>
      <c r="M85" s="1"/>
      <c r="N85" s="1"/>
      <c r="O85" s="1"/>
      <c r="P85" s="1"/>
    </row>
    <row r="86" spans="1:16">
      <c r="A86" s="487"/>
      <c r="B86" s="459"/>
      <c r="C86" s="459"/>
      <c r="D86" s="459"/>
      <c r="E86" s="459"/>
      <c r="F86" s="459"/>
      <c r="G86" s="459"/>
      <c r="H86" s="459"/>
      <c r="I86" s="459"/>
      <c r="J86" s="459"/>
      <c r="K86" s="459"/>
      <c r="L86" s="459"/>
      <c r="M86" s="1"/>
      <c r="N86" s="1"/>
      <c r="O86" s="1"/>
      <c r="P86" s="1"/>
    </row>
    <row r="87" spans="1:16">
      <c r="A87" s="487"/>
      <c r="B87" s="459"/>
      <c r="C87" s="459"/>
      <c r="D87" s="459"/>
      <c r="E87" s="459"/>
      <c r="F87" s="459"/>
      <c r="G87" s="459"/>
      <c r="H87" s="459"/>
      <c r="I87" s="459"/>
      <c r="J87" s="459"/>
      <c r="K87" s="459"/>
      <c r="L87" s="459"/>
      <c r="M87" s="1"/>
      <c r="N87" s="1"/>
      <c r="O87" s="1"/>
      <c r="P87" s="1"/>
    </row>
    <row r="88" spans="1:16">
      <c r="A88" s="487"/>
      <c r="B88" s="459"/>
      <c r="C88" s="459"/>
      <c r="D88" s="459"/>
      <c r="E88" s="459"/>
      <c r="F88" s="459"/>
      <c r="G88" s="459"/>
      <c r="H88" s="459"/>
      <c r="I88" s="459"/>
      <c r="J88" s="459"/>
      <c r="K88" s="459"/>
      <c r="L88" s="459"/>
      <c r="M88" s="1"/>
      <c r="N88" s="1"/>
      <c r="O88" s="1"/>
      <c r="P88" s="1"/>
    </row>
    <row r="89" spans="1:16">
      <c r="A89" s="487"/>
      <c r="B89" s="459"/>
      <c r="C89" s="459"/>
      <c r="D89" s="459"/>
      <c r="E89" s="459"/>
      <c r="F89" s="459"/>
      <c r="G89" s="459"/>
      <c r="H89" s="459"/>
      <c r="I89" s="459"/>
      <c r="J89" s="459"/>
      <c r="K89" s="459"/>
      <c r="L89" s="459"/>
      <c r="M89" s="1"/>
      <c r="N89" s="1"/>
      <c r="O89" s="1"/>
      <c r="P89" s="1"/>
    </row>
    <row r="90" spans="1:16">
      <c r="A90" s="487"/>
      <c r="B90" s="459"/>
      <c r="C90" s="459"/>
      <c r="D90" s="459"/>
      <c r="E90" s="459"/>
      <c r="F90" s="459"/>
      <c r="G90" s="459"/>
      <c r="H90" s="459"/>
      <c r="I90" s="459"/>
      <c r="J90" s="459"/>
      <c r="K90" s="459"/>
      <c r="L90" s="459"/>
      <c r="M90" s="1"/>
      <c r="N90" s="1"/>
      <c r="O90" s="1"/>
      <c r="P90" s="1"/>
    </row>
    <row r="91" spans="1:16">
      <c r="A91" s="487"/>
      <c r="B91" s="459"/>
      <c r="C91" s="459"/>
      <c r="D91" s="459"/>
      <c r="E91" s="459"/>
      <c r="F91" s="459"/>
      <c r="G91" s="459"/>
      <c r="H91" s="459"/>
      <c r="I91" s="459"/>
      <c r="J91" s="459"/>
      <c r="K91" s="459"/>
      <c r="L91" s="459"/>
      <c r="M91" s="1"/>
      <c r="N91" s="1"/>
      <c r="O91" s="1"/>
      <c r="P91" s="1"/>
    </row>
    <row r="92" spans="1:16">
      <c r="A92" s="487"/>
      <c r="B92" s="459"/>
      <c r="C92" s="459"/>
      <c r="D92" s="459"/>
      <c r="E92" s="459"/>
      <c r="F92" s="459"/>
      <c r="G92" s="459"/>
      <c r="H92" s="459"/>
      <c r="I92" s="459"/>
      <c r="J92" s="459"/>
      <c r="K92" s="459"/>
      <c r="L92" s="459"/>
      <c r="M92" s="1"/>
      <c r="N92" s="1"/>
      <c r="O92" s="1"/>
      <c r="P92" s="1"/>
    </row>
    <row r="93" spans="1:16">
      <c r="A93" s="487"/>
      <c r="B93" s="459"/>
      <c r="C93" s="459"/>
      <c r="D93" s="459"/>
      <c r="E93" s="459"/>
      <c r="F93" s="459"/>
      <c r="G93" s="459"/>
      <c r="H93" s="459"/>
      <c r="I93" s="459"/>
      <c r="J93" s="459"/>
      <c r="K93" s="459"/>
      <c r="L93" s="459"/>
      <c r="M93" s="1"/>
      <c r="N93" s="1"/>
      <c r="O93" s="1"/>
      <c r="P93" s="1"/>
    </row>
    <row r="94" spans="1:16">
      <c r="A94" s="487"/>
      <c r="B94" s="459"/>
      <c r="C94" s="459"/>
      <c r="D94" s="459"/>
      <c r="E94" s="459"/>
      <c r="F94" s="459"/>
      <c r="G94" s="459"/>
      <c r="H94" s="459"/>
      <c r="I94" s="459"/>
      <c r="J94" s="459"/>
      <c r="K94" s="459"/>
      <c r="L94" s="459"/>
      <c r="M94" s="1"/>
      <c r="N94" s="1"/>
      <c r="O94" s="1"/>
      <c r="P94" s="1"/>
    </row>
    <row r="95" spans="1:16">
      <c r="A95" s="487"/>
      <c r="B95" s="459"/>
      <c r="C95" s="459"/>
      <c r="D95" s="459"/>
      <c r="E95" s="459"/>
      <c r="F95" s="459"/>
      <c r="G95" s="459"/>
      <c r="H95" s="459"/>
      <c r="I95" s="459"/>
      <c r="J95" s="459"/>
      <c r="K95" s="459"/>
      <c r="L95" s="459"/>
      <c r="M95" s="1"/>
      <c r="N95" s="1"/>
      <c r="O95" s="1"/>
      <c r="P95" s="1"/>
    </row>
    <row r="96" spans="1:16">
      <c r="A96" s="487"/>
      <c r="B96" s="459"/>
      <c r="C96" s="459"/>
      <c r="D96" s="459"/>
      <c r="E96" s="459"/>
      <c r="F96" s="459"/>
      <c r="G96" s="459"/>
      <c r="H96" s="459"/>
      <c r="I96" s="459"/>
      <c r="J96" s="459"/>
      <c r="K96" s="459"/>
      <c r="L96" s="459"/>
      <c r="M96" s="1"/>
      <c r="N96" s="1"/>
      <c r="O96" s="1"/>
      <c r="P96" s="1"/>
    </row>
    <row r="97" spans="1:16">
      <c r="A97" s="487"/>
      <c r="B97" s="459"/>
      <c r="C97" s="459"/>
      <c r="D97" s="459"/>
      <c r="E97" s="459"/>
      <c r="F97" s="459"/>
      <c r="G97" s="459"/>
      <c r="H97" s="459"/>
      <c r="I97" s="459"/>
      <c r="J97" s="459"/>
      <c r="K97" s="459"/>
      <c r="L97" s="459"/>
      <c r="M97" s="1"/>
      <c r="N97" s="1"/>
      <c r="O97" s="1"/>
      <c r="P97" s="1"/>
    </row>
    <row r="98" spans="1:16">
      <c r="A98" s="487"/>
      <c r="B98" s="459"/>
      <c r="C98" s="459"/>
      <c r="D98" s="459"/>
      <c r="E98" s="459"/>
      <c r="F98" s="459"/>
      <c r="G98" s="459"/>
      <c r="H98" s="459"/>
      <c r="I98" s="459"/>
      <c r="J98" s="459"/>
      <c r="K98" s="459"/>
      <c r="L98" s="459"/>
      <c r="M98" s="1"/>
      <c r="N98" s="1"/>
      <c r="O98" s="1"/>
      <c r="P98" s="1"/>
    </row>
    <row r="99" spans="1:16">
      <c r="A99" s="1"/>
      <c r="B99" s="1"/>
      <c r="C99" s="1"/>
      <c r="D99" s="1"/>
      <c r="E99" s="1"/>
      <c r="F99" s="1"/>
      <c r="G99" s="1"/>
      <c r="H99" s="1"/>
      <c r="I99" s="1"/>
      <c r="J99" s="1"/>
      <c r="K99" s="1"/>
      <c r="L99" s="1"/>
      <c r="M99" s="1"/>
      <c r="N99" s="1"/>
      <c r="O99" s="1"/>
      <c r="P99" s="1"/>
    </row>
  </sheetData>
  <conditionalFormatting sqref="B10:J23">
    <cfRule type="colorScale" priority="4">
      <colorScale>
        <cfvo type="min"/>
        <cfvo type="percentile" val="50"/>
        <cfvo type="max"/>
        <color rgb="FFF8696B"/>
        <color rgb="FFFFEB84"/>
        <color rgb="FF63BE7B"/>
      </colorScale>
    </cfRule>
  </conditionalFormatting>
  <conditionalFormatting sqref="B35:L49">
    <cfRule type="colorScale" priority="3">
      <colorScale>
        <cfvo type="min"/>
        <cfvo type="percentile" val="50"/>
        <cfvo type="max"/>
        <color rgb="FFF8696B"/>
        <color rgb="FFFFEB84"/>
        <color rgb="FF63BE7B"/>
      </colorScale>
    </cfRule>
  </conditionalFormatting>
  <conditionalFormatting sqref="B61:J74">
    <cfRule type="colorScale" priority="2">
      <colorScale>
        <cfvo type="min"/>
        <cfvo type="percentile" val="50"/>
        <cfvo type="max"/>
        <color rgb="FFF8696B"/>
        <color rgb="FFFFEB84"/>
        <color rgb="FF63BE7B"/>
      </colorScale>
    </cfRule>
  </conditionalFormatting>
  <conditionalFormatting sqref="B84:L98">
    <cfRule type="colorScale" priority="1">
      <colorScale>
        <cfvo type="min"/>
        <cfvo type="percentile" val="50"/>
        <cfvo type="max"/>
        <color rgb="FFF8696B"/>
        <color rgb="FFFFEB84"/>
        <color rgb="FF63BE7B"/>
      </colorScale>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3</vt:i4>
      </vt:variant>
    </vt:vector>
  </HeadingPairs>
  <TitlesOfParts>
    <vt:vector size="12" baseType="lpstr">
      <vt:lpstr>Cover</vt:lpstr>
      <vt:lpstr>Hotel</vt:lpstr>
      <vt:lpstr>Hotel Operating Revenue</vt:lpstr>
      <vt:lpstr>Acquisition</vt:lpstr>
      <vt:lpstr>Assumptions</vt:lpstr>
      <vt:lpstr>CF 15y</vt:lpstr>
      <vt:lpstr>IRR 15y</vt:lpstr>
      <vt:lpstr>Amortization Table 15y</vt:lpstr>
      <vt:lpstr>Sensivity </vt:lpstr>
      <vt:lpstr>'Amortization Table 15y'!Zone_d_impression</vt:lpstr>
      <vt:lpstr>'Hotel Operating Revenue'!Zone_d_impression</vt:lpstr>
      <vt:lpstr>'IRR 15y'!Zone_d_impression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jazoulay</dc:creator>
  <cp:lastModifiedBy>Aniri Maguru</cp:lastModifiedBy>
  <cp:lastPrinted>2019-03-04T13:24:05Z</cp:lastPrinted>
  <dcterms:created xsi:type="dcterms:W3CDTF">2009-12-22T17:11:03Z</dcterms:created>
  <dcterms:modified xsi:type="dcterms:W3CDTF">2019-05-27T09:23:28Z</dcterms:modified>
</cp:coreProperties>
</file>