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always" codeName="ThisWorkbook" defaultThemeVersion="124226"/>
  <bookViews>
    <workbookView xWindow="240" yWindow="30" windowWidth="23655" windowHeight="9990" firstSheet="7" activeTab="14"/>
  </bookViews>
  <sheets>
    <sheet name="09 janvier 2019" sheetId="96" r:id="rId1"/>
    <sheet name="16 janvier 2019" sheetId="97" r:id="rId2"/>
    <sheet name="23 janvier 2019" sheetId="99" r:id="rId3"/>
    <sheet name="30 janvier 2019" sheetId="101" r:id="rId4"/>
    <sheet name="06 fevrier 2019" sheetId="102" r:id="rId5"/>
    <sheet name="13 fevrier 2019" sheetId="103" r:id="rId6"/>
    <sheet name="06 mars 2019" sheetId="104" r:id="rId7"/>
    <sheet name="13 mars 2019" sheetId="105" r:id="rId8"/>
    <sheet name="20 mars 2019" sheetId="107" r:id="rId9"/>
    <sheet name="27 mars 2019" sheetId="108" r:id="rId10"/>
    <sheet name="03 avril 2019" sheetId="109" r:id="rId11"/>
    <sheet name="10 avril 2019" sheetId="110" r:id="rId12"/>
    <sheet name="15 mai 2019" sheetId="111" r:id="rId13"/>
    <sheet name="22 mai 2019" sheetId="112" r:id="rId14"/>
    <sheet name="LISTE MERCREDIS 2019" sheetId="15" r:id="rId15"/>
    <sheet name="Feuil1" sheetId="37" r:id="rId16"/>
  </sheets>
  <externalReferences>
    <externalReference r:id="rId17"/>
    <externalReference r:id="rId18"/>
  </externalReferences>
  <definedNames>
    <definedName name="adherent" localSheetId="14">'LISTE MERCREDIS 2019'!$A$107:$A$320</definedName>
    <definedName name="Apres_midi">'LISTE MERCREDIS 2019'!$O$4:$O$326</definedName>
    <definedName name="ASSMAT">'LISTE MERCREDIS 2019'!$G$4:$G$326</definedName>
    <definedName name="COLL" localSheetId="10">'LISTE MERCREDIS 2019'!#REF!</definedName>
    <definedName name="COLL" localSheetId="4">'LISTE MERCREDIS 2019'!#REF!</definedName>
    <definedName name="COLL" localSheetId="6">'LISTE MERCREDIS 2019'!#REF!</definedName>
    <definedName name="COLL" localSheetId="0">'LISTE MERCREDIS 2019'!#REF!</definedName>
    <definedName name="COLL" localSheetId="11">'LISTE MERCREDIS 2019'!#REF!</definedName>
    <definedName name="COLL" localSheetId="5">'LISTE MERCREDIS 2019'!#REF!</definedName>
    <definedName name="COLL" localSheetId="7">'LISTE MERCREDIS 2019'!#REF!</definedName>
    <definedName name="COLL" localSheetId="12">'LISTE MERCREDIS 2019'!#REF!</definedName>
    <definedName name="COLL" localSheetId="1">'LISTE MERCREDIS 2019'!#REF!</definedName>
    <definedName name="COLL" localSheetId="8">'LISTE MERCREDIS 2019'!#REF!</definedName>
    <definedName name="COLL" localSheetId="13">'LISTE MERCREDIS 2019'!#REF!</definedName>
    <definedName name="COLL" localSheetId="2">'LISTE MERCREDIS 2019'!#REF!</definedName>
    <definedName name="COLL" localSheetId="9">'LISTE MERCREDIS 2019'!#REF!</definedName>
    <definedName name="COLL" localSheetId="3">'LISTE MERCREDIS 2019'!#REF!</definedName>
    <definedName name="COLL">'LISTE MERCREDIS 2019'!#REF!</definedName>
    <definedName name="Date_de_reference" localSheetId="10">'03 avril 2019'!$Y$3</definedName>
    <definedName name="Date_de_reference" localSheetId="4">'06 fevrier 2019'!$Y$3</definedName>
    <definedName name="Date_de_reference" localSheetId="6">'06 mars 2019'!$Y$3</definedName>
    <definedName name="Date_de_reference" localSheetId="0">'09 janvier 2019'!$Y$3</definedName>
    <definedName name="Date_de_reference" localSheetId="11">'10 avril 2019'!$Y$3</definedName>
    <definedName name="Date_de_reference" localSheetId="5">'13 fevrier 2019'!$Y$3</definedName>
    <definedName name="Date_de_reference" localSheetId="7">'13 mars 2019'!$Y$3</definedName>
    <definedName name="Date_de_reference" localSheetId="12">'15 mai 2019'!$Y$3</definedName>
    <definedName name="Date_de_reference" localSheetId="1">'16 janvier 2019'!$Y$3</definedName>
    <definedName name="Date_de_reference" localSheetId="8">'20 mars 2019'!$Y$3</definedName>
    <definedName name="Date_de_reference" localSheetId="13">'22 mai 2019'!$Y$3</definedName>
    <definedName name="Date_de_reference" localSheetId="2">'23 janvier 2019'!$Y$3</definedName>
    <definedName name="Date_de_reference" localSheetId="9">'27 mars 2019'!$Y$3</definedName>
    <definedName name="Date_de_reference" localSheetId="3">'30 janvier 2019'!$Y$3</definedName>
    <definedName name="Date_de_reference" localSheetId="14">'LISTE MERCREDIS 2019'!$Y$2</definedName>
    <definedName name="Date_du_jour" localSheetId="10">'03 avril 2019'!$C$2</definedName>
    <definedName name="Date_du_jour" localSheetId="4">'06 fevrier 2019'!$C$2</definedName>
    <definedName name="Date_du_jour" localSheetId="6">'06 mars 2019'!$C$2</definedName>
    <definedName name="Date_du_jour" localSheetId="0">'09 janvier 2019'!$C$2</definedName>
    <definedName name="Date_du_jour" localSheetId="11">'10 avril 2019'!$C$2</definedName>
    <definedName name="Date_du_jour" localSheetId="5">'13 fevrier 2019'!$C$2</definedName>
    <definedName name="Date_du_jour" localSheetId="7">'13 mars 2019'!$C$2</definedName>
    <definedName name="Date_du_jour" localSheetId="12">'15 mai 2019'!$C$2</definedName>
    <definedName name="Date_du_jour" localSheetId="1">'16 janvier 2019'!$C$2</definedName>
    <definedName name="Date_du_jour" localSheetId="8">'20 mars 2019'!$C$2</definedName>
    <definedName name="Date_du_jour" localSheetId="13">'22 mai 2019'!$C$2</definedName>
    <definedName name="Date_du_jour" localSheetId="2">'23 janvier 2019'!$C$2</definedName>
    <definedName name="Date_du_jour" localSheetId="9">'27 mars 2019'!$C$2</definedName>
    <definedName name="Date_du_jour" localSheetId="3">'30 janvier 2019'!$C$2</definedName>
    <definedName name="Date_du_jour" localSheetId="14">'LISTE MERCREDIS 2019'!$D$2</definedName>
    <definedName name="DATE_NAISSANCE" localSheetId="14">'LISTE MERCREDIS 2019'!$J$4:$J$326</definedName>
    <definedName name="Emprunt">'LISTE MERCREDIS 2019'!$Q$107:$Q$326</definedName>
    <definedName name="Feminin" localSheetId="14">'LISTE MERCREDIS 2019'!$H$4:$H$326</definedName>
    <definedName name="Inscrits_samedis" localSheetId="10">'LISTE MERCREDIS 2019'!$H$328:$I$328</definedName>
    <definedName name="Inscrits_samedis" localSheetId="4">'LISTE MERCREDIS 2019'!$H$328:$I$328</definedName>
    <definedName name="Inscrits_samedis" localSheetId="6">'LISTE MERCREDIS 2019'!$H$328:$I$328</definedName>
    <definedName name="Inscrits_samedis" localSheetId="0">'LISTE MERCREDIS 2019'!$H$328:$I$328</definedName>
    <definedName name="Inscrits_samedis" localSheetId="11">'LISTE MERCREDIS 2019'!$H$328:$I$328</definedName>
    <definedName name="Inscrits_samedis" localSheetId="5">'LISTE MERCREDIS 2019'!$H$328:$I$328</definedName>
    <definedName name="Inscrits_samedis" localSheetId="7">'LISTE MERCREDIS 2019'!$H$328:$I$328</definedName>
    <definedName name="Inscrits_samedis" localSheetId="12">'LISTE MERCREDIS 2019'!$H$328:$I$328</definedName>
    <definedName name="Inscrits_samedis" localSheetId="1">'LISTE MERCREDIS 2019'!$H$328:$I$328</definedName>
    <definedName name="Inscrits_samedis" localSheetId="8">'LISTE MERCREDIS 2019'!$H$328:$I$328</definedName>
    <definedName name="Inscrits_samedis" localSheetId="13">'LISTE MERCREDIS 2019'!$H$328:$I$328</definedName>
    <definedName name="Inscrits_samedis" localSheetId="2">'LISTE MERCREDIS 2019'!$H$328:$I$328</definedName>
    <definedName name="Inscrits_samedis" localSheetId="9">'LISTE MERCREDIS 2019'!$H$328:$I$328</definedName>
    <definedName name="Inscrits_samedis" localSheetId="3">'LISTE MERCREDIS 2019'!$H$328:$I$328</definedName>
    <definedName name="Inscrits_samedis" localSheetId="14">'LISTE MERCREDIS 2019'!$H$328:$I$328</definedName>
    <definedName name="JeuSurPlace">'LISTE MERCREDIS 2019'!$P$107:$P$326</definedName>
    <definedName name="JeuSurPlace_Et_Emprunt">'LISTE MERCREDIS 2019'!$R$107:$R$326</definedName>
    <definedName name="masculin" localSheetId="14">'LISTE MERCREDIS 2019'!$I$4:$I$326</definedName>
    <definedName name="matin">'LISTE MERCREDIS 2019'!$N$4:$N$326</definedName>
    <definedName name="nb_familles" localSheetId="14">'LISTE MERCREDIS 2019'!$B$323</definedName>
    <definedName name="nb_feminin" localSheetId="10">'LISTE MERCREDIS 2019'!$H$327</definedName>
    <definedName name="nb_feminin" localSheetId="4">'LISTE MERCREDIS 2019'!$H$327</definedName>
    <definedName name="nb_feminin" localSheetId="6">'LISTE MERCREDIS 2019'!$H$327</definedName>
    <definedName name="nb_feminin" localSheetId="0">'LISTE MERCREDIS 2019'!$H$327</definedName>
    <definedName name="nb_feminin" localSheetId="11">'LISTE MERCREDIS 2019'!$H$327</definedName>
    <definedName name="nb_feminin" localSheetId="5">'LISTE MERCREDIS 2019'!$H$327</definedName>
    <definedName name="nb_feminin" localSheetId="7">'LISTE MERCREDIS 2019'!$H$327</definedName>
    <definedName name="nb_feminin" localSheetId="12">'LISTE MERCREDIS 2019'!$H$327</definedName>
    <definedName name="nb_feminin" localSheetId="1">'LISTE MERCREDIS 2019'!$H$327</definedName>
    <definedName name="nb_feminin" localSheetId="8">'LISTE MERCREDIS 2019'!$H$327</definedName>
    <definedName name="nb_feminin" localSheetId="13">'LISTE MERCREDIS 2019'!$H$327</definedName>
    <definedName name="nb_feminin" localSheetId="2">'LISTE MERCREDIS 2019'!$H$327</definedName>
    <definedName name="nb_feminin" localSheetId="9">'LISTE MERCREDIS 2019'!$H$327</definedName>
    <definedName name="nb_feminin" localSheetId="3">'LISTE MERCREDIS 2019'!$H$327</definedName>
    <definedName name="nb_feminin" localSheetId="14">'LISTE MERCREDIS 2019'!$H$327</definedName>
    <definedName name="nb_masculin" localSheetId="10">'LISTE MERCREDIS 2019'!$I$327</definedName>
    <definedName name="nb_masculin" localSheetId="4">'LISTE MERCREDIS 2019'!$I$327</definedName>
    <definedName name="nb_masculin" localSheetId="6">'LISTE MERCREDIS 2019'!$I$327</definedName>
    <definedName name="nb_masculin" localSheetId="0">'LISTE MERCREDIS 2019'!$I$327</definedName>
    <definedName name="nb_masculin" localSheetId="11">'LISTE MERCREDIS 2019'!$I$327</definedName>
    <definedName name="nb_masculin" localSheetId="5">'LISTE MERCREDIS 2019'!$I$327</definedName>
    <definedName name="nb_masculin" localSheetId="7">'LISTE MERCREDIS 2019'!$I$327</definedName>
    <definedName name="nb_masculin" localSheetId="12">'LISTE MERCREDIS 2019'!$I$327</definedName>
    <definedName name="nb_masculin" localSheetId="1">'LISTE MERCREDIS 2019'!$I$327</definedName>
    <definedName name="nb_masculin" localSheetId="8">'LISTE MERCREDIS 2019'!$I$327</definedName>
    <definedName name="nb_masculin" localSheetId="13">'LISTE MERCREDIS 2019'!$I$327</definedName>
    <definedName name="nb_masculin" localSheetId="2">'LISTE MERCREDIS 2019'!$I$327</definedName>
    <definedName name="nb_masculin" localSheetId="9">'LISTE MERCREDIS 2019'!$I$327</definedName>
    <definedName name="nb_masculin" localSheetId="3">'LISTE MERCREDIS 2019'!$I$327</definedName>
    <definedName name="nb_masculin" localSheetId="14">'LISTE MERCREDIS 2019'!$I$327</definedName>
    <definedName name="nom_famille" localSheetId="14">'LISTE MERCREDIS 2019'!$D$107:$D$326</definedName>
    <definedName name="presences_AM">'LISTE MERCREDIS 2019'!$O$327</definedName>
    <definedName name="presences_matin">'LISTE MERCREDIS 2019'!$N$327</definedName>
    <definedName name="presences_samedis" localSheetId="14">'LISTE MERCREDIS 2019'!$N$328:$O$328</definedName>
    <definedName name="REGIME" localSheetId="14">'LISTE MERCREDIS 2019'!$H$110:$H$326</definedName>
    <definedName name="TERRITOIRE" localSheetId="14">'LISTE MERCREDIS 2019'!$M$4:$M$326</definedName>
    <definedName name="TERRITOIRE_FAMILLE">'LISTE MERCREDIS 2019'!$B$4:$B$320</definedName>
    <definedName name="VILLE" localSheetId="14">'LISTE MERCREDIS 2019'!$L$107:$L$326</definedName>
    <definedName name="_xlnm.Print_Area" localSheetId="10">'03 avril 2019'!$A$2:$S$47</definedName>
    <definedName name="_xlnm.Print_Area" localSheetId="4">'06 fevrier 2019'!$A$2:$S$31</definedName>
    <definedName name="_xlnm.Print_Area" localSheetId="6">'06 mars 2019'!$A$2:$S$38</definedName>
    <definedName name="_xlnm.Print_Area" localSheetId="0">'09 janvier 2019'!$A$2:$S$38</definedName>
    <definedName name="_xlnm.Print_Area" localSheetId="11">'10 avril 2019'!$A$2:$S$47</definedName>
    <definedName name="_xlnm.Print_Area" localSheetId="5">'13 fevrier 2019'!$A$2:$S$31</definedName>
    <definedName name="_xlnm.Print_Area" localSheetId="7">'13 mars 2019'!$A$2:$S$38</definedName>
    <definedName name="_xlnm.Print_Area" localSheetId="12">'15 mai 2019'!$A$2:$S$47</definedName>
    <definedName name="_xlnm.Print_Area" localSheetId="1">'16 janvier 2019'!$A$2:$S$34</definedName>
    <definedName name="_xlnm.Print_Area" localSheetId="8">'20 mars 2019'!$A$2:$S$47</definedName>
    <definedName name="_xlnm.Print_Area" localSheetId="13">'22 mai 2019'!$A$2:$S$48</definedName>
    <definedName name="_xlnm.Print_Area" localSheetId="2">'23 janvier 2019'!$A$2:$S$48</definedName>
    <definedName name="_xlnm.Print_Area" localSheetId="9">'27 mars 2019'!$A$2:$S$47</definedName>
    <definedName name="_xlnm.Print_Area" localSheetId="3">'30 janvier 2019'!$A$2:$S$31</definedName>
    <definedName name="_xlnm.Print_Area" localSheetId="14">'LISTE MERCREDIS 2019'!$A$1:$U$326</definedName>
  </definedNames>
  <calcPr calcId="125725"/>
</workbook>
</file>

<file path=xl/calcChain.xml><?xml version="1.0" encoding="utf-8"?>
<calcChain xmlns="http://schemas.openxmlformats.org/spreadsheetml/2006/main">
  <c r="K307" i="15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S47" i="112"/>
  <c r="R47"/>
  <c r="Q47"/>
  <c r="P47"/>
  <c r="O47"/>
  <c r="N47"/>
  <c r="M47"/>
  <c r="L47"/>
  <c r="V80" i="15"/>
  <c r="V83"/>
  <c r="V7"/>
  <c r="V41"/>
  <c r="V48"/>
  <c r="V14"/>
  <c r="V26"/>
  <c r="V19"/>
  <c r="V86"/>
  <c r="V92"/>
  <c r="V98"/>
  <c r="V104"/>
  <c r="V108"/>
  <c r="V290"/>
  <c r="V292"/>
  <c r="V280"/>
  <c r="V288"/>
  <c r="V255"/>
  <c r="V257"/>
  <c r="V259"/>
  <c r="V313"/>
  <c r="V314"/>
  <c r="V160"/>
  <c r="V161"/>
  <c r="V247"/>
  <c r="V249"/>
  <c r="V252"/>
  <c r="V140"/>
  <c r="V145"/>
  <c r="V133"/>
  <c r="V137"/>
  <c r="V298"/>
  <c r="V181"/>
  <c r="V182"/>
  <c r="V183"/>
  <c r="V185"/>
  <c r="V315"/>
  <c r="V118"/>
  <c r="V316"/>
  <c r="V317"/>
  <c r="V318"/>
  <c r="V319"/>
  <c r="V320"/>
  <c r="V239"/>
  <c r="V242"/>
  <c r="V56"/>
  <c r="V71"/>
  <c r="V77"/>
  <c r="V62"/>
  <c r="V67"/>
  <c r="V8"/>
  <c r="V27"/>
  <c r="V20"/>
  <c r="V15"/>
  <c r="V42"/>
  <c r="V49"/>
  <c r="V148"/>
  <c r="V30"/>
  <c r="V32"/>
  <c r="V34"/>
  <c r="V35"/>
  <c r="V143"/>
  <c r="V151"/>
  <c r="V321"/>
  <c r="V322"/>
  <c r="V256"/>
  <c r="V258"/>
  <c r="V260"/>
  <c r="V222"/>
  <c r="V223"/>
  <c r="V224"/>
  <c r="V87"/>
  <c r="V93"/>
  <c r="V99"/>
  <c r="V105"/>
  <c r="V109"/>
  <c r="V323"/>
  <c r="V243"/>
  <c r="V194"/>
  <c r="V205"/>
  <c r="V216"/>
  <c r="V245"/>
  <c r="V250"/>
  <c r="V253"/>
  <c r="V141"/>
  <c r="V146"/>
  <c r="V88"/>
  <c r="V94"/>
  <c r="V100"/>
  <c r="V110"/>
  <c r="V271"/>
  <c r="V269"/>
  <c r="V270"/>
  <c r="V281"/>
  <c r="V284"/>
  <c r="V289"/>
  <c r="V324"/>
  <c r="V134"/>
  <c r="V138"/>
  <c r="V158"/>
  <c r="V159"/>
  <c r="V195"/>
  <c r="V206"/>
  <c r="V217"/>
  <c r="V113"/>
  <c r="V114"/>
  <c r="V115"/>
  <c r="V187"/>
  <c r="V188"/>
  <c r="V325"/>
  <c r="V326"/>
  <c r="V196"/>
  <c r="V207"/>
  <c r="V218"/>
  <c r="V154"/>
  <c r="V155"/>
  <c r="V81"/>
  <c r="V84"/>
  <c r="V89"/>
  <c r="V95"/>
  <c r="V101"/>
  <c r="V111"/>
  <c r="V9"/>
  <c r="V16"/>
  <c r="V21"/>
  <c r="V28"/>
  <c r="V43"/>
  <c r="V50"/>
  <c r="V57"/>
  <c r="V63"/>
  <c r="V68"/>
  <c r="V72"/>
  <c r="V177"/>
  <c r="V179"/>
  <c r="V244"/>
  <c r="V127"/>
  <c r="V129"/>
  <c r="V197"/>
  <c r="V208"/>
  <c r="V219"/>
  <c r="V31"/>
  <c r="V33"/>
  <c r="V36"/>
  <c r="V37"/>
  <c r="V90"/>
  <c r="V96"/>
  <c r="V102"/>
  <c r="V112"/>
  <c r="V106"/>
  <c r="V10"/>
  <c r="V17"/>
  <c r="V22"/>
  <c r="V29"/>
  <c r="V44"/>
  <c r="V51"/>
  <c r="V58"/>
  <c r="V64"/>
  <c r="V69"/>
  <c r="V73"/>
  <c r="V78"/>
  <c r="V261"/>
  <c r="V263"/>
  <c r="V265"/>
  <c r="V267"/>
  <c r="V130"/>
  <c r="V128"/>
  <c r="V198"/>
  <c r="V209"/>
  <c r="V220"/>
  <c r="V162"/>
  <c r="V163"/>
  <c r="V164"/>
  <c r="V291"/>
  <c r="V293"/>
  <c r="V262"/>
  <c r="V264"/>
  <c r="V266"/>
  <c r="V268"/>
  <c r="V246"/>
  <c r="V248"/>
  <c r="V251"/>
  <c r="V254"/>
  <c r="V240"/>
  <c r="V299"/>
  <c r="V301"/>
  <c r="V199"/>
  <c r="V210"/>
  <c r="V221"/>
  <c r="V53"/>
  <c r="V74"/>
  <c r="V59"/>
  <c r="V52"/>
  <c r="V4"/>
  <c r="V38"/>
  <c r="V45"/>
  <c r="V11"/>
  <c r="V23"/>
  <c r="V285"/>
  <c r="V294"/>
  <c r="V228"/>
  <c r="V229"/>
  <c r="V230"/>
  <c r="V231"/>
  <c r="V123"/>
  <c r="V124"/>
  <c r="V125"/>
  <c r="V126"/>
  <c r="V175"/>
  <c r="V116"/>
  <c r="V119"/>
  <c r="V189"/>
  <c r="V200"/>
  <c r="V211"/>
  <c r="V296"/>
  <c r="V300"/>
  <c r="V286"/>
  <c r="V295"/>
  <c r="V176"/>
  <c r="V178"/>
  <c r="V85"/>
  <c r="V91"/>
  <c r="V97"/>
  <c r="V103"/>
  <c r="V107"/>
  <c r="V238"/>
  <c r="V241"/>
  <c r="V121"/>
  <c r="V122"/>
  <c r="V131"/>
  <c r="V135"/>
  <c r="V272"/>
  <c r="V273"/>
  <c r="V274"/>
  <c r="V190"/>
  <c r="V201"/>
  <c r="V212"/>
  <c r="V303"/>
  <c r="V305"/>
  <c r="V54"/>
  <c r="V75"/>
  <c r="V60"/>
  <c r="V65"/>
  <c r="V5"/>
  <c r="V39"/>
  <c r="V46"/>
  <c r="V12"/>
  <c r="V24"/>
  <c r="V275"/>
  <c r="V276"/>
  <c r="V277"/>
  <c r="V278"/>
  <c r="V282"/>
  <c r="V287"/>
  <c r="V232"/>
  <c r="V234"/>
  <c r="V236"/>
  <c r="V147"/>
  <c r="V149"/>
  <c r="V139"/>
  <c r="V150"/>
  <c r="V142"/>
  <c r="V144"/>
  <c r="V132"/>
  <c r="V136"/>
  <c r="V152"/>
  <c r="V153"/>
  <c r="V156"/>
  <c r="V157"/>
  <c r="V307"/>
  <c r="V308"/>
  <c r="V309"/>
  <c r="V310"/>
  <c r="V311"/>
  <c r="V312"/>
  <c r="V191"/>
  <c r="V202"/>
  <c r="V213"/>
  <c r="V279"/>
  <c r="V283"/>
  <c r="V79"/>
  <c r="V82"/>
  <c r="V117"/>
  <c r="V120"/>
  <c r="V165"/>
  <c r="V168"/>
  <c r="V171"/>
  <c r="V192"/>
  <c r="V203"/>
  <c r="V214"/>
  <c r="V166"/>
  <c r="V169"/>
  <c r="L48" i="112"/>
  <c r="N327" i="15"/>
  <c r="M221"/>
  <c r="L221"/>
  <c r="J221"/>
  <c r="K221" s="1"/>
  <c r="I221"/>
  <c r="H221"/>
  <c r="G221"/>
  <c r="F221"/>
  <c r="E221"/>
  <c r="D221"/>
  <c r="M210"/>
  <c r="L210"/>
  <c r="J210"/>
  <c r="K210" s="1"/>
  <c r="I210"/>
  <c r="H210"/>
  <c r="G210"/>
  <c r="F210"/>
  <c r="E210"/>
  <c r="D210"/>
  <c r="M199"/>
  <c r="L199"/>
  <c r="J199"/>
  <c r="K199" s="1"/>
  <c r="I199"/>
  <c r="H199"/>
  <c r="G199"/>
  <c r="F199"/>
  <c r="E199"/>
  <c r="D199"/>
  <c r="M301"/>
  <c r="L301"/>
  <c r="J301"/>
  <c r="K301" s="1"/>
  <c r="I301"/>
  <c r="H301"/>
  <c r="G301"/>
  <c r="F301"/>
  <c r="E301"/>
  <c r="D301"/>
  <c r="M299"/>
  <c r="L299"/>
  <c r="J299"/>
  <c r="K299" s="1"/>
  <c r="I299"/>
  <c r="H299"/>
  <c r="G299"/>
  <c r="F299"/>
  <c r="E299"/>
  <c r="D299"/>
  <c r="M240"/>
  <c r="L240"/>
  <c r="J240"/>
  <c r="K240" s="1"/>
  <c r="I240"/>
  <c r="H240"/>
  <c r="G240"/>
  <c r="F240"/>
  <c r="E240"/>
  <c r="D240"/>
  <c r="M254"/>
  <c r="L254"/>
  <c r="J254"/>
  <c r="K254" s="1"/>
  <c r="I254"/>
  <c r="H254"/>
  <c r="G254"/>
  <c r="F254"/>
  <c r="E254"/>
  <c r="D254"/>
  <c r="M251"/>
  <c r="L251"/>
  <c r="J251"/>
  <c r="K251" s="1"/>
  <c r="I251"/>
  <c r="H251"/>
  <c r="G251"/>
  <c r="F251"/>
  <c r="E251"/>
  <c r="D251"/>
  <c r="M248"/>
  <c r="L248"/>
  <c r="J248"/>
  <c r="K248" s="1"/>
  <c r="I248"/>
  <c r="H248"/>
  <c r="G248"/>
  <c r="F248"/>
  <c r="E248"/>
  <c r="D248"/>
  <c r="M246"/>
  <c r="L246"/>
  <c r="J246"/>
  <c r="K246" s="1"/>
  <c r="I246"/>
  <c r="H246"/>
  <c r="G246"/>
  <c r="F246"/>
  <c r="E246"/>
  <c r="D246"/>
  <c r="M268"/>
  <c r="L268"/>
  <c r="J268"/>
  <c r="K268" s="1"/>
  <c r="I268"/>
  <c r="H268"/>
  <c r="G268"/>
  <c r="F268"/>
  <c r="E268"/>
  <c r="D268"/>
  <c r="M266"/>
  <c r="L266"/>
  <c r="J266"/>
  <c r="K266" s="1"/>
  <c r="I266"/>
  <c r="H266"/>
  <c r="G266"/>
  <c r="F266"/>
  <c r="E266"/>
  <c r="D266"/>
  <c r="M264"/>
  <c r="L264"/>
  <c r="J264"/>
  <c r="K264" s="1"/>
  <c r="I264"/>
  <c r="H264"/>
  <c r="G264"/>
  <c r="F264"/>
  <c r="E264"/>
  <c r="D264"/>
  <c r="M262"/>
  <c r="L262"/>
  <c r="J262"/>
  <c r="K262" s="1"/>
  <c r="I262"/>
  <c r="H262"/>
  <c r="G262"/>
  <c r="F262"/>
  <c r="E262"/>
  <c r="D262"/>
  <c r="O327"/>
  <c r="P327"/>
  <c r="Q327"/>
  <c r="R327"/>
  <c r="S327"/>
  <c r="T327"/>
  <c r="U327"/>
  <c r="M293"/>
  <c r="L293"/>
  <c r="J293"/>
  <c r="K293" s="1"/>
  <c r="I293"/>
  <c r="H293"/>
  <c r="G293"/>
  <c r="F293"/>
  <c r="E293"/>
  <c r="D293"/>
  <c r="M291"/>
  <c r="L291"/>
  <c r="J291"/>
  <c r="K291" s="1"/>
  <c r="I291"/>
  <c r="H291"/>
  <c r="G291"/>
  <c r="F291"/>
  <c r="E291"/>
  <c r="D291"/>
  <c r="M164"/>
  <c r="L164"/>
  <c r="J164"/>
  <c r="K164" s="1"/>
  <c r="I164"/>
  <c r="H164"/>
  <c r="G164"/>
  <c r="F164"/>
  <c r="E164"/>
  <c r="D164"/>
  <c r="M163"/>
  <c r="L163"/>
  <c r="J163"/>
  <c r="K163" s="1"/>
  <c r="I163"/>
  <c r="H163"/>
  <c r="G163"/>
  <c r="F163"/>
  <c r="E163"/>
  <c r="D163"/>
  <c r="M162"/>
  <c r="L162"/>
  <c r="J162"/>
  <c r="K162" s="1"/>
  <c r="I162"/>
  <c r="H162"/>
  <c r="G162"/>
  <c r="F162"/>
  <c r="E162"/>
  <c r="D162"/>
  <c r="M220"/>
  <c r="L220"/>
  <c r="J220"/>
  <c r="K220" s="1"/>
  <c r="I220"/>
  <c r="H220"/>
  <c r="G220"/>
  <c r="F220"/>
  <c r="E220"/>
  <c r="D220"/>
  <c r="M209"/>
  <c r="L209"/>
  <c r="J209"/>
  <c r="K209" s="1"/>
  <c r="I209"/>
  <c r="H209"/>
  <c r="G209"/>
  <c r="F209"/>
  <c r="E209"/>
  <c r="D209"/>
  <c r="M198"/>
  <c r="L198"/>
  <c r="J198"/>
  <c r="K198" s="1"/>
  <c r="I198"/>
  <c r="H198"/>
  <c r="G198"/>
  <c r="F198"/>
  <c r="E198"/>
  <c r="D198"/>
  <c r="M128"/>
  <c r="L128"/>
  <c r="J128"/>
  <c r="K128" s="1"/>
  <c r="I128"/>
  <c r="H128"/>
  <c r="G128"/>
  <c r="F128"/>
  <c r="E128"/>
  <c r="D128"/>
  <c r="M130"/>
  <c r="L130"/>
  <c r="J130"/>
  <c r="K130" s="1"/>
  <c r="I130"/>
  <c r="H130"/>
  <c r="G130"/>
  <c r="F130"/>
  <c r="E130"/>
  <c r="D130"/>
  <c r="M267"/>
  <c r="L267"/>
  <c r="J267"/>
  <c r="K267" s="1"/>
  <c r="I267"/>
  <c r="H267"/>
  <c r="G267"/>
  <c r="F267"/>
  <c r="E267"/>
  <c r="D267"/>
  <c r="M265"/>
  <c r="L265"/>
  <c r="J265"/>
  <c r="K265" s="1"/>
  <c r="I265"/>
  <c r="H265"/>
  <c r="G265"/>
  <c r="F265"/>
  <c r="E265"/>
  <c r="D265"/>
  <c r="M263"/>
  <c r="L263"/>
  <c r="J263"/>
  <c r="K263" s="1"/>
  <c r="I263"/>
  <c r="H263"/>
  <c r="G263"/>
  <c r="F263"/>
  <c r="E263"/>
  <c r="D263"/>
  <c r="M261"/>
  <c r="L261"/>
  <c r="J261"/>
  <c r="K261" s="1"/>
  <c r="I261"/>
  <c r="H261"/>
  <c r="G261"/>
  <c r="F261"/>
  <c r="E261"/>
  <c r="D261"/>
  <c r="M78"/>
  <c r="L78"/>
  <c r="J78"/>
  <c r="K78" s="1"/>
  <c r="I78"/>
  <c r="H78"/>
  <c r="G78"/>
  <c r="F78"/>
  <c r="E78"/>
  <c r="D78"/>
  <c r="M73"/>
  <c r="L73"/>
  <c r="J73"/>
  <c r="K73" s="1"/>
  <c r="I73"/>
  <c r="H73"/>
  <c r="G73"/>
  <c r="F73"/>
  <c r="E73"/>
  <c r="D73"/>
  <c r="M69"/>
  <c r="L69"/>
  <c r="J69"/>
  <c r="K69" s="1"/>
  <c r="I69"/>
  <c r="H69"/>
  <c r="G69"/>
  <c r="F69"/>
  <c r="E69"/>
  <c r="D69"/>
  <c r="M64"/>
  <c r="L64"/>
  <c r="J64"/>
  <c r="K64" s="1"/>
  <c r="I64"/>
  <c r="H64"/>
  <c r="G64"/>
  <c r="F64"/>
  <c r="E64"/>
  <c r="D64"/>
  <c r="M58"/>
  <c r="L58"/>
  <c r="J58"/>
  <c r="K58" s="1"/>
  <c r="I58"/>
  <c r="H58"/>
  <c r="G58"/>
  <c r="F58"/>
  <c r="E58"/>
  <c r="D58"/>
  <c r="M51"/>
  <c r="L51"/>
  <c r="J51"/>
  <c r="K51" s="1"/>
  <c r="I51"/>
  <c r="H51"/>
  <c r="G51"/>
  <c r="F51"/>
  <c r="E51"/>
  <c r="D51"/>
  <c r="M44"/>
  <c r="L44"/>
  <c r="J44"/>
  <c r="K44" s="1"/>
  <c r="I44"/>
  <c r="H44"/>
  <c r="G44"/>
  <c r="F44"/>
  <c r="E44"/>
  <c r="D44"/>
  <c r="M29"/>
  <c r="L29"/>
  <c r="J29"/>
  <c r="K29" s="1"/>
  <c r="I29"/>
  <c r="H29"/>
  <c r="G29"/>
  <c r="F29"/>
  <c r="E29"/>
  <c r="D29"/>
  <c r="M22"/>
  <c r="L22"/>
  <c r="J22"/>
  <c r="K22" s="1"/>
  <c r="I22"/>
  <c r="H22"/>
  <c r="G22"/>
  <c r="F22"/>
  <c r="E22"/>
  <c r="D22"/>
  <c r="M17"/>
  <c r="L17"/>
  <c r="J17"/>
  <c r="K17" s="1"/>
  <c r="I17"/>
  <c r="H17"/>
  <c r="G17"/>
  <c r="F17"/>
  <c r="E17"/>
  <c r="D17"/>
  <c r="M10"/>
  <c r="L10"/>
  <c r="J10"/>
  <c r="K10" s="1"/>
  <c r="I10"/>
  <c r="H10"/>
  <c r="G10"/>
  <c r="F10"/>
  <c r="E10"/>
  <c r="D10"/>
  <c r="M106"/>
  <c r="L106"/>
  <c r="J106"/>
  <c r="K106" s="1"/>
  <c r="I106"/>
  <c r="H106"/>
  <c r="G106"/>
  <c r="F106"/>
  <c r="E106"/>
  <c r="D106"/>
  <c r="M112"/>
  <c r="L112"/>
  <c r="J112"/>
  <c r="K112" s="1"/>
  <c r="I112"/>
  <c r="H112"/>
  <c r="G112"/>
  <c r="F112"/>
  <c r="E112"/>
  <c r="D112"/>
  <c r="M102"/>
  <c r="L102"/>
  <c r="J102"/>
  <c r="K102" s="1"/>
  <c r="I102"/>
  <c r="H102"/>
  <c r="G102"/>
  <c r="F102"/>
  <c r="E102"/>
  <c r="D102"/>
  <c r="M96"/>
  <c r="L96"/>
  <c r="J96"/>
  <c r="K96" s="1"/>
  <c r="I96"/>
  <c r="H96"/>
  <c r="G96"/>
  <c r="F96"/>
  <c r="E96"/>
  <c r="D96"/>
  <c r="M90"/>
  <c r="L90"/>
  <c r="J90"/>
  <c r="K90" s="1"/>
  <c r="I90"/>
  <c r="H90"/>
  <c r="G90"/>
  <c r="F90"/>
  <c r="E90"/>
  <c r="D90"/>
  <c r="M37"/>
  <c r="L37"/>
  <c r="J37"/>
  <c r="K37" s="1"/>
  <c r="I37"/>
  <c r="H37"/>
  <c r="G37"/>
  <c r="F37"/>
  <c r="E37"/>
  <c r="D37"/>
  <c r="M36"/>
  <c r="L36"/>
  <c r="J36"/>
  <c r="K36" s="1"/>
  <c r="I36"/>
  <c r="H36"/>
  <c r="G36"/>
  <c r="F36"/>
  <c r="E36"/>
  <c r="D36"/>
  <c r="M33"/>
  <c r="L33"/>
  <c r="J33"/>
  <c r="K33" s="1"/>
  <c r="I33"/>
  <c r="H33"/>
  <c r="G33"/>
  <c r="F33"/>
  <c r="E33"/>
  <c r="D33"/>
  <c r="M31"/>
  <c r="L31"/>
  <c r="J31"/>
  <c r="K31" s="1"/>
  <c r="I31"/>
  <c r="H31"/>
  <c r="G31"/>
  <c r="F31"/>
  <c r="E31"/>
  <c r="D31"/>
  <c r="M219"/>
  <c r="L219"/>
  <c r="J219"/>
  <c r="K219" s="1"/>
  <c r="I219"/>
  <c r="H219"/>
  <c r="G219"/>
  <c r="F219"/>
  <c r="E219"/>
  <c r="D219"/>
  <c r="M208"/>
  <c r="L208"/>
  <c r="J208"/>
  <c r="K208" s="1"/>
  <c r="I208"/>
  <c r="H208"/>
  <c r="G208"/>
  <c r="F208"/>
  <c r="E208"/>
  <c r="D208"/>
  <c r="M197"/>
  <c r="L197"/>
  <c r="J197"/>
  <c r="K197" s="1"/>
  <c r="I197"/>
  <c r="H197"/>
  <c r="G197"/>
  <c r="F197"/>
  <c r="E197"/>
  <c r="D197"/>
  <c r="M129"/>
  <c r="L129"/>
  <c r="J129"/>
  <c r="K129" s="1"/>
  <c r="I129"/>
  <c r="H129"/>
  <c r="G129"/>
  <c r="F129"/>
  <c r="E129"/>
  <c r="D129"/>
  <c r="M127"/>
  <c r="L127"/>
  <c r="J127"/>
  <c r="K127" s="1"/>
  <c r="I127"/>
  <c r="H127"/>
  <c r="G127"/>
  <c r="F127"/>
  <c r="E127"/>
  <c r="D127"/>
  <c r="M244"/>
  <c r="L244"/>
  <c r="J244"/>
  <c r="K244" s="1"/>
  <c r="I244"/>
  <c r="H244"/>
  <c r="G244"/>
  <c r="F244"/>
  <c r="E244"/>
  <c r="D244"/>
  <c r="M179"/>
  <c r="L179"/>
  <c r="J179"/>
  <c r="K179" s="1"/>
  <c r="I179"/>
  <c r="H179"/>
  <c r="G179"/>
  <c r="F179"/>
  <c r="E179"/>
  <c r="D179"/>
  <c r="M177"/>
  <c r="L177"/>
  <c r="J177"/>
  <c r="K177" s="1"/>
  <c r="I177"/>
  <c r="H177"/>
  <c r="G177"/>
  <c r="F177"/>
  <c r="E177"/>
  <c r="D177"/>
  <c r="M72"/>
  <c r="L72"/>
  <c r="J72"/>
  <c r="K72" s="1"/>
  <c r="I72"/>
  <c r="H72"/>
  <c r="G72"/>
  <c r="F72"/>
  <c r="E72"/>
  <c r="D72"/>
  <c r="M68"/>
  <c r="L68"/>
  <c r="J68"/>
  <c r="K68" s="1"/>
  <c r="I68"/>
  <c r="H68"/>
  <c r="G68"/>
  <c r="F68"/>
  <c r="E68"/>
  <c r="D68"/>
  <c r="M63"/>
  <c r="L63"/>
  <c r="J63"/>
  <c r="K63" s="1"/>
  <c r="I63"/>
  <c r="H63"/>
  <c r="G63"/>
  <c r="F63"/>
  <c r="E63"/>
  <c r="D63"/>
  <c r="M57"/>
  <c r="L57"/>
  <c r="J57"/>
  <c r="K57" s="1"/>
  <c r="I57"/>
  <c r="H57"/>
  <c r="G57"/>
  <c r="F57"/>
  <c r="E57"/>
  <c r="D57"/>
  <c r="M50"/>
  <c r="L50"/>
  <c r="J50"/>
  <c r="K50" s="1"/>
  <c r="I50"/>
  <c r="H50"/>
  <c r="G50"/>
  <c r="F50"/>
  <c r="E50"/>
  <c r="D50"/>
  <c r="M43"/>
  <c r="L43"/>
  <c r="J43"/>
  <c r="K43" s="1"/>
  <c r="I43"/>
  <c r="H43"/>
  <c r="G43"/>
  <c r="F43"/>
  <c r="E43"/>
  <c r="D43"/>
  <c r="M28"/>
  <c r="L28"/>
  <c r="J28"/>
  <c r="K28" s="1"/>
  <c r="I28"/>
  <c r="H28"/>
  <c r="G28"/>
  <c r="F28"/>
  <c r="E28"/>
  <c r="D28"/>
  <c r="M21"/>
  <c r="L21"/>
  <c r="J21"/>
  <c r="K21" s="1"/>
  <c r="I21"/>
  <c r="H21"/>
  <c r="G21"/>
  <c r="F21"/>
  <c r="E21"/>
  <c r="D21"/>
  <c r="M16"/>
  <c r="L16"/>
  <c r="J16"/>
  <c r="K16" s="1"/>
  <c r="I16"/>
  <c r="H16"/>
  <c r="G16"/>
  <c r="F16"/>
  <c r="E16"/>
  <c r="D16"/>
  <c r="M9"/>
  <c r="L9"/>
  <c r="J9"/>
  <c r="K9" s="1"/>
  <c r="I9"/>
  <c r="H9"/>
  <c r="G9"/>
  <c r="F9"/>
  <c r="E9"/>
  <c r="D9"/>
  <c r="M111"/>
  <c r="L111"/>
  <c r="J111"/>
  <c r="K111" s="1"/>
  <c r="I111"/>
  <c r="H111"/>
  <c r="G111"/>
  <c r="F111"/>
  <c r="E111"/>
  <c r="D111"/>
  <c r="M101"/>
  <c r="L101"/>
  <c r="J101"/>
  <c r="K101" s="1"/>
  <c r="I101"/>
  <c r="H101"/>
  <c r="G101"/>
  <c r="F101"/>
  <c r="E101"/>
  <c r="D101"/>
  <c r="M95"/>
  <c r="L95"/>
  <c r="J95"/>
  <c r="K95" s="1"/>
  <c r="I95"/>
  <c r="H95"/>
  <c r="G95"/>
  <c r="F95"/>
  <c r="E95"/>
  <c r="D95"/>
  <c r="M89"/>
  <c r="L89"/>
  <c r="J89"/>
  <c r="K89" s="1"/>
  <c r="I89"/>
  <c r="H89"/>
  <c r="G89"/>
  <c r="F89"/>
  <c r="E89"/>
  <c r="D89"/>
  <c r="M84"/>
  <c r="L84"/>
  <c r="J84"/>
  <c r="K84" s="1"/>
  <c r="I84"/>
  <c r="H84"/>
  <c r="G84"/>
  <c r="F84"/>
  <c r="E84"/>
  <c r="D84"/>
  <c r="M81"/>
  <c r="L81"/>
  <c r="J81"/>
  <c r="K81" s="1"/>
  <c r="I81"/>
  <c r="H81"/>
  <c r="G81"/>
  <c r="F81"/>
  <c r="E81"/>
  <c r="D81"/>
  <c r="M155"/>
  <c r="L155"/>
  <c r="J155"/>
  <c r="K155" s="1"/>
  <c r="I155"/>
  <c r="H155"/>
  <c r="G155"/>
  <c r="F155"/>
  <c r="E155"/>
  <c r="D155"/>
  <c r="M154"/>
  <c r="L154"/>
  <c r="J154"/>
  <c r="K154" s="1"/>
  <c r="I154"/>
  <c r="H154"/>
  <c r="G154"/>
  <c r="F154"/>
  <c r="E154"/>
  <c r="D154"/>
  <c r="M218"/>
  <c r="L218"/>
  <c r="J218"/>
  <c r="K218" s="1"/>
  <c r="I218"/>
  <c r="H218"/>
  <c r="G218"/>
  <c r="F218"/>
  <c r="E218"/>
  <c r="D218"/>
  <c r="M207"/>
  <c r="L207"/>
  <c r="J207"/>
  <c r="K207" s="1"/>
  <c r="I207"/>
  <c r="H207"/>
  <c r="G207"/>
  <c r="F207"/>
  <c r="E207"/>
  <c r="D207"/>
  <c r="M196"/>
  <c r="L196"/>
  <c r="J196"/>
  <c r="K196" s="1"/>
  <c r="I196"/>
  <c r="H196"/>
  <c r="G196"/>
  <c r="F196"/>
  <c r="E196"/>
  <c r="D196"/>
  <c r="M188"/>
  <c r="L188"/>
  <c r="J188"/>
  <c r="K188" s="1"/>
  <c r="I188"/>
  <c r="H188"/>
  <c r="G188"/>
  <c r="F188"/>
  <c r="E188"/>
  <c r="D188"/>
  <c r="M187"/>
  <c r="L187"/>
  <c r="J187"/>
  <c r="K187" s="1"/>
  <c r="I187"/>
  <c r="H187"/>
  <c r="G187"/>
  <c r="F187"/>
  <c r="E187"/>
  <c r="D187"/>
  <c r="M115"/>
  <c r="L115"/>
  <c r="J115"/>
  <c r="K115" s="1"/>
  <c r="I115"/>
  <c r="H115"/>
  <c r="G115"/>
  <c r="F115"/>
  <c r="E115"/>
  <c r="D115"/>
  <c r="M114"/>
  <c r="L114"/>
  <c r="J114"/>
  <c r="K114" s="1"/>
  <c r="I114"/>
  <c r="H114"/>
  <c r="G114"/>
  <c r="F114"/>
  <c r="E114"/>
  <c r="D114"/>
  <c r="M113"/>
  <c r="L113"/>
  <c r="J113"/>
  <c r="K113" s="1"/>
  <c r="I113"/>
  <c r="H113"/>
  <c r="G113"/>
  <c r="F113"/>
  <c r="E113"/>
  <c r="D113"/>
  <c r="M217"/>
  <c r="L217"/>
  <c r="J217"/>
  <c r="K217" s="1"/>
  <c r="I217"/>
  <c r="H217"/>
  <c r="G217"/>
  <c r="F217"/>
  <c r="E217"/>
  <c r="D217"/>
  <c r="M206"/>
  <c r="L206"/>
  <c r="J206"/>
  <c r="K206" s="1"/>
  <c r="I206"/>
  <c r="H206"/>
  <c r="G206"/>
  <c r="F206"/>
  <c r="E206"/>
  <c r="D206"/>
  <c r="M195"/>
  <c r="L195"/>
  <c r="J195"/>
  <c r="K195" s="1"/>
  <c r="I195"/>
  <c r="H195"/>
  <c r="G195"/>
  <c r="F195"/>
  <c r="E195"/>
  <c r="D195"/>
  <c r="M159"/>
  <c r="L159"/>
  <c r="J159"/>
  <c r="K159" s="1"/>
  <c r="I159"/>
  <c r="H159"/>
  <c r="G159"/>
  <c r="F159"/>
  <c r="E159"/>
  <c r="D159"/>
  <c r="M158"/>
  <c r="L158"/>
  <c r="J158"/>
  <c r="K158" s="1"/>
  <c r="I158"/>
  <c r="H158"/>
  <c r="G158"/>
  <c r="F158"/>
  <c r="E158"/>
  <c r="D158"/>
  <c r="M138"/>
  <c r="L138"/>
  <c r="J138"/>
  <c r="K138" s="1"/>
  <c r="I138"/>
  <c r="H138"/>
  <c r="G138"/>
  <c r="F138"/>
  <c r="E138"/>
  <c r="D138"/>
  <c r="M134"/>
  <c r="L134"/>
  <c r="J134"/>
  <c r="K134" s="1"/>
  <c r="I134"/>
  <c r="H134"/>
  <c r="G134"/>
  <c r="F134"/>
  <c r="E134"/>
  <c r="D134"/>
  <c r="M289"/>
  <c r="L289"/>
  <c r="J289"/>
  <c r="K289" s="1"/>
  <c r="I289"/>
  <c r="H289"/>
  <c r="G289"/>
  <c r="F289"/>
  <c r="E289"/>
  <c r="D289"/>
  <c r="M284"/>
  <c r="L284"/>
  <c r="J284"/>
  <c r="K284" s="1"/>
  <c r="I284"/>
  <c r="H284"/>
  <c r="G284"/>
  <c r="F284"/>
  <c r="E284"/>
  <c r="D284"/>
  <c r="M281"/>
  <c r="L281"/>
  <c r="J281"/>
  <c r="K281" s="1"/>
  <c r="I281"/>
  <c r="H281"/>
  <c r="G281"/>
  <c r="F281"/>
  <c r="E281"/>
  <c r="D281"/>
  <c r="M270"/>
  <c r="L270"/>
  <c r="J270"/>
  <c r="K270" s="1"/>
  <c r="I270"/>
  <c r="H270"/>
  <c r="G270"/>
  <c r="F270"/>
  <c r="E270"/>
  <c r="D270"/>
  <c r="M269"/>
  <c r="L269"/>
  <c r="J269"/>
  <c r="K269" s="1"/>
  <c r="I269"/>
  <c r="H269"/>
  <c r="G269"/>
  <c r="F269"/>
  <c r="E269"/>
  <c r="D269"/>
  <c r="M271"/>
  <c r="L271"/>
  <c r="J271"/>
  <c r="K271" s="1"/>
  <c r="I271"/>
  <c r="H271"/>
  <c r="G271"/>
  <c r="F271"/>
  <c r="E271"/>
  <c r="D271"/>
  <c r="M110"/>
  <c r="L110"/>
  <c r="J110"/>
  <c r="K110" s="1"/>
  <c r="I110"/>
  <c r="H110"/>
  <c r="G110"/>
  <c r="F110"/>
  <c r="E110"/>
  <c r="D110"/>
  <c r="M100"/>
  <c r="L100"/>
  <c r="J100"/>
  <c r="K100" s="1"/>
  <c r="I100"/>
  <c r="H100"/>
  <c r="G100"/>
  <c r="F100"/>
  <c r="E100"/>
  <c r="D100"/>
  <c r="M94"/>
  <c r="L94"/>
  <c r="J94"/>
  <c r="K94" s="1"/>
  <c r="I94"/>
  <c r="H94"/>
  <c r="G94"/>
  <c r="F94"/>
  <c r="E94"/>
  <c r="D94"/>
  <c r="M88"/>
  <c r="L88"/>
  <c r="J88"/>
  <c r="K88" s="1"/>
  <c r="I88"/>
  <c r="H88"/>
  <c r="G88"/>
  <c r="F88"/>
  <c r="E88"/>
  <c r="D88"/>
  <c r="M146"/>
  <c r="L146"/>
  <c r="J146"/>
  <c r="K146" s="1"/>
  <c r="I146"/>
  <c r="H146"/>
  <c r="G146"/>
  <c r="F146"/>
  <c r="E146"/>
  <c r="D146"/>
  <c r="M141"/>
  <c r="L141"/>
  <c r="J141"/>
  <c r="K141" s="1"/>
  <c r="I141"/>
  <c r="H141"/>
  <c r="G141"/>
  <c r="F141"/>
  <c r="E141"/>
  <c r="D141"/>
  <c r="M253"/>
  <c r="L253"/>
  <c r="J253"/>
  <c r="K253" s="1"/>
  <c r="I253"/>
  <c r="H253"/>
  <c r="G253"/>
  <c r="F253"/>
  <c r="E253"/>
  <c r="D253"/>
  <c r="M250"/>
  <c r="L250"/>
  <c r="J250"/>
  <c r="K250" s="1"/>
  <c r="I250"/>
  <c r="H250"/>
  <c r="G250"/>
  <c r="F250"/>
  <c r="E250"/>
  <c r="D250"/>
  <c r="M245"/>
  <c r="L245"/>
  <c r="J245"/>
  <c r="K245" s="1"/>
  <c r="I245"/>
  <c r="H245"/>
  <c r="G245"/>
  <c r="F245"/>
  <c r="E245"/>
  <c r="D245"/>
  <c r="M216"/>
  <c r="L216"/>
  <c r="J216"/>
  <c r="K216" s="1"/>
  <c r="I216"/>
  <c r="H216"/>
  <c r="G216"/>
  <c r="F216"/>
  <c r="E216"/>
  <c r="D216"/>
  <c r="M205"/>
  <c r="L205"/>
  <c r="J205"/>
  <c r="K205" s="1"/>
  <c r="I205"/>
  <c r="H205"/>
  <c r="G205"/>
  <c r="F205"/>
  <c r="E205"/>
  <c r="D205"/>
  <c r="M194"/>
  <c r="L194"/>
  <c r="J194"/>
  <c r="K194" s="1"/>
  <c r="I194"/>
  <c r="H194"/>
  <c r="G194"/>
  <c r="F194"/>
  <c r="E194"/>
  <c r="D194"/>
  <c r="M243"/>
  <c r="L243"/>
  <c r="J243"/>
  <c r="K243" s="1"/>
  <c r="I243"/>
  <c r="H243"/>
  <c r="G243"/>
  <c r="F243"/>
  <c r="E243"/>
  <c r="D243"/>
  <c r="M109"/>
  <c r="L109"/>
  <c r="J109"/>
  <c r="K109" s="1"/>
  <c r="I109"/>
  <c r="H109"/>
  <c r="G109"/>
  <c r="F109"/>
  <c r="E109"/>
  <c r="D109"/>
  <c r="M105"/>
  <c r="L105"/>
  <c r="J105"/>
  <c r="K105" s="1"/>
  <c r="I105"/>
  <c r="H105"/>
  <c r="G105"/>
  <c r="F105"/>
  <c r="E105"/>
  <c r="D105"/>
  <c r="M99"/>
  <c r="L99"/>
  <c r="J99"/>
  <c r="K99" s="1"/>
  <c r="I99"/>
  <c r="H99"/>
  <c r="G99"/>
  <c r="F99"/>
  <c r="E99"/>
  <c r="D99"/>
  <c r="M93"/>
  <c r="L93"/>
  <c r="J93"/>
  <c r="K93" s="1"/>
  <c r="I93"/>
  <c r="H93"/>
  <c r="G93"/>
  <c r="F93"/>
  <c r="E93"/>
  <c r="D93"/>
  <c r="M87"/>
  <c r="L87"/>
  <c r="J87"/>
  <c r="K87" s="1"/>
  <c r="I87"/>
  <c r="H87"/>
  <c r="G87"/>
  <c r="F87"/>
  <c r="E87"/>
  <c r="D87"/>
  <c r="M224"/>
  <c r="L224"/>
  <c r="J224"/>
  <c r="K224" s="1"/>
  <c r="I224"/>
  <c r="H224"/>
  <c r="G224"/>
  <c r="F224"/>
  <c r="E224"/>
  <c r="D224"/>
  <c r="M223"/>
  <c r="L223"/>
  <c r="J223"/>
  <c r="K223" s="1"/>
  <c r="I223"/>
  <c r="H223"/>
  <c r="G223"/>
  <c r="F223"/>
  <c r="E223"/>
  <c r="D223"/>
  <c r="M222"/>
  <c r="L222"/>
  <c r="J222"/>
  <c r="K222" s="1"/>
  <c r="I222"/>
  <c r="H222"/>
  <c r="G222"/>
  <c r="F222"/>
  <c r="E222"/>
  <c r="D222"/>
  <c r="M260"/>
  <c r="L260"/>
  <c r="J260"/>
  <c r="K260" s="1"/>
  <c r="I260"/>
  <c r="H260"/>
  <c r="G260"/>
  <c r="F260"/>
  <c r="E260"/>
  <c r="D260"/>
  <c r="M258"/>
  <c r="L258"/>
  <c r="J258"/>
  <c r="K258" s="1"/>
  <c r="I258"/>
  <c r="H258"/>
  <c r="G258"/>
  <c r="F258"/>
  <c r="E258"/>
  <c r="D258"/>
  <c r="M256"/>
  <c r="L256"/>
  <c r="J256"/>
  <c r="K256" s="1"/>
  <c r="I256"/>
  <c r="H256"/>
  <c r="G256"/>
  <c r="F256"/>
  <c r="E256"/>
  <c r="D256"/>
  <c r="M151"/>
  <c r="L151"/>
  <c r="J151"/>
  <c r="K151" s="1"/>
  <c r="I151"/>
  <c r="H151"/>
  <c r="G151"/>
  <c r="F151"/>
  <c r="E151"/>
  <c r="D151"/>
  <c r="M143"/>
  <c r="L143"/>
  <c r="J143"/>
  <c r="K143" s="1"/>
  <c r="I143"/>
  <c r="H143"/>
  <c r="G143"/>
  <c r="F143"/>
  <c r="E143"/>
  <c r="D143"/>
  <c r="M35"/>
  <c r="L35"/>
  <c r="J35"/>
  <c r="K35" s="1"/>
  <c r="I35"/>
  <c r="H35"/>
  <c r="G35"/>
  <c r="F35"/>
  <c r="E35"/>
  <c r="D35"/>
  <c r="M34"/>
  <c r="L34"/>
  <c r="J34"/>
  <c r="K34" s="1"/>
  <c r="I34"/>
  <c r="H34"/>
  <c r="G34"/>
  <c r="F34"/>
  <c r="E34"/>
  <c r="D34"/>
  <c r="M32"/>
  <c r="L32"/>
  <c r="J32"/>
  <c r="K32" s="1"/>
  <c r="I32"/>
  <c r="H32"/>
  <c r="G32"/>
  <c r="F32"/>
  <c r="E32"/>
  <c r="D32"/>
  <c r="M30"/>
  <c r="L30"/>
  <c r="J30"/>
  <c r="K30" s="1"/>
  <c r="I30"/>
  <c r="H30"/>
  <c r="G30"/>
  <c r="F30"/>
  <c r="E30"/>
  <c r="D30"/>
  <c r="M148"/>
  <c r="L148"/>
  <c r="J148"/>
  <c r="K148" s="1"/>
  <c r="I148"/>
  <c r="H148"/>
  <c r="G148"/>
  <c r="F148"/>
  <c r="E148"/>
  <c r="D148"/>
  <c r="M49"/>
  <c r="L49"/>
  <c r="J49"/>
  <c r="K49" s="1"/>
  <c r="I49"/>
  <c r="H49"/>
  <c r="G49"/>
  <c r="F49"/>
  <c r="E49"/>
  <c r="D49"/>
  <c r="M42"/>
  <c r="L42"/>
  <c r="J42"/>
  <c r="K42" s="1"/>
  <c r="I42"/>
  <c r="H42"/>
  <c r="G42"/>
  <c r="F42"/>
  <c r="E42"/>
  <c r="D42"/>
  <c r="M15"/>
  <c r="L15"/>
  <c r="J15"/>
  <c r="K15" s="1"/>
  <c r="I15"/>
  <c r="H15"/>
  <c r="G15"/>
  <c r="F15"/>
  <c r="E15"/>
  <c r="D15"/>
  <c r="M20"/>
  <c r="L20"/>
  <c r="J20"/>
  <c r="K20" s="1"/>
  <c r="I20"/>
  <c r="H20"/>
  <c r="G20"/>
  <c r="F20"/>
  <c r="E20"/>
  <c r="D20"/>
  <c r="M27"/>
  <c r="L27"/>
  <c r="J27"/>
  <c r="K27" s="1"/>
  <c r="I27"/>
  <c r="H27"/>
  <c r="G27"/>
  <c r="F27"/>
  <c r="E27"/>
  <c r="D27"/>
  <c r="M8"/>
  <c r="L8"/>
  <c r="J8"/>
  <c r="K8" s="1"/>
  <c r="I8"/>
  <c r="H8"/>
  <c r="G8"/>
  <c r="F8"/>
  <c r="E8"/>
  <c r="D8"/>
  <c r="M67"/>
  <c r="L67"/>
  <c r="J67"/>
  <c r="K67" s="1"/>
  <c r="I67"/>
  <c r="H67"/>
  <c r="G67"/>
  <c r="F67"/>
  <c r="E67"/>
  <c r="D67"/>
  <c r="M62"/>
  <c r="L62"/>
  <c r="J62"/>
  <c r="K62" s="1"/>
  <c r="I62"/>
  <c r="H62"/>
  <c r="G62"/>
  <c r="F62"/>
  <c r="E62"/>
  <c r="D62"/>
  <c r="M77"/>
  <c r="L77"/>
  <c r="J77"/>
  <c r="K77" s="1"/>
  <c r="I77"/>
  <c r="H77"/>
  <c r="G77"/>
  <c r="F77"/>
  <c r="E77"/>
  <c r="D77"/>
  <c r="M71"/>
  <c r="L71"/>
  <c r="J71"/>
  <c r="K71" s="1"/>
  <c r="I71"/>
  <c r="H71"/>
  <c r="G71"/>
  <c r="F71"/>
  <c r="E71"/>
  <c r="D71"/>
  <c r="M56"/>
  <c r="L56"/>
  <c r="J56"/>
  <c r="K56" s="1"/>
  <c r="I56"/>
  <c r="H56"/>
  <c r="G56"/>
  <c r="F56"/>
  <c r="E56"/>
  <c r="D56"/>
  <c r="M242"/>
  <c r="L242"/>
  <c r="J242"/>
  <c r="K242" s="1"/>
  <c r="I242"/>
  <c r="H242"/>
  <c r="G242"/>
  <c r="F242"/>
  <c r="E242"/>
  <c r="D242"/>
  <c r="M239"/>
  <c r="L239"/>
  <c r="J239"/>
  <c r="K239" s="1"/>
  <c r="I239"/>
  <c r="H239"/>
  <c r="G239"/>
  <c r="F239"/>
  <c r="E239"/>
  <c r="D239"/>
  <c r="M118"/>
  <c r="L118"/>
  <c r="J118"/>
  <c r="K118" s="1"/>
  <c r="I118"/>
  <c r="H118"/>
  <c r="G118"/>
  <c r="F118"/>
  <c r="E118"/>
  <c r="D118"/>
  <c r="M185"/>
  <c r="L185"/>
  <c r="J185"/>
  <c r="K185" s="1"/>
  <c r="I185"/>
  <c r="H185"/>
  <c r="G185"/>
  <c r="F185"/>
  <c r="E185"/>
  <c r="D185"/>
  <c r="M183"/>
  <c r="L183"/>
  <c r="J183"/>
  <c r="K183" s="1"/>
  <c r="I183"/>
  <c r="H183"/>
  <c r="G183"/>
  <c r="F183"/>
  <c r="E183"/>
  <c r="D183"/>
  <c r="M182"/>
  <c r="L182"/>
  <c r="J182"/>
  <c r="K182" s="1"/>
  <c r="I182"/>
  <c r="H182"/>
  <c r="G182"/>
  <c r="F182"/>
  <c r="E182"/>
  <c r="D182"/>
  <c r="M181"/>
  <c r="L181"/>
  <c r="J181"/>
  <c r="K181" s="1"/>
  <c r="I181"/>
  <c r="H181"/>
  <c r="G181"/>
  <c r="F181"/>
  <c r="E181"/>
  <c r="D181"/>
  <c r="M298"/>
  <c r="L298"/>
  <c r="J298"/>
  <c r="K298" s="1"/>
  <c r="I298"/>
  <c r="H298"/>
  <c r="G298"/>
  <c r="F298"/>
  <c r="E298"/>
  <c r="D298"/>
  <c r="M137"/>
  <c r="L137"/>
  <c r="J137"/>
  <c r="K137" s="1"/>
  <c r="I137"/>
  <c r="H137"/>
  <c r="G137"/>
  <c r="F137"/>
  <c r="E137"/>
  <c r="D137"/>
  <c r="M133"/>
  <c r="L133"/>
  <c r="J133"/>
  <c r="K133" s="1"/>
  <c r="I133"/>
  <c r="H133"/>
  <c r="G133"/>
  <c r="F133"/>
  <c r="E133"/>
  <c r="D133"/>
  <c r="M145"/>
  <c r="L145"/>
  <c r="J145"/>
  <c r="K145" s="1"/>
  <c r="I145"/>
  <c r="H145"/>
  <c r="G145"/>
  <c r="F145"/>
  <c r="E145"/>
  <c r="D145"/>
  <c r="M140"/>
  <c r="L140"/>
  <c r="J140"/>
  <c r="K140" s="1"/>
  <c r="I140"/>
  <c r="H140"/>
  <c r="G140"/>
  <c r="F140"/>
  <c r="E140"/>
  <c r="D140"/>
  <c r="M252"/>
  <c r="L252"/>
  <c r="J252"/>
  <c r="K252" s="1"/>
  <c r="I252"/>
  <c r="H252"/>
  <c r="G252"/>
  <c r="F252"/>
  <c r="E252"/>
  <c r="D252"/>
  <c r="M249"/>
  <c r="L249"/>
  <c r="J249"/>
  <c r="K249" s="1"/>
  <c r="I249"/>
  <c r="H249"/>
  <c r="G249"/>
  <c r="F249"/>
  <c r="E249"/>
  <c r="D249"/>
  <c r="M247"/>
  <c r="L247"/>
  <c r="J247"/>
  <c r="K247" s="1"/>
  <c r="I247"/>
  <c r="H247"/>
  <c r="G247"/>
  <c r="F247"/>
  <c r="E247"/>
  <c r="D247"/>
  <c r="M161"/>
  <c r="L161"/>
  <c r="J161"/>
  <c r="K161" s="1"/>
  <c r="I161"/>
  <c r="H161"/>
  <c r="G161"/>
  <c r="F161"/>
  <c r="E161"/>
  <c r="D161"/>
  <c r="M160"/>
  <c r="L160"/>
  <c r="J160"/>
  <c r="K160" s="1"/>
  <c r="I160"/>
  <c r="H160"/>
  <c r="G160"/>
  <c r="F160"/>
  <c r="E160"/>
  <c r="D160"/>
  <c r="M259"/>
  <c r="L259"/>
  <c r="J259"/>
  <c r="K259" s="1"/>
  <c r="I259"/>
  <c r="H259"/>
  <c r="G259"/>
  <c r="F259"/>
  <c r="E259"/>
  <c r="D259"/>
  <c r="M257"/>
  <c r="L257"/>
  <c r="J257"/>
  <c r="K257" s="1"/>
  <c r="I257"/>
  <c r="H257"/>
  <c r="G257"/>
  <c r="F257"/>
  <c r="E257"/>
  <c r="D257"/>
  <c r="M255"/>
  <c r="L255"/>
  <c r="J255"/>
  <c r="K255" s="1"/>
  <c r="I255"/>
  <c r="H255"/>
  <c r="G255"/>
  <c r="F255"/>
  <c r="E255"/>
  <c r="D255"/>
  <c r="M288"/>
  <c r="L288"/>
  <c r="J288"/>
  <c r="K288" s="1"/>
  <c r="I288"/>
  <c r="H288"/>
  <c r="G288"/>
  <c r="F288"/>
  <c r="E288"/>
  <c r="D288"/>
  <c r="M280"/>
  <c r="L280"/>
  <c r="J280"/>
  <c r="K280" s="1"/>
  <c r="I280"/>
  <c r="H280"/>
  <c r="G280"/>
  <c r="F280"/>
  <c r="E280"/>
  <c r="D280"/>
  <c r="M292"/>
  <c r="L292"/>
  <c r="J292"/>
  <c r="K292" s="1"/>
  <c r="I292"/>
  <c r="H292"/>
  <c r="G292"/>
  <c r="F292"/>
  <c r="E292"/>
  <c r="D292"/>
  <c r="M290"/>
  <c r="L290"/>
  <c r="J290"/>
  <c r="K290" s="1"/>
  <c r="I290"/>
  <c r="H290"/>
  <c r="G290"/>
  <c r="F290"/>
  <c r="E290"/>
  <c r="D290"/>
  <c r="M108"/>
  <c r="L108"/>
  <c r="J108"/>
  <c r="K108" s="1"/>
  <c r="I108"/>
  <c r="H108"/>
  <c r="G108"/>
  <c r="F108"/>
  <c r="E108"/>
  <c r="D108"/>
  <c r="M104"/>
  <c r="L104"/>
  <c r="J104"/>
  <c r="K104" s="1"/>
  <c r="I104"/>
  <c r="H104"/>
  <c r="G104"/>
  <c r="F104"/>
  <c r="E104"/>
  <c r="D104"/>
  <c r="M98"/>
  <c r="L98"/>
  <c r="J98"/>
  <c r="K98" s="1"/>
  <c r="I98"/>
  <c r="H98"/>
  <c r="G98"/>
  <c r="F98"/>
  <c r="E98"/>
  <c r="D98"/>
  <c r="M92"/>
  <c r="L92"/>
  <c r="J92"/>
  <c r="K92" s="1"/>
  <c r="I92"/>
  <c r="H92"/>
  <c r="G92"/>
  <c r="F92"/>
  <c r="E92"/>
  <c r="D92"/>
  <c r="M86"/>
  <c r="L86"/>
  <c r="J86"/>
  <c r="K86" s="1"/>
  <c r="I86"/>
  <c r="H86"/>
  <c r="G86"/>
  <c r="F86"/>
  <c r="E86"/>
  <c r="D86"/>
  <c r="M19"/>
  <c r="L19"/>
  <c r="J19"/>
  <c r="K19" s="1"/>
  <c r="I19"/>
  <c r="H19"/>
  <c r="G19"/>
  <c r="F19"/>
  <c r="E19"/>
  <c r="D19"/>
  <c r="M26"/>
  <c r="L26"/>
  <c r="J26"/>
  <c r="K26" s="1"/>
  <c r="I26"/>
  <c r="H26"/>
  <c r="G26"/>
  <c r="F26"/>
  <c r="E26"/>
  <c r="D26"/>
  <c r="M14"/>
  <c r="L14"/>
  <c r="J14"/>
  <c r="K14" s="1"/>
  <c r="I14"/>
  <c r="H14"/>
  <c r="G14"/>
  <c r="F14"/>
  <c r="E14"/>
  <c r="D14"/>
  <c r="M48"/>
  <c r="L48"/>
  <c r="J48"/>
  <c r="K48" s="1"/>
  <c r="I48"/>
  <c r="H48"/>
  <c r="G48"/>
  <c r="F48"/>
  <c r="E48"/>
  <c r="D48"/>
  <c r="M41"/>
  <c r="L41"/>
  <c r="J41"/>
  <c r="K41" s="1"/>
  <c r="I41"/>
  <c r="H41"/>
  <c r="G41"/>
  <c r="F41"/>
  <c r="E41"/>
  <c r="D41"/>
  <c r="M7"/>
  <c r="L7"/>
  <c r="J7"/>
  <c r="K7" s="1"/>
  <c r="I7"/>
  <c r="H7"/>
  <c r="G7"/>
  <c r="F7"/>
  <c r="E7"/>
  <c r="D7"/>
  <c r="M83"/>
  <c r="L83"/>
  <c r="J83"/>
  <c r="K83" s="1"/>
  <c r="I83"/>
  <c r="H83"/>
  <c r="G83"/>
  <c r="F83"/>
  <c r="E83"/>
  <c r="D83"/>
  <c r="M80"/>
  <c r="L80"/>
  <c r="J80"/>
  <c r="K80" s="1"/>
  <c r="I80"/>
  <c r="H80"/>
  <c r="G80"/>
  <c r="F80"/>
  <c r="E80"/>
  <c r="D80"/>
  <c r="M215"/>
  <c r="L215"/>
  <c r="J215"/>
  <c r="K215" s="1"/>
  <c r="I215"/>
  <c r="H215"/>
  <c r="G215"/>
  <c r="F215"/>
  <c r="E215"/>
  <c r="D215"/>
  <c r="M204"/>
  <c r="L204"/>
  <c r="J204"/>
  <c r="K204" s="1"/>
  <c r="I204"/>
  <c r="H204"/>
  <c r="G204"/>
  <c r="F204"/>
  <c r="E204"/>
  <c r="D204"/>
  <c r="M193"/>
  <c r="L193"/>
  <c r="J193"/>
  <c r="K193" s="1"/>
  <c r="I193"/>
  <c r="H193"/>
  <c r="G193"/>
  <c r="F193"/>
  <c r="E193"/>
  <c r="D193"/>
  <c r="M174"/>
  <c r="L174"/>
  <c r="J174"/>
  <c r="K174" s="1"/>
  <c r="I174"/>
  <c r="H174"/>
  <c r="G174"/>
  <c r="F174"/>
  <c r="E174"/>
  <c r="D174"/>
  <c r="M173"/>
  <c r="L173"/>
  <c r="J173"/>
  <c r="K173" s="1"/>
  <c r="I173"/>
  <c r="H173"/>
  <c r="G173"/>
  <c r="F173"/>
  <c r="E173"/>
  <c r="D173"/>
  <c r="M170"/>
  <c r="L170"/>
  <c r="J170"/>
  <c r="K170" s="1"/>
  <c r="I170"/>
  <c r="H170"/>
  <c r="G170"/>
  <c r="F170"/>
  <c r="E170"/>
  <c r="D170"/>
  <c r="M167"/>
  <c r="L167"/>
  <c r="J167"/>
  <c r="K167" s="1"/>
  <c r="I167"/>
  <c r="H167"/>
  <c r="G167"/>
  <c r="F167"/>
  <c r="E167"/>
  <c r="D167"/>
  <c r="M186"/>
  <c r="L186"/>
  <c r="J186"/>
  <c r="K186" s="1"/>
  <c r="I186"/>
  <c r="H186"/>
  <c r="G186"/>
  <c r="F186"/>
  <c r="E186"/>
  <c r="D186"/>
  <c r="M184"/>
  <c r="L184"/>
  <c r="J184"/>
  <c r="K184" s="1"/>
  <c r="I184"/>
  <c r="H184"/>
  <c r="G184"/>
  <c r="F184"/>
  <c r="E184"/>
  <c r="D184"/>
  <c r="M180"/>
  <c r="L180"/>
  <c r="J180"/>
  <c r="K180" s="1"/>
  <c r="I180"/>
  <c r="H180"/>
  <c r="G180"/>
  <c r="F180"/>
  <c r="E180"/>
  <c r="D180"/>
  <c r="M18"/>
  <c r="L18"/>
  <c r="J18"/>
  <c r="K18" s="1"/>
  <c r="I18"/>
  <c r="H18"/>
  <c r="G18"/>
  <c r="F18"/>
  <c r="E18"/>
  <c r="D18"/>
  <c r="M25"/>
  <c r="L25"/>
  <c r="J25"/>
  <c r="K25" s="1"/>
  <c r="I25"/>
  <c r="H25"/>
  <c r="G25"/>
  <c r="F25"/>
  <c r="E25"/>
  <c r="D25"/>
  <c r="M13"/>
  <c r="L13"/>
  <c r="J13"/>
  <c r="K13" s="1"/>
  <c r="I13"/>
  <c r="H13"/>
  <c r="G13"/>
  <c r="F13"/>
  <c r="E13"/>
  <c r="D13"/>
  <c r="M47"/>
  <c r="L47"/>
  <c r="J47"/>
  <c r="K47" s="1"/>
  <c r="I47"/>
  <c r="H47"/>
  <c r="G47"/>
  <c r="F47"/>
  <c r="E47"/>
  <c r="D47"/>
  <c r="M40"/>
  <c r="L40"/>
  <c r="J40"/>
  <c r="K40" s="1"/>
  <c r="I40"/>
  <c r="H40"/>
  <c r="G40"/>
  <c r="F40"/>
  <c r="E40"/>
  <c r="D40"/>
  <c r="M6"/>
  <c r="L6"/>
  <c r="J6"/>
  <c r="K6" s="1"/>
  <c r="I6"/>
  <c r="H6"/>
  <c r="G6"/>
  <c r="F6"/>
  <c r="E6"/>
  <c r="D6"/>
  <c r="M70"/>
  <c r="L70"/>
  <c r="J70"/>
  <c r="K70" s="1"/>
  <c r="I70"/>
  <c r="H70"/>
  <c r="G70"/>
  <c r="F70"/>
  <c r="E70"/>
  <c r="D70"/>
  <c r="M66"/>
  <c r="L66"/>
  <c r="J66"/>
  <c r="K66" s="1"/>
  <c r="I66"/>
  <c r="H66"/>
  <c r="G66"/>
  <c r="F66"/>
  <c r="E66"/>
  <c r="D66"/>
  <c r="M61"/>
  <c r="L61"/>
  <c r="J61"/>
  <c r="K61" s="1"/>
  <c r="I61"/>
  <c r="H61"/>
  <c r="G61"/>
  <c r="F61"/>
  <c r="E61"/>
  <c r="D61"/>
  <c r="M76"/>
  <c r="L76"/>
  <c r="J76"/>
  <c r="K76" s="1"/>
  <c r="I76"/>
  <c r="H76"/>
  <c r="G76"/>
  <c r="F76"/>
  <c r="E76"/>
  <c r="D76"/>
  <c r="M55"/>
  <c r="L55"/>
  <c r="J55"/>
  <c r="K55" s="1"/>
  <c r="I55"/>
  <c r="H55"/>
  <c r="G55"/>
  <c r="F55"/>
  <c r="E55"/>
  <c r="D55"/>
  <c r="M302"/>
  <c r="L302"/>
  <c r="J302"/>
  <c r="K302" s="1"/>
  <c r="I302"/>
  <c r="H302"/>
  <c r="G302"/>
  <c r="F302"/>
  <c r="E302"/>
  <c r="D302"/>
  <c r="M297"/>
  <c r="L297"/>
  <c r="J297"/>
  <c r="K297" s="1"/>
  <c r="I297"/>
  <c r="H297"/>
  <c r="G297"/>
  <c r="F297"/>
  <c r="E297"/>
  <c r="D297"/>
  <c r="M237"/>
  <c r="L237"/>
  <c r="J237"/>
  <c r="K237" s="1"/>
  <c r="I237"/>
  <c r="H237"/>
  <c r="G237"/>
  <c r="F237"/>
  <c r="E237"/>
  <c r="D237"/>
  <c r="M235"/>
  <c r="L235"/>
  <c r="J235"/>
  <c r="K235" s="1"/>
  <c r="I235"/>
  <c r="H235"/>
  <c r="G235"/>
  <c r="F235"/>
  <c r="E235"/>
  <c r="D235"/>
  <c r="M233"/>
  <c r="L233"/>
  <c r="J233"/>
  <c r="K233" s="1"/>
  <c r="I233"/>
  <c r="H233"/>
  <c r="G233"/>
  <c r="F233"/>
  <c r="E233"/>
  <c r="D233"/>
  <c r="M227"/>
  <c r="L227"/>
  <c r="J227"/>
  <c r="K227" s="1"/>
  <c r="I227"/>
  <c r="H227"/>
  <c r="G227"/>
  <c r="F227"/>
  <c r="E227"/>
  <c r="D227"/>
  <c r="M226"/>
  <c r="L226"/>
  <c r="J226"/>
  <c r="K226" s="1"/>
  <c r="I226"/>
  <c r="H226"/>
  <c r="G226"/>
  <c r="F226"/>
  <c r="E226"/>
  <c r="D226"/>
  <c r="M225"/>
  <c r="L225"/>
  <c r="J225"/>
  <c r="K225" s="1"/>
  <c r="I225"/>
  <c r="H225"/>
  <c r="G225"/>
  <c r="F225"/>
  <c r="E225"/>
  <c r="D225"/>
  <c r="M306"/>
  <c r="L306"/>
  <c r="J306"/>
  <c r="K306" s="1"/>
  <c r="I306"/>
  <c r="H306"/>
  <c r="G306"/>
  <c r="F306"/>
  <c r="E306"/>
  <c r="D306"/>
  <c r="M304"/>
  <c r="L304"/>
  <c r="J304"/>
  <c r="K304" s="1"/>
  <c r="I304"/>
  <c r="H304"/>
  <c r="G304"/>
  <c r="F304"/>
  <c r="E304"/>
  <c r="D304"/>
  <c r="M172"/>
  <c r="L172"/>
  <c r="J172"/>
  <c r="K172" s="1"/>
  <c r="I172"/>
  <c r="H172"/>
  <c r="G172"/>
  <c r="F172"/>
  <c r="E172"/>
  <c r="D172"/>
  <c r="M169"/>
  <c r="L169"/>
  <c r="J169"/>
  <c r="K169" s="1"/>
  <c r="I169"/>
  <c r="H169"/>
  <c r="G169"/>
  <c r="F169"/>
  <c r="E169"/>
  <c r="D169"/>
  <c r="M166"/>
  <c r="L166"/>
  <c r="J166"/>
  <c r="K166" s="1"/>
  <c r="I166"/>
  <c r="H166"/>
  <c r="G166"/>
  <c r="F166"/>
  <c r="E166"/>
  <c r="D166"/>
  <c r="M214"/>
  <c r="L214"/>
  <c r="J214"/>
  <c r="K214" s="1"/>
  <c r="I214"/>
  <c r="H214"/>
  <c r="G214"/>
  <c r="F214"/>
  <c r="E214"/>
  <c r="D214"/>
  <c r="M203"/>
  <c r="L203"/>
  <c r="J203"/>
  <c r="K203" s="1"/>
  <c r="I203"/>
  <c r="H203"/>
  <c r="G203"/>
  <c r="F203"/>
  <c r="E203"/>
  <c r="D203"/>
  <c r="M192"/>
  <c r="L192"/>
  <c r="J192"/>
  <c r="K192" s="1"/>
  <c r="I192"/>
  <c r="H192"/>
  <c r="G192"/>
  <c r="F192"/>
  <c r="E192"/>
  <c r="D192"/>
  <c r="M171"/>
  <c r="L171"/>
  <c r="J171"/>
  <c r="K171" s="1"/>
  <c r="I171"/>
  <c r="H171"/>
  <c r="G171"/>
  <c r="F171"/>
  <c r="E171"/>
  <c r="D171"/>
  <c r="M168"/>
  <c r="L168"/>
  <c r="J168"/>
  <c r="K168" s="1"/>
  <c r="I168"/>
  <c r="H168"/>
  <c r="G168"/>
  <c r="F168"/>
  <c r="E168"/>
  <c r="D168"/>
  <c r="M165"/>
  <c r="L165"/>
  <c r="J165"/>
  <c r="K165" s="1"/>
  <c r="I165"/>
  <c r="H165"/>
  <c r="G165"/>
  <c r="F165"/>
  <c r="E165"/>
  <c r="D165"/>
  <c r="M120"/>
  <c r="L120"/>
  <c r="J120"/>
  <c r="K120" s="1"/>
  <c r="I120"/>
  <c r="H120"/>
  <c r="G120"/>
  <c r="F120"/>
  <c r="E120"/>
  <c r="D120"/>
  <c r="M117"/>
  <c r="L117"/>
  <c r="J117"/>
  <c r="K117" s="1"/>
  <c r="I117"/>
  <c r="H117"/>
  <c r="G117"/>
  <c r="F117"/>
  <c r="E117"/>
  <c r="D117"/>
  <c r="M82"/>
  <c r="L82"/>
  <c r="J82"/>
  <c r="K82" s="1"/>
  <c r="I82"/>
  <c r="H82"/>
  <c r="G82"/>
  <c r="F82"/>
  <c r="E82"/>
  <c r="D82"/>
  <c r="M79"/>
  <c r="L79"/>
  <c r="J79"/>
  <c r="K79" s="1"/>
  <c r="I79"/>
  <c r="H79"/>
  <c r="G79"/>
  <c r="F79"/>
  <c r="E79"/>
  <c r="D79"/>
  <c r="M283"/>
  <c r="L283"/>
  <c r="J283"/>
  <c r="K283" s="1"/>
  <c r="I283"/>
  <c r="H283"/>
  <c r="G283"/>
  <c r="F283"/>
  <c r="E283"/>
  <c r="D283"/>
  <c r="M279"/>
  <c r="L279"/>
  <c r="J279"/>
  <c r="K279" s="1"/>
  <c r="I279"/>
  <c r="H279"/>
  <c r="G279"/>
  <c r="F279"/>
  <c r="E279"/>
  <c r="D279"/>
  <c r="M213"/>
  <c r="L213"/>
  <c r="J213"/>
  <c r="K213" s="1"/>
  <c r="I213"/>
  <c r="H213"/>
  <c r="G213"/>
  <c r="F213"/>
  <c r="E213"/>
  <c r="D213"/>
  <c r="M202"/>
  <c r="L202"/>
  <c r="J202"/>
  <c r="K202" s="1"/>
  <c r="I202"/>
  <c r="H202"/>
  <c r="G202"/>
  <c r="F202"/>
  <c r="E202"/>
  <c r="D202"/>
  <c r="M191"/>
  <c r="L191"/>
  <c r="J191"/>
  <c r="K191" s="1"/>
  <c r="I191"/>
  <c r="H191"/>
  <c r="G191"/>
  <c r="F191"/>
  <c r="E191"/>
  <c r="D191"/>
  <c r="M157"/>
  <c r="L157"/>
  <c r="J157"/>
  <c r="K157" s="1"/>
  <c r="I157"/>
  <c r="H157"/>
  <c r="G157"/>
  <c r="F157"/>
  <c r="E157"/>
  <c r="D157"/>
  <c r="M156"/>
  <c r="L156"/>
  <c r="J156"/>
  <c r="K156" s="1"/>
  <c r="I156"/>
  <c r="H156"/>
  <c r="G156"/>
  <c r="F156"/>
  <c r="E156"/>
  <c r="D156"/>
  <c r="M153"/>
  <c r="L153"/>
  <c r="J153"/>
  <c r="K153" s="1"/>
  <c r="I153"/>
  <c r="H153"/>
  <c r="G153"/>
  <c r="F153"/>
  <c r="E153"/>
  <c r="D153"/>
  <c r="M152"/>
  <c r="L152"/>
  <c r="J152"/>
  <c r="K152" s="1"/>
  <c r="I152"/>
  <c r="H152"/>
  <c r="G152"/>
  <c r="F152"/>
  <c r="E152"/>
  <c r="D152"/>
  <c r="M136"/>
  <c r="L136"/>
  <c r="J136"/>
  <c r="K136" s="1"/>
  <c r="I136"/>
  <c r="H136"/>
  <c r="G136"/>
  <c r="F136"/>
  <c r="E136"/>
  <c r="D136"/>
  <c r="M132"/>
  <c r="L132"/>
  <c r="J132"/>
  <c r="K132" s="1"/>
  <c r="I132"/>
  <c r="H132"/>
  <c r="G132"/>
  <c r="F132"/>
  <c r="E132"/>
  <c r="D132"/>
  <c r="M144"/>
  <c r="L144"/>
  <c r="J144"/>
  <c r="K144" s="1"/>
  <c r="I144"/>
  <c r="H144"/>
  <c r="G144"/>
  <c r="F144"/>
  <c r="E144"/>
  <c r="D144"/>
  <c r="M142"/>
  <c r="L142"/>
  <c r="J142"/>
  <c r="K142" s="1"/>
  <c r="I142"/>
  <c r="H142"/>
  <c r="G142"/>
  <c r="F142"/>
  <c r="E142"/>
  <c r="D142"/>
  <c r="M150"/>
  <c r="L150"/>
  <c r="J150"/>
  <c r="K150" s="1"/>
  <c r="I150"/>
  <c r="H150"/>
  <c r="G150"/>
  <c r="F150"/>
  <c r="E150"/>
  <c r="D150"/>
  <c r="M139"/>
  <c r="L139"/>
  <c r="J139"/>
  <c r="K139" s="1"/>
  <c r="I139"/>
  <c r="H139"/>
  <c r="G139"/>
  <c r="F139"/>
  <c r="E139"/>
  <c r="D139"/>
  <c r="M149"/>
  <c r="L149"/>
  <c r="J149"/>
  <c r="K149" s="1"/>
  <c r="I149"/>
  <c r="H149"/>
  <c r="G149"/>
  <c r="F149"/>
  <c r="E149"/>
  <c r="D149"/>
  <c r="M147"/>
  <c r="L147"/>
  <c r="J147"/>
  <c r="K147" s="1"/>
  <c r="I147"/>
  <c r="H147"/>
  <c r="G147"/>
  <c r="F147"/>
  <c r="E147"/>
  <c r="D147"/>
  <c r="M236"/>
  <c r="L236"/>
  <c r="J236"/>
  <c r="K236" s="1"/>
  <c r="I236"/>
  <c r="H236"/>
  <c r="G236"/>
  <c r="F236"/>
  <c r="E236"/>
  <c r="D236"/>
  <c r="M234"/>
  <c r="L234"/>
  <c r="J234"/>
  <c r="K234" s="1"/>
  <c r="I234"/>
  <c r="H234"/>
  <c r="G234"/>
  <c r="F234"/>
  <c r="E234"/>
  <c r="D234"/>
  <c r="M232"/>
  <c r="L232"/>
  <c r="J232"/>
  <c r="K232" s="1"/>
  <c r="I232"/>
  <c r="H232"/>
  <c r="G232"/>
  <c r="F232"/>
  <c r="E232"/>
  <c r="D232"/>
  <c r="M287"/>
  <c r="L287"/>
  <c r="J287"/>
  <c r="K287" s="1"/>
  <c r="I287"/>
  <c r="H287"/>
  <c r="G287"/>
  <c r="F287"/>
  <c r="E287"/>
  <c r="D287"/>
  <c r="M282"/>
  <c r="L282"/>
  <c r="J282"/>
  <c r="K282" s="1"/>
  <c r="I282"/>
  <c r="H282"/>
  <c r="G282"/>
  <c r="F282"/>
  <c r="E282"/>
  <c r="D282"/>
  <c r="M278"/>
  <c r="L278"/>
  <c r="J278"/>
  <c r="K278" s="1"/>
  <c r="I278"/>
  <c r="H278"/>
  <c r="G278"/>
  <c r="F278"/>
  <c r="E278"/>
  <c r="D278"/>
  <c r="M277"/>
  <c r="L277"/>
  <c r="J277"/>
  <c r="K277" s="1"/>
  <c r="I277"/>
  <c r="H277"/>
  <c r="G277"/>
  <c r="F277"/>
  <c r="E277"/>
  <c r="D277"/>
  <c r="M276"/>
  <c r="L276"/>
  <c r="J276"/>
  <c r="K276" s="1"/>
  <c r="I276"/>
  <c r="H276"/>
  <c r="G276"/>
  <c r="F276"/>
  <c r="E276"/>
  <c r="D276"/>
  <c r="M275"/>
  <c r="L275"/>
  <c r="J275"/>
  <c r="K275" s="1"/>
  <c r="I275"/>
  <c r="H275"/>
  <c r="G275"/>
  <c r="F275"/>
  <c r="E275"/>
  <c r="D275"/>
  <c r="M24"/>
  <c r="L24"/>
  <c r="J24"/>
  <c r="K24" s="1"/>
  <c r="I24"/>
  <c r="H24"/>
  <c r="G24"/>
  <c r="F24"/>
  <c r="E24"/>
  <c r="D24"/>
  <c r="M12"/>
  <c r="L12"/>
  <c r="J12"/>
  <c r="K12" s="1"/>
  <c r="I12"/>
  <c r="H12"/>
  <c r="G12"/>
  <c r="F12"/>
  <c r="E12"/>
  <c r="D12"/>
  <c r="M46"/>
  <c r="L46"/>
  <c r="J46"/>
  <c r="K46" s="1"/>
  <c r="I46"/>
  <c r="H46"/>
  <c r="G46"/>
  <c r="F46"/>
  <c r="E46"/>
  <c r="D46"/>
  <c r="M39"/>
  <c r="L39"/>
  <c r="J39"/>
  <c r="K39" s="1"/>
  <c r="I39"/>
  <c r="H39"/>
  <c r="G39"/>
  <c r="F39"/>
  <c r="E39"/>
  <c r="D39"/>
  <c r="M5"/>
  <c r="L5"/>
  <c r="J5"/>
  <c r="K5" s="1"/>
  <c r="I5"/>
  <c r="H5"/>
  <c r="G5"/>
  <c r="F5"/>
  <c r="E5"/>
  <c r="D5"/>
  <c r="M65"/>
  <c r="L65"/>
  <c r="J65"/>
  <c r="K65" s="1"/>
  <c r="I65"/>
  <c r="H65"/>
  <c r="G65"/>
  <c r="F65"/>
  <c r="E65"/>
  <c r="D65"/>
  <c r="M60"/>
  <c r="L60"/>
  <c r="J60"/>
  <c r="K60" s="1"/>
  <c r="I60"/>
  <c r="H60"/>
  <c r="G60"/>
  <c r="F60"/>
  <c r="E60"/>
  <c r="D60"/>
  <c r="M75"/>
  <c r="L75"/>
  <c r="J75"/>
  <c r="K75" s="1"/>
  <c r="I75"/>
  <c r="H75"/>
  <c r="G75"/>
  <c r="F75"/>
  <c r="E75"/>
  <c r="D75"/>
  <c r="M54"/>
  <c r="L54"/>
  <c r="J54"/>
  <c r="K54" s="1"/>
  <c r="I54"/>
  <c r="H54"/>
  <c r="G54"/>
  <c r="F54"/>
  <c r="E54"/>
  <c r="D54"/>
  <c r="M305"/>
  <c r="L305"/>
  <c r="J305"/>
  <c r="K305" s="1"/>
  <c r="I305"/>
  <c r="H305"/>
  <c r="G305"/>
  <c r="F305"/>
  <c r="E305"/>
  <c r="D305"/>
  <c r="M303"/>
  <c r="L303"/>
  <c r="J303"/>
  <c r="K303" s="1"/>
  <c r="I303"/>
  <c r="H303"/>
  <c r="G303"/>
  <c r="F303"/>
  <c r="E303"/>
  <c r="D303"/>
  <c r="M212"/>
  <c r="L212"/>
  <c r="J212"/>
  <c r="K212" s="1"/>
  <c r="I212"/>
  <c r="H212"/>
  <c r="G212"/>
  <c r="F212"/>
  <c r="E212"/>
  <c r="D212"/>
  <c r="M201"/>
  <c r="L201"/>
  <c r="J201"/>
  <c r="K201" s="1"/>
  <c r="I201"/>
  <c r="H201"/>
  <c r="G201"/>
  <c r="F201"/>
  <c r="E201"/>
  <c r="D201"/>
  <c r="M190"/>
  <c r="L190"/>
  <c r="J190"/>
  <c r="K190" s="1"/>
  <c r="I190"/>
  <c r="H190"/>
  <c r="G190"/>
  <c r="F190"/>
  <c r="E190"/>
  <c r="D190"/>
  <c r="M274"/>
  <c r="L274"/>
  <c r="J274"/>
  <c r="K274" s="1"/>
  <c r="I274"/>
  <c r="H274"/>
  <c r="G274"/>
  <c r="F274"/>
  <c r="E274"/>
  <c r="D274"/>
  <c r="M273"/>
  <c r="L273"/>
  <c r="J273"/>
  <c r="K273" s="1"/>
  <c r="I273"/>
  <c r="H273"/>
  <c r="G273"/>
  <c r="F273"/>
  <c r="E273"/>
  <c r="D273"/>
  <c r="M272"/>
  <c r="L272"/>
  <c r="J272"/>
  <c r="K272" s="1"/>
  <c r="I272"/>
  <c r="H272"/>
  <c r="G272"/>
  <c r="F272"/>
  <c r="E272"/>
  <c r="D272"/>
  <c r="M135"/>
  <c r="L135"/>
  <c r="J135"/>
  <c r="K135" s="1"/>
  <c r="I135"/>
  <c r="H135"/>
  <c r="G135"/>
  <c r="F135"/>
  <c r="E135"/>
  <c r="D135"/>
  <c r="M131"/>
  <c r="L131"/>
  <c r="J131"/>
  <c r="K131" s="1"/>
  <c r="I131"/>
  <c r="H131"/>
  <c r="G131"/>
  <c r="F131"/>
  <c r="E131"/>
  <c r="D131"/>
  <c r="M122"/>
  <c r="L122"/>
  <c r="J122"/>
  <c r="K122" s="1"/>
  <c r="I122"/>
  <c r="H122"/>
  <c r="G122"/>
  <c r="F122"/>
  <c r="E122"/>
  <c r="D122"/>
  <c r="M121"/>
  <c r="L121"/>
  <c r="J121"/>
  <c r="K121" s="1"/>
  <c r="I121"/>
  <c r="H121"/>
  <c r="G121"/>
  <c r="F121"/>
  <c r="E121"/>
  <c r="D121"/>
  <c r="M241"/>
  <c r="L241"/>
  <c r="J241"/>
  <c r="K241" s="1"/>
  <c r="I241"/>
  <c r="H241"/>
  <c r="G241"/>
  <c r="F241"/>
  <c r="E241"/>
  <c r="D241"/>
  <c r="M238"/>
  <c r="L238"/>
  <c r="J238"/>
  <c r="K238" s="1"/>
  <c r="I238"/>
  <c r="H238"/>
  <c r="G238"/>
  <c r="F238"/>
  <c r="E238"/>
  <c r="D238"/>
  <c r="M107"/>
  <c r="L107"/>
  <c r="J107"/>
  <c r="K107" s="1"/>
  <c r="I107"/>
  <c r="H107"/>
  <c r="G107"/>
  <c r="F107"/>
  <c r="E107"/>
  <c r="D107"/>
  <c r="M103"/>
  <c r="L103"/>
  <c r="J103"/>
  <c r="K103" s="1"/>
  <c r="I103"/>
  <c r="H103"/>
  <c r="G103"/>
  <c r="F103"/>
  <c r="E103"/>
  <c r="D103"/>
  <c r="M97"/>
  <c r="L97"/>
  <c r="J97"/>
  <c r="K97" s="1"/>
  <c r="I97"/>
  <c r="H97"/>
  <c r="G97"/>
  <c r="F97"/>
  <c r="E97"/>
  <c r="D97"/>
  <c r="M91"/>
  <c r="L91"/>
  <c r="J91"/>
  <c r="K91" s="1"/>
  <c r="I91"/>
  <c r="H91"/>
  <c r="G91"/>
  <c r="F91"/>
  <c r="E91"/>
  <c r="D91"/>
  <c r="M85"/>
  <c r="L85"/>
  <c r="J85"/>
  <c r="K85" s="1"/>
  <c r="I85"/>
  <c r="H85"/>
  <c r="G85"/>
  <c r="F85"/>
  <c r="E85"/>
  <c r="D85"/>
  <c r="M178"/>
  <c r="L178"/>
  <c r="J178"/>
  <c r="K178" s="1"/>
  <c r="I178"/>
  <c r="H178"/>
  <c r="G178"/>
  <c r="F178"/>
  <c r="E178"/>
  <c r="D178"/>
  <c r="M176"/>
  <c r="L176"/>
  <c r="J176"/>
  <c r="K176" s="1"/>
  <c r="I176"/>
  <c r="H176"/>
  <c r="G176"/>
  <c r="F176"/>
  <c r="E176"/>
  <c r="D176"/>
  <c r="M295"/>
  <c r="L295"/>
  <c r="J295"/>
  <c r="K295" s="1"/>
  <c r="I295"/>
  <c r="H295"/>
  <c r="G295"/>
  <c r="F295"/>
  <c r="E295"/>
  <c r="D295"/>
  <c r="M286"/>
  <c r="L286"/>
  <c r="J286"/>
  <c r="K286" s="1"/>
  <c r="I286"/>
  <c r="H286"/>
  <c r="G286"/>
  <c r="F286"/>
  <c r="E286"/>
  <c r="D286"/>
  <c r="M300"/>
  <c r="L300"/>
  <c r="J300"/>
  <c r="K300" s="1"/>
  <c r="I300"/>
  <c r="H300"/>
  <c r="G300"/>
  <c r="F300"/>
  <c r="E300"/>
  <c r="D300"/>
  <c r="M296"/>
  <c r="L296"/>
  <c r="J296"/>
  <c r="K296" s="1"/>
  <c r="I296"/>
  <c r="H296"/>
  <c r="G296"/>
  <c r="F296"/>
  <c r="E296"/>
  <c r="D296"/>
  <c r="M211"/>
  <c r="L211"/>
  <c r="J211"/>
  <c r="K211" s="1"/>
  <c r="I211"/>
  <c r="H211"/>
  <c r="G211"/>
  <c r="F211"/>
  <c r="E211"/>
  <c r="D211"/>
  <c r="M200"/>
  <c r="L200"/>
  <c r="J200"/>
  <c r="K200" s="1"/>
  <c r="I200"/>
  <c r="H200"/>
  <c r="G200"/>
  <c r="F200"/>
  <c r="E200"/>
  <c r="D200"/>
  <c r="M189"/>
  <c r="L189"/>
  <c r="J189"/>
  <c r="K189" s="1"/>
  <c r="I189"/>
  <c r="H189"/>
  <c r="G189"/>
  <c r="F189"/>
  <c r="E189"/>
  <c r="D189"/>
  <c r="M119"/>
  <c r="L119"/>
  <c r="J119"/>
  <c r="K119" s="1"/>
  <c r="I119"/>
  <c r="H119"/>
  <c r="G119"/>
  <c r="F119"/>
  <c r="E119"/>
  <c r="D119"/>
  <c r="M116"/>
  <c r="L116"/>
  <c r="J116"/>
  <c r="K116" s="1"/>
  <c r="I116"/>
  <c r="H116"/>
  <c r="G116"/>
  <c r="F116"/>
  <c r="E116"/>
  <c r="D116"/>
  <c r="M175"/>
  <c r="L175"/>
  <c r="J175"/>
  <c r="K175" s="1"/>
  <c r="I175"/>
  <c r="H175"/>
  <c r="G175"/>
  <c r="F175"/>
  <c r="E175"/>
  <c r="D175"/>
  <c r="M126"/>
  <c r="L126"/>
  <c r="J126"/>
  <c r="K126" s="1"/>
  <c r="I126"/>
  <c r="H126"/>
  <c r="G126"/>
  <c r="F126"/>
  <c r="E126"/>
  <c r="D126"/>
  <c r="M125"/>
  <c r="L125"/>
  <c r="J125"/>
  <c r="K125" s="1"/>
  <c r="I125"/>
  <c r="H125"/>
  <c r="G125"/>
  <c r="F125"/>
  <c r="E125"/>
  <c r="D125"/>
  <c r="M124"/>
  <c r="L124"/>
  <c r="J124"/>
  <c r="K124" s="1"/>
  <c r="I124"/>
  <c r="H124"/>
  <c r="G124"/>
  <c r="F124"/>
  <c r="E124"/>
  <c r="D124"/>
  <c r="M123"/>
  <c r="L123"/>
  <c r="J123"/>
  <c r="K123" s="1"/>
  <c r="I123"/>
  <c r="H123"/>
  <c r="G123"/>
  <c r="F123"/>
  <c r="E123"/>
  <c r="D123"/>
  <c r="M231"/>
  <c r="L231"/>
  <c r="J231"/>
  <c r="K231" s="1"/>
  <c r="I231"/>
  <c r="H231"/>
  <c r="G231"/>
  <c r="F231"/>
  <c r="E231"/>
  <c r="D231"/>
  <c r="M230"/>
  <c r="L230"/>
  <c r="J230"/>
  <c r="K230" s="1"/>
  <c r="I230"/>
  <c r="H230"/>
  <c r="G230"/>
  <c r="F230"/>
  <c r="E230"/>
  <c r="D230"/>
  <c r="M229"/>
  <c r="L229"/>
  <c r="J229"/>
  <c r="K229" s="1"/>
  <c r="I229"/>
  <c r="H229"/>
  <c r="G229"/>
  <c r="F229"/>
  <c r="E229"/>
  <c r="D229"/>
  <c r="M228"/>
  <c r="L228"/>
  <c r="J228"/>
  <c r="K228" s="1"/>
  <c r="I228"/>
  <c r="H228"/>
  <c r="G228"/>
  <c r="F228"/>
  <c r="E228"/>
  <c r="D228"/>
  <c r="M294"/>
  <c r="L294"/>
  <c r="J294"/>
  <c r="K294" s="1"/>
  <c r="I294"/>
  <c r="H294"/>
  <c r="G294"/>
  <c r="F294"/>
  <c r="E294"/>
  <c r="D294"/>
  <c r="M285"/>
  <c r="L285"/>
  <c r="J285"/>
  <c r="K285" s="1"/>
  <c r="I285"/>
  <c r="H285"/>
  <c r="G285"/>
  <c r="F285"/>
  <c r="E285"/>
  <c r="D285"/>
  <c r="M23"/>
  <c r="L23"/>
  <c r="J23"/>
  <c r="K23" s="1"/>
  <c r="I23"/>
  <c r="H23"/>
  <c r="G23"/>
  <c r="F23"/>
  <c r="E23"/>
  <c r="D23"/>
  <c r="M11"/>
  <c r="L11"/>
  <c r="J11"/>
  <c r="K11" s="1"/>
  <c r="I11"/>
  <c r="H11"/>
  <c r="G11"/>
  <c r="F11"/>
  <c r="E11"/>
  <c r="D11"/>
  <c r="M45"/>
  <c r="L45"/>
  <c r="J45"/>
  <c r="K45" s="1"/>
  <c r="I45"/>
  <c r="H45"/>
  <c r="G45"/>
  <c r="F45"/>
  <c r="E45"/>
  <c r="D45"/>
  <c r="M38"/>
  <c r="L38"/>
  <c r="J38"/>
  <c r="K38" s="1"/>
  <c r="I38"/>
  <c r="H38"/>
  <c r="G38"/>
  <c r="F38"/>
  <c r="E38"/>
  <c r="D38"/>
  <c r="M4"/>
  <c r="L4"/>
  <c r="J4"/>
  <c r="K4" s="1"/>
  <c r="I4"/>
  <c r="H4"/>
  <c r="G4"/>
  <c r="F4"/>
  <c r="E4"/>
  <c r="D4"/>
  <c r="M52"/>
  <c r="L52"/>
  <c r="J52"/>
  <c r="K52" s="1"/>
  <c r="I52"/>
  <c r="H52"/>
  <c r="G52"/>
  <c r="F52"/>
  <c r="E52"/>
  <c r="D52"/>
  <c r="M59"/>
  <c r="L59"/>
  <c r="J59"/>
  <c r="K59" s="1"/>
  <c r="I59"/>
  <c r="H59"/>
  <c r="G59"/>
  <c r="F59"/>
  <c r="E59"/>
  <c r="D59"/>
  <c r="M74"/>
  <c r="L74"/>
  <c r="J74"/>
  <c r="K74" s="1"/>
  <c r="I74"/>
  <c r="H74"/>
  <c r="G74"/>
  <c r="F74"/>
  <c r="E74"/>
  <c r="D74"/>
  <c r="M53"/>
  <c r="L53"/>
  <c r="J53"/>
  <c r="K53" s="1"/>
  <c r="I53"/>
  <c r="H53"/>
  <c r="G53"/>
  <c r="F53"/>
  <c r="E53"/>
  <c r="D53"/>
  <c r="O329" l="1"/>
  <c r="I327"/>
  <c r="N328"/>
  <c r="H327"/>
  <c r="H329" s="1"/>
  <c r="N329"/>
  <c r="D329"/>
  <c r="D328"/>
  <c r="N331"/>
  <c r="N330"/>
  <c r="O330"/>
  <c r="P328"/>
  <c r="O331"/>
  <c r="B38" i="112"/>
  <c r="C38"/>
  <c r="D38"/>
  <c r="E38"/>
  <c r="F38"/>
  <c r="G38"/>
  <c r="H38"/>
  <c r="I38" s="1"/>
  <c r="J38"/>
  <c r="K38"/>
  <c r="B39"/>
  <c r="C39"/>
  <c r="D39"/>
  <c r="E39"/>
  <c r="F39"/>
  <c r="G39"/>
  <c r="H39"/>
  <c r="I39" s="1"/>
  <c r="J39"/>
  <c r="K39"/>
  <c r="B40"/>
  <c r="C40"/>
  <c r="D40"/>
  <c r="E40"/>
  <c r="F40"/>
  <c r="G40"/>
  <c r="H40"/>
  <c r="I40" s="1"/>
  <c r="J40"/>
  <c r="K40"/>
  <c r="B41"/>
  <c r="C41"/>
  <c r="D41"/>
  <c r="E41"/>
  <c r="F41"/>
  <c r="G41"/>
  <c r="H41"/>
  <c r="I41" s="1"/>
  <c r="J41"/>
  <c r="K41"/>
  <c r="B42"/>
  <c r="C42"/>
  <c r="D42"/>
  <c r="E42"/>
  <c r="F42"/>
  <c r="G42"/>
  <c r="H42"/>
  <c r="I42" s="1"/>
  <c r="J42"/>
  <c r="K42"/>
  <c r="E51"/>
  <c r="C51"/>
  <c r="C50"/>
  <c r="O332" i="15" l="1"/>
  <c r="H328"/>
  <c r="I329"/>
  <c r="N332"/>
  <c r="D52" i="112"/>
  <c r="B52"/>
  <c r="S45"/>
  <c r="R45"/>
  <c r="Q45"/>
  <c r="P45"/>
  <c r="O45"/>
  <c r="N45"/>
  <c r="M45"/>
  <c r="L45"/>
  <c r="K37"/>
  <c r="J37"/>
  <c r="H37"/>
  <c r="I37" s="1"/>
  <c r="G37"/>
  <c r="F37"/>
  <c r="E37"/>
  <c r="D37"/>
  <c r="C37"/>
  <c r="B37"/>
  <c r="K36"/>
  <c r="J36"/>
  <c r="H36"/>
  <c r="I36" s="1"/>
  <c r="G36"/>
  <c r="F36"/>
  <c r="E36"/>
  <c r="D36"/>
  <c r="C36"/>
  <c r="B36"/>
  <c r="K35"/>
  <c r="J35"/>
  <c r="H35"/>
  <c r="I35" s="1"/>
  <c r="G35"/>
  <c r="F35"/>
  <c r="E35"/>
  <c r="D35"/>
  <c r="C35"/>
  <c r="B35"/>
  <c r="K34"/>
  <c r="J34"/>
  <c r="H34"/>
  <c r="I34" s="1"/>
  <c r="G34"/>
  <c r="F34"/>
  <c r="E34"/>
  <c r="D34"/>
  <c r="C34"/>
  <c r="B34"/>
  <c r="K33"/>
  <c r="J33"/>
  <c r="H33"/>
  <c r="I33" s="1"/>
  <c r="G33"/>
  <c r="F33"/>
  <c r="E33"/>
  <c r="D33"/>
  <c r="C33"/>
  <c r="B33"/>
  <c r="K32"/>
  <c r="J32"/>
  <c r="H32"/>
  <c r="I32" s="1"/>
  <c r="G32"/>
  <c r="F32"/>
  <c r="E32"/>
  <c r="D32"/>
  <c r="C32"/>
  <c r="B32"/>
  <c r="K31"/>
  <c r="J31"/>
  <c r="H31"/>
  <c r="I31" s="1"/>
  <c r="G31"/>
  <c r="F31"/>
  <c r="E31"/>
  <c r="D31"/>
  <c r="C31"/>
  <c r="B31"/>
  <c r="K30"/>
  <c r="J30"/>
  <c r="H30"/>
  <c r="I30" s="1"/>
  <c r="G30"/>
  <c r="F30"/>
  <c r="E30"/>
  <c r="D30"/>
  <c r="C30"/>
  <c r="B30"/>
  <c r="K29"/>
  <c r="J29"/>
  <c r="H29"/>
  <c r="I29" s="1"/>
  <c r="G29"/>
  <c r="F29"/>
  <c r="E29"/>
  <c r="D29"/>
  <c r="C29"/>
  <c r="B29"/>
  <c r="K9"/>
  <c r="J9"/>
  <c r="H9"/>
  <c r="I9" s="1"/>
  <c r="G9"/>
  <c r="F9"/>
  <c r="E9"/>
  <c r="D9"/>
  <c r="C9"/>
  <c r="B9"/>
  <c r="K8"/>
  <c r="J8"/>
  <c r="H8"/>
  <c r="I8" s="1"/>
  <c r="G8"/>
  <c r="F8"/>
  <c r="E8"/>
  <c r="D8"/>
  <c r="C8"/>
  <c r="B8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B37" i="111"/>
  <c r="C37"/>
  <c r="D37"/>
  <c r="E37"/>
  <c r="F37"/>
  <c r="G37"/>
  <c r="H37"/>
  <c r="I37" s="1"/>
  <c r="J37"/>
  <c r="K37"/>
  <c r="B34"/>
  <c r="C34"/>
  <c r="D34"/>
  <c r="E34"/>
  <c r="F34"/>
  <c r="G34"/>
  <c r="H34"/>
  <c r="I34" s="1"/>
  <c r="J34"/>
  <c r="K34"/>
  <c r="B35"/>
  <c r="C35"/>
  <c r="D35"/>
  <c r="E35"/>
  <c r="F35"/>
  <c r="G35"/>
  <c r="H35"/>
  <c r="I35" s="1"/>
  <c r="J35"/>
  <c r="K35"/>
  <c r="B36"/>
  <c r="C36"/>
  <c r="D36"/>
  <c r="E36"/>
  <c r="F36"/>
  <c r="G36"/>
  <c r="H36"/>
  <c r="I36" s="1"/>
  <c r="J36"/>
  <c r="K36"/>
  <c r="E45" i="112" l="1"/>
  <c r="L46"/>
  <c r="G45"/>
  <c r="K45"/>
  <c r="F45"/>
  <c r="N46"/>
  <c r="C49" i="111"/>
  <c r="C52" i="112" s="1"/>
  <c r="E50" i="111"/>
  <c r="C50"/>
  <c r="B7"/>
  <c r="C7"/>
  <c r="D7"/>
  <c r="E7"/>
  <c r="F7"/>
  <c r="G7"/>
  <c r="H7"/>
  <c r="I7" s="1"/>
  <c r="J7"/>
  <c r="K7"/>
  <c r="B8"/>
  <c r="C8"/>
  <c r="D8"/>
  <c r="E8"/>
  <c r="F8"/>
  <c r="G8"/>
  <c r="H8"/>
  <c r="I8" s="1"/>
  <c r="J8"/>
  <c r="K8"/>
  <c r="B13"/>
  <c r="C13"/>
  <c r="D13"/>
  <c r="E13"/>
  <c r="F13"/>
  <c r="G13"/>
  <c r="H13"/>
  <c r="I13" s="1"/>
  <c r="J13"/>
  <c r="K13"/>
  <c r="D51"/>
  <c r="B51"/>
  <c r="S44"/>
  <c r="S46" s="1"/>
  <c r="R44"/>
  <c r="R46" s="1"/>
  <c r="Q44"/>
  <c r="P44"/>
  <c r="P46" s="1"/>
  <c r="O44"/>
  <c r="O46" s="1"/>
  <c r="N44"/>
  <c r="N46" s="1"/>
  <c r="M44"/>
  <c r="M46" s="1"/>
  <c r="L44"/>
  <c r="L46" s="1"/>
  <c r="K33"/>
  <c r="J33"/>
  <c r="H33"/>
  <c r="I33" s="1"/>
  <c r="G33"/>
  <c r="F33"/>
  <c r="E33"/>
  <c r="D33"/>
  <c r="C33"/>
  <c r="B33"/>
  <c r="K32"/>
  <c r="J32"/>
  <c r="H32"/>
  <c r="I32" s="1"/>
  <c r="G32"/>
  <c r="F32"/>
  <c r="E32"/>
  <c r="D32"/>
  <c r="C32"/>
  <c r="B32"/>
  <c r="K31"/>
  <c r="J31"/>
  <c r="H31"/>
  <c r="I31" s="1"/>
  <c r="G31"/>
  <c r="F31"/>
  <c r="E31"/>
  <c r="D31"/>
  <c r="C31"/>
  <c r="B31"/>
  <c r="K30"/>
  <c r="J30"/>
  <c r="H30"/>
  <c r="I30" s="1"/>
  <c r="G30"/>
  <c r="F30"/>
  <c r="E30"/>
  <c r="D30"/>
  <c r="C30"/>
  <c r="B30"/>
  <c r="K29"/>
  <c r="J29"/>
  <c r="H29"/>
  <c r="I29" s="1"/>
  <c r="G29"/>
  <c r="F29"/>
  <c r="E29"/>
  <c r="D29"/>
  <c r="C29"/>
  <c r="B29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19"/>
  <c r="J19"/>
  <c r="H19"/>
  <c r="I19" s="1"/>
  <c r="G19"/>
  <c r="F19"/>
  <c r="E19"/>
  <c r="D19"/>
  <c r="C19"/>
  <c r="B19"/>
  <c r="K18"/>
  <c r="J18"/>
  <c r="H18"/>
  <c r="I18" s="1"/>
  <c r="G18"/>
  <c r="F18"/>
  <c r="E18"/>
  <c r="D18"/>
  <c r="C18"/>
  <c r="B18"/>
  <c r="K17"/>
  <c r="J17"/>
  <c r="H17"/>
  <c r="I17" s="1"/>
  <c r="G17"/>
  <c r="F17"/>
  <c r="E17"/>
  <c r="D17"/>
  <c r="C17"/>
  <c r="B17"/>
  <c r="K16"/>
  <c r="J16"/>
  <c r="H16"/>
  <c r="I16" s="1"/>
  <c r="G16"/>
  <c r="F16"/>
  <c r="E16"/>
  <c r="D16"/>
  <c r="C16"/>
  <c r="B16"/>
  <c r="K15"/>
  <c r="J15"/>
  <c r="H15"/>
  <c r="I15" s="1"/>
  <c r="G15"/>
  <c r="F15"/>
  <c r="E15"/>
  <c r="D15"/>
  <c r="C15"/>
  <c r="B15"/>
  <c r="K14"/>
  <c r="J14"/>
  <c r="H14"/>
  <c r="I14" s="1"/>
  <c r="G14"/>
  <c r="F14"/>
  <c r="E14"/>
  <c r="D14"/>
  <c r="C14"/>
  <c r="B14"/>
  <c r="K12"/>
  <c r="J12"/>
  <c r="H12"/>
  <c r="I12" s="1"/>
  <c r="G12"/>
  <c r="F12"/>
  <c r="E12"/>
  <c r="D12"/>
  <c r="C12"/>
  <c r="B12"/>
  <c r="K11"/>
  <c r="J11"/>
  <c r="H11"/>
  <c r="I11" s="1"/>
  <c r="G11"/>
  <c r="F11"/>
  <c r="E11"/>
  <c r="D11"/>
  <c r="C11"/>
  <c r="B11"/>
  <c r="K10"/>
  <c r="J10"/>
  <c r="H10"/>
  <c r="I10" s="1"/>
  <c r="G10"/>
  <c r="F10"/>
  <c r="E10"/>
  <c r="D10"/>
  <c r="C10"/>
  <c r="B10"/>
  <c r="K9"/>
  <c r="J9"/>
  <c r="H9"/>
  <c r="I9" s="1"/>
  <c r="G9"/>
  <c r="F9"/>
  <c r="E9"/>
  <c r="D9"/>
  <c r="C9"/>
  <c r="B9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B30" i="110"/>
  <c r="C30"/>
  <c r="D30"/>
  <c r="E30"/>
  <c r="F30"/>
  <c r="G30"/>
  <c r="H30"/>
  <c r="I30" s="1"/>
  <c r="J30"/>
  <c r="K30"/>
  <c r="B31"/>
  <c r="C31"/>
  <c r="D31"/>
  <c r="E31"/>
  <c r="F31"/>
  <c r="G31"/>
  <c r="H31"/>
  <c r="I31" s="1"/>
  <c r="J31"/>
  <c r="K31"/>
  <c r="B32"/>
  <c r="C32"/>
  <c r="D32"/>
  <c r="E32"/>
  <c r="F32"/>
  <c r="G32"/>
  <c r="H32"/>
  <c r="I32" s="1"/>
  <c r="J32"/>
  <c r="K32"/>
  <c r="K29"/>
  <c r="J29"/>
  <c r="H29"/>
  <c r="I29" s="1"/>
  <c r="G29"/>
  <c r="F29"/>
  <c r="E29"/>
  <c r="D29"/>
  <c r="C29"/>
  <c r="B29"/>
  <c r="K28"/>
  <c r="J28"/>
  <c r="H28"/>
  <c r="I28" s="1"/>
  <c r="G28"/>
  <c r="F28"/>
  <c r="E28"/>
  <c r="D28"/>
  <c r="C28"/>
  <c r="B28"/>
  <c r="E50"/>
  <c r="C50"/>
  <c r="C49"/>
  <c r="B25"/>
  <c r="C25"/>
  <c r="D25"/>
  <c r="E25"/>
  <c r="F25"/>
  <c r="G25"/>
  <c r="H25"/>
  <c r="I25" s="1"/>
  <c r="J25"/>
  <c r="K25"/>
  <c r="N48" i="112" l="1"/>
  <c r="K44" i="111"/>
  <c r="F46" i="112"/>
  <c r="C51" i="111"/>
  <c r="N45"/>
  <c r="E44"/>
  <c r="G44"/>
  <c r="L45"/>
  <c r="F44"/>
  <c r="B16" i="110"/>
  <c r="C16"/>
  <c r="D16"/>
  <c r="E16"/>
  <c r="F16"/>
  <c r="G16"/>
  <c r="H16"/>
  <c r="I16" s="1"/>
  <c r="J16"/>
  <c r="K16"/>
  <c r="K22"/>
  <c r="J22"/>
  <c r="H22"/>
  <c r="I22" s="1"/>
  <c r="G22"/>
  <c r="F22"/>
  <c r="E22"/>
  <c r="D22"/>
  <c r="C22"/>
  <c r="B22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L47" i="111" l="1"/>
  <c r="N47"/>
  <c r="F45"/>
  <c r="B21" i="110"/>
  <c r="C21"/>
  <c r="D21"/>
  <c r="E21"/>
  <c r="F21"/>
  <c r="G21"/>
  <c r="H21"/>
  <c r="I21" s="1"/>
  <c r="J21"/>
  <c r="K21"/>
  <c r="B17"/>
  <c r="C17"/>
  <c r="D17"/>
  <c r="E17"/>
  <c r="F17"/>
  <c r="G17"/>
  <c r="H17"/>
  <c r="I17" s="1"/>
  <c r="J17"/>
  <c r="K17"/>
  <c r="B18"/>
  <c r="C18"/>
  <c r="D18"/>
  <c r="E18"/>
  <c r="F18"/>
  <c r="G18"/>
  <c r="H18"/>
  <c r="I18" s="1"/>
  <c r="J18"/>
  <c r="K18"/>
  <c r="B19"/>
  <c r="C19"/>
  <c r="D19"/>
  <c r="E19"/>
  <c r="F19"/>
  <c r="G19"/>
  <c r="H19"/>
  <c r="I19" s="1"/>
  <c r="J19"/>
  <c r="K19"/>
  <c r="B20"/>
  <c r="C20"/>
  <c r="D20"/>
  <c r="E20"/>
  <c r="F20"/>
  <c r="G20"/>
  <c r="H20"/>
  <c r="I20" s="1"/>
  <c r="J20"/>
  <c r="K20"/>
  <c r="B12"/>
  <c r="C12"/>
  <c r="D12"/>
  <c r="E12"/>
  <c r="F12"/>
  <c r="G12"/>
  <c r="H12"/>
  <c r="I12" s="1"/>
  <c r="J12"/>
  <c r="K12"/>
  <c r="B13"/>
  <c r="C13"/>
  <c r="D13"/>
  <c r="E13"/>
  <c r="F13"/>
  <c r="G13"/>
  <c r="H13"/>
  <c r="I13" s="1"/>
  <c r="J13"/>
  <c r="K13"/>
  <c r="B14"/>
  <c r="C14"/>
  <c r="D14"/>
  <c r="E14"/>
  <c r="F14"/>
  <c r="G14"/>
  <c r="H14"/>
  <c r="I14" s="1"/>
  <c r="J14"/>
  <c r="K14"/>
  <c r="B15"/>
  <c r="C15"/>
  <c r="D15"/>
  <c r="E15"/>
  <c r="F15"/>
  <c r="G15"/>
  <c r="H15"/>
  <c r="I15" s="1"/>
  <c r="J15"/>
  <c r="K15"/>
  <c r="K11"/>
  <c r="J11"/>
  <c r="H11"/>
  <c r="I11" s="1"/>
  <c r="G11"/>
  <c r="F11"/>
  <c r="E11"/>
  <c r="D11"/>
  <c r="C11"/>
  <c r="B11"/>
  <c r="K5"/>
  <c r="J5"/>
  <c r="H5"/>
  <c r="I5" s="1"/>
  <c r="G5"/>
  <c r="F5"/>
  <c r="E5"/>
  <c r="D5"/>
  <c r="C5"/>
  <c r="B5"/>
  <c r="D51"/>
  <c r="B51"/>
  <c r="C51"/>
  <c r="S44"/>
  <c r="S46" s="1"/>
  <c r="R44"/>
  <c r="R46" s="1"/>
  <c r="Q44"/>
  <c r="P44"/>
  <c r="P46" s="1"/>
  <c r="O44"/>
  <c r="O46" s="1"/>
  <c r="N44"/>
  <c r="N46" s="1"/>
  <c r="M44"/>
  <c r="M46" s="1"/>
  <c r="L44"/>
  <c r="L46" s="1"/>
  <c r="K10"/>
  <c r="J10"/>
  <c r="H10"/>
  <c r="I10" s="1"/>
  <c r="G10"/>
  <c r="F10"/>
  <c r="E10"/>
  <c r="D10"/>
  <c r="C10"/>
  <c r="B10"/>
  <c r="K9"/>
  <c r="J9"/>
  <c r="H9"/>
  <c r="I9" s="1"/>
  <c r="G9"/>
  <c r="F9"/>
  <c r="E9"/>
  <c r="D9"/>
  <c r="C9"/>
  <c r="B9"/>
  <c r="K8"/>
  <c r="J8"/>
  <c r="H8"/>
  <c r="I8" s="1"/>
  <c r="G8"/>
  <c r="F8"/>
  <c r="E8"/>
  <c r="D8"/>
  <c r="C8"/>
  <c r="B8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I23" i="109"/>
  <c r="I22"/>
  <c r="E44" i="110" l="1"/>
  <c r="G44"/>
  <c r="K44"/>
  <c r="N45"/>
  <c r="N47" s="1"/>
  <c r="L45"/>
  <c r="L47" s="1"/>
  <c r="F44"/>
  <c r="E50" i="109"/>
  <c r="C50"/>
  <c r="C51" s="1"/>
  <c r="C49"/>
  <c r="S46"/>
  <c r="R46"/>
  <c r="D51"/>
  <c r="B51"/>
  <c r="S44"/>
  <c r="R44"/>
  <c r="Q44"/>
  <c r="P44"/>
  <c r="P46" s="1"/>
  <c r="O44"/>
  <c r="O46" s="1"/>
  <c r="N44"/>
  <c r="N46" s="1"/>
  <c r="M44"/>
  <c r="M46" s="1"/>
  <c r="L44"/>
  <c r="L46" s="1"/>
  <c r="K26"/>
  <c r="J26"/>
  <c r="H26"/>
  <c r="I26" s="1"/>
  <c r="G26"/>
  <c r="F26"/>
  <c r="E26"/>
  <c r="D26"/>
  <c r="C26"/>
  <c r="B26"/>
  <c r="K25"/>
  <c r="J25"/>
  <c r="H25"/>
  <c r="I25" s="1"/>
  <c r="G25"/>
  <c r="F25"/>
  <c r="E25"/>
  <c r="D25"/>
  <c r="C25"/>
  <c r="B25"/>
  <c r="K24"/>
  <c r="J24"/>
  <c r="H24"/>
  <c r="I24" s="1"/>
  <c r="G24"/>
  <c r="F24"/>
  <c r="E24"/>
  <c r="D24"/>
  <c r="C24"/>
  <c r="B24"/>
  <c r="K10"/>
  <c r="J10"/>
  <c r="H10"/>
  <c r="I10" s="1"/>
  <c r="G10"/>
  <c r="F10"/>
  <c r="E10"/>
  <c r="D10"/>
  <c r="C10"/>
  <c r="B10"/>
  <c r="K9"/>
  <c r="J9"/>
  <c r="H9"/>
  <c r="I9" s="1"/>
  <c r="G9"/>
  <c r="F9"/>
  <c r="E9"/>
  <c r="D9"/>
  <c r="C9"/>
  <c r="B9"/>
  <c r="K8"/>
  <c r="J8"/>
  <c r="H8"/>
  <c r="I8" s="1"/>
  <c r="G8"/>
  <c r="F8"/>
  <c r="E8"/>
  <c r="D8"/>
  <c r="C8"/>
  <c r="B8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B26" i="108"/>
  <c r="C26"/>
  <c r="D26"/>
  <c r="E26"/>
  <c r="F26"/>
  <c r="G26"/>
  <c r="H26"/>
  <c r="I26" s="1"/>
  <c r="J26"/>
  <c r="K26"/>
  <c r="B27"/>
  <c r="C27"/>
  <c r="D27"/>
  <c r="E27"/>
  <c r="F27"/>
  <c r="G27"/>
  <c r="H27"/>
  <c r="I27" s="1"/>
  <c r="J27"/>
  <c r="K27"/>
  <c r="B28"/>
  <c r="C28"/>
  <c r="D28"/>
  <c r="E28"/>
  <c r="F28"/>
  <c r="G28"/>
  <c r="H28"/>
  <c r="I28" s="1"/>
  <c r="J28"/>
  <c r="K28"/>
  <c r="B24"/>
  <c r="C24"/>
  <c r="D24"/>
  <c r="E24"/>
  <c r="F24"/>
  <c r="G24"/>
  <c r="H24"/>
  <c r="I24" s="1"/>
  <c r="J24"/>
  <c r="K24"/>
  <c r="B25"/>
  <c r="C25"/>
  <c r="D25"/>
  <c r="E25"/>
  <c r="F25"/>
  <c r="G25"/>
  <c r="H25"/>
  <c r="I25" s="1"/>
  <c r="J25"/>
  <c r="K25"/>
  <c r="F45" i="110" l="1"/>
  <c r="F44" i="109"/>
  <c r="K44"/>
  <c r="E44"/>
  <c r="L45"/>
  <c r="L47" s="1"/>
  <c r="G44"/>
  <c r="F45" s="1"/>
  <c r="N45"/>
  <c r="N47" s="1"/>
  <c r="K23" i="108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I20"/>
  <c r="B17"/>
  <c r="C17"/>
  <c r="D17"/>
  <c r="E17"/>
  <c r="F17"/>
  <c r="G17"/>
  <c r="H17"/>
  <c r="I17" s="1"/>
  <c r="J17"/>
  <c r="K17"/>
  <c r="B18"/>
  <c r="C18"/>
  <c r="D18"/>
  <c r="E18"/>
  <c r="F18"/>
  <c r="G18"/>
  <c r="H18"/>
  <c r="I18" s="1"/>
  <c r="J18"/>
  <c r="K18"/>
  <c r="B19"/>
  <c r="C19"/>
  <c r="D19"/>
  <c r="E19"/>
  <c r="F19"/>
  <c r="G19"/>
  <c r="H19"/>
  <c r="I19" s="1"/>
  <c r="J19"/>
  <c r="K19"/>
  <c r="S44"/>
  <c r="R44"/>
  <c r="Q44"/>
  <c r="P44"/>
  <c r="O44"/>
  <c r="N44"/>
  <c r="M44"/>
  <c r="L44"/>
  <c r="B14"/>
  <c r="C14"/>
  <c r="D14"/>
  <c r="E14"/>
  <c r="F14"/>
  <c r="G14"/>
  <c r="H14"/>
  <c r="I14" s="1"/>
  <c r="J14"/>
  <c r="K14"/>
  <c r="B15"/>
  <c r="C15"/>
  <c r="D15"/>
  <c r="E15"/>
  <c r="F15"/>
  <c r="G15"/>
  <c r="H15"/>
  <c r="I15" s="1"/>
  <c r="J15"/>
  <c r="K15"/>
  <c r="B16"/>
  <c r="C16"/>
  <c r="D16"/>
  <c r="E16"/>
  <c r="F16"/>
  <c r="G16"/>
  <c r="H16"/>
  <c r="I16" s="1"/>
  <c r="J16"/>
  <c r="K16"/>
  <c r="B8"/>
  <c r="C8"/>
  <c r="D8"/>
  <c r="E8"/>
  <c r="F8"/>
  <c r="G8"/>
  <c r="H8"/>
  <c r="I8" s="1"/>
  <c r="J8"/>
  <c r="K8"/>
  <c r="B9"/>
  <c r="C9"/>
  <c r="D9"/>
  <c r="E9"/>
  <c r="F9"/>
  <c r="G9"/>
  <c r="H9"/>
  <c r="I9" s="1"/>
  <c r="J9"/>
  <c r="K9"/>
  <c r="B10"/>
  <c r="C10"/>
  <c r="D10"/>
  <c r="E10"/>
  <c r="F10"/>
  <c r="G10"/>
  <c r="H10"/>
  <c r="I10" s="1"/>
  <c r="J10"/>
  <c r="K10"/>
  <c r="B11"/>
  <c r="C11"/>
  <c r="D11"/>
  <c r="E11"/>
  <c r="F11"/>
  <c r="G11"/>
  <c r="H11"/>
  <c r="I11" s="1"/>
  <c r="J11"/>
  <c r="K11"/>
  <c r="B12"/>
  <c r="C12"/>
  <c r="D12"/>
  <c r="E12"/>
  <c r="F12"/>
  <c r="G12"/>
  <c r="H12"/>
  <c r="I12" s="1"/>
  <c r="J12"/>
  <c r="K12"/>
  <c r="B13"/>
  <c r="C13"/>
  <c r="D13"/>
  <c r="E13"/>
  <c r="F13"/>
  <c r="G13"/>
  <c r="H13"/>
  <c r="I13" s="1"/>
  <c r="J13"/>
  <c r="K13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E44" l="1"/>
  <c r="K44"/>
  <c r="F44"/>
  <c r="G44"/>
  <c r="E50" l="1"/>
  <c r="C50"/>
  <c r="C49"/>
  <c r="S46"/>
  <c r="R46"/>
  <c r="P46"/>
  <c r="O46"/>
  <c r="N46"/>
  <c r="M46"/>
  <c r="L46"/>
  <c r="D51"/>
  <c r="B51"/>
  <c r="N45"/>
  <c r="N47" s="1"/>
  <c r="L45"/>
  <c r="L47" s="1"/>
  <c r="F45"/>
  <c r="K43" i="107"/>
  <c r="J43"/>
  <c r="H43"/>
  <c r="I43" s="1"/>
  <c r="G43"/>
  <c r="F43"/>
  <c r="E43"/>
  <c r="D43"/>
  <c r="C43"/>
  <c r="B43"/>
  <c r="K42"/>
  <c r="J42"/>
  <c r="H42"/>
  <c r="I42" s="1"/>
  <c r="G42"/>
  <c r="F42"/>
  <c r="E42"/>
  <c r="D42"/>
  <c r="C42"/>
  <c r="B42"/>
  <c r="K41"/>
  <c r="J41"/>
  <c r="H41"/>
  <c r="I41" s="1"/>
  <c r="G41"/>
  <c r="F41"/>
  <c r="E41"/>
  <c r="D41"/>
  <c r="C41"/>
  <c r="B41"/>
  <c r="C51" i="108" l="1"/>
  <c r="K40" i="107"/>
  <c r="J40"/>
  <c r="H40"/>
  <c r="I40" s="1"/>
  <c r="G40"/>
  <c r="F40"/>
  <c r="E40"/>
  <c r="D40"/>
  <c r="C40"/>
  <c r="B40"/>
  <c r="I39"/>
  <c r="B34" l="1"/>
  <c r="C34"/>
  <c r="D34"/>
  <c r="E34"/>
  <c r="F34"/>
  <c r="G34"/>
  <c r="H34"/>
  <c r="I34" s="1"/>
  <c r="J34"/>
  <c r="K34"/>
  <c r="B35"/>
  <c r="C35"/>
  <c r="D35"/>
  <c r="E35"/>
  <c r="F35"/>
  <c r="G35"/>
  <c r="H35"/>
  <c r="I35" s="1"/>
  <c r="J35"/>
  <c r="K35"/>
  <c r="B36"/>
  <c r="C36"/>
  <c r="D36"/>
  <c r="E36"/>
  <c r="F36"/>
  <c r="G36"/>
  <c r="H36"/>
  <c r="I36" s="1"/>
  <c r="J36"/>
  <c r="K36"/>
  <c r="B37"/>
  <c r="C37"/>
  <c r="D37"/>
  <c r="E37"/>
  <c r="F37"/>
  <c r="G37"/>
  <c r="H37"/>
  <c r="I37" s="1"/>
  <c r="J37"/>
  <c r="K37"/>
  <c r="B38"/>
  <c r="C38"/>
  <c r="D38"/>
  <c r="E38"/>
  <c r="F38"/>
  <c r="G38"/>
  <c r="H38"/>
  <c r="I38" s="1"/>
  <c r="J38"/>
  <c r="K38"/>
  <c r="B29"/>
  <c r="C29"/>
  <c r="D29"/>
  <c r="E29"/>
  <c r="F29"/>
  <c r="G29"/>
  <c r="H29"/>
  <c r="I29" s="1"/>
  <c r="J29"/>
  <c r="K29"/>
  <c r="B30"/>
  <c r="C30"/>
  <c r="D30"/>
  <c r="E30"/>
  <c r="F30"/>
  <c r="G30"/>
  <c r="H30"/>
  <c r="I30" s="1"/>
  <c r="J30"/>
  <c r="K30"/>
  <c r="B31"/>
  <c r="C31"/>
  <c r="D31"/>
  <c r="E31"/>
  <c r="F31"/>
  <c r="G31"/>
  <c r="H31"/>
  <c r="I31" s="1"/>
  <c r="J31"/>
  <c r="K31"/>
  <c r="B32"/>
  <c r="C32"/>
  <c r="D32"/>
  <c r="E32"/>
  <c r="F32"/>
  <c r="G32"/>
  <c r="H32"/>
  <c r="I32" s="1"/>
  <c r="J32"/>
  <c r="K32"/>
  <c r="B33"/>
  <c r="C33"/>
  <c r="D33"/>
  <c r="E33"/>
  <c r="F33"/>
  <c r="G33"/>
  <c r="H33"/>
  <c r="I33" s="1"/>
  <c r="J33"/>
  <c r="K33"/>
  <c r="I25"/>
  <c r="I26"/>
  <c r="B18"/>
  <c r="C18"/>
  <c r="D18"/>
  <c r="E18"/>
  <c r="F18"/>
  <c r="G18"/>
  <c r="H18"/>
  <c r="I18" s="1"/>
  <c r="J18"/>
  <c r="K18"/>
  <c r="B17"/>
  <c r="C17"/>
  <c r="D17"/>
  <c r="E17"/>
  <c r="F17"/>
  <c r="G17"/>
  <c r="H17"/>
  <c r="I17" s="1"/>
  <c r="J17"/>
  <c r="K17"/>
  <c r="B10"/>
  <c r="C10"/>
  <c r="D10"/>
  <c r="E10"/>
  <c r="F10"/>
  <c r="G10"/>
  <c r="H10"/>
  <c r="I10" s="1"/>
  <c r="J10"/>
  <c r="K10"/>
  <c r="B11"/>
  <c r="C11"/>
  <c r="D11"/>
  <c r="E11"/>
  <c r="F11"/>
  <c r="G11"/>
  <c r="H11"/>
  <c r="I11" s="1"/>
  <c r="J11"/>
  <c r="K11"/>
  <c r="B12"/>
  <c r="C12"/>
  <c r="D12"/>
  <c r="E12"/>
  <c r="F12"/>
  <c r="G12"/>
  <c r="H12"/>
  <c r="I12" s="1"/>
  <c r="J12"/>
  <c r="K12"/>
  <c r="B13"/>
  <c r="C13"/>
  <c r="D13"/>
  <c r="E13"/>
  <c r="F13"/>
  <c r="G13"/>
  <c r="H13"/>
  <c r="I13" s="1"/>
  <c r="J13"/>
  <c r="K13"/>
  <c r="B14"/>
  <c r="C14"/>
  <c r="D14"/>
  <c r="E14"/>
  <c r="F14"/>
  <c r="G14"/>
  <c r="H14"/>
  <c r="I14" s="1"/>
  <c r="J14"/>
  <c r="K14"/>
  <c r="B15"/>
  <c r="C15"/>
  <c r="D15"/>
  <c r="E15"/>
  <c r="F15"/>
  <c r="G15"/>
  <c r="H15"/>
  <c r="I15" s="1"/>
  <c r="J15"/>
  <c r="K15"/>
  <c r="B16"/>
  <c r="C16"/>
  <c r="D16"/>
  <c r="E16"/>
  <c r="F16"/>
  <c r="G16"/>
  <c r="H16"/>
  <c r="I16" s="1"/>
  <c r="J16"/>
  <c r="K16"/>
  <c r="B7"/>
  <c r="C7"/>
  <c r="D7"/>
  <c r="E7"/>
  <c r="F7"/>
  <c r="G7"/>
  <c r="H7"/>
  <c r="I7" s="1"/>
  <c r="J7"/>
  <c r="K7"/>
  <c r="B8"/>
  <c r="C8"/>
  <c r="D8"/>
  <c r="E8"/>
  <c r="F8"/>
  <c r="G8"/>
  <c r="H8"/>
  <c r="I8" s="1"/>
  <c r="J8"/>
  <c r="K8"/>
  <c r="B9"/>
  <c r="C9"/>
  <c r="D9"/>
  <c r="E9"/>
  <c r="F9"/>
  <c r="G9"/>
  <c r="H9"/>
  <c r="I9" s="1"/>
  <c r="J9"/>
  <c r="K9"/>
  <c r="E50"/>
  <c r="C50"/>
  <c r="C49"/>
  <c r="D51"/>
  <c r="B51"/>
  <c r="S44"/>
  <c r="S46" s="1"/>
  <c r="R44"/>
  <c r="R46" s="1"/>
  <c r="Q44"/>
  <c r="P44"/>
  <c r="P46" s="1"/>
  <c r="O44"/>
  <c r="O46" s="1"/>
  <c r="N44"/>
  <c r="N46" s="1"/>
  <c r="M44"/>
  <c r="M46" s="1"/>
  <c r="L44"/>
  <c r="K28"/>
  <c r="J28"/>
  <c r="H28"/>
  <c r="I28" s="1"/>
  <c r="G28"/>
  <c r="F28"/>
  <c r="E28"/>
  <c r="D28"/>
  <c r="C28"/>
  <c r="B28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19"/>
  <c r="J19"/>
  <c r="H19"/>
  <c r="I19" s="1"/>
  <c r="G19"/>
  <c r="F19"/>
  <c r="E19"/>
  <c r="D19"/>
  <c r="C19"/>
  <c r="B19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I26" i="105"/>
  <c r="I28"/>
  <c r="I29"/>
  <c r="I30"/>
  <c r="I31"/>
  <c r="I32"/>
  <c r="K27"/>
  <c r="J27"/>
  <c r="H27"/>
  <c r="I27" s="1"/>
  <c r="G27"/>
  <c r="F27"/>
  <c r="E27"/>
  <c r="D27"/>
  <c r="C27"/>
  <c r="B27"/>
  <c r="C51" i="107" l="1"/>
  <c r="F44"/>
  <c r="L45"/>
  <c r="L47" s="1"/>
  <c r="K44"/>
  <c r="L46"/>
  <c r="G44"/>
  <c r="E44"/>
  <c r="N45"/>
  <c r="N47" s="1"/>
  <c r="K25" i="105"/>
  <c r="J25"/>
  <c r="H25"/>
  <c r="I25" s="1"/>
  <c r="G25"/>
  <c r="F25"/>
  <c r="E25"/>
  <c r="D25"/>
  <c r="C25"/>
  <c r="B25"/>
  <c r="K22"/>
  <c r="J22"/>
  <c r="H22"/>
  <c r="I22" s="1"/>
  <c r="G22"/>
  <c r="F22"/>
  <c r="E22"/>
  <c r="D22"/>
  <c r="C22"/>
  <c r="B22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19"/>
  <c r="J19"/>
  <c r="H19"/>
  <c r="I19" s="1"/>
  <c r="G19"/>
  <c r="F19"/>
  <c r="E19"/>
  <c r="D19"/>
  <c r="C19"/>
  <c r="B19"/>
  <c r="F45" i="107" l="1"/>
  <c r="B5" i="105"/>
  <c r="E41"/>
  <c r="C41"/>
  <c r="C40"/>
  <c r="S37"/>
  <c r="D42"/>
  <c r="B42"/>
  <c r="S35"/>
  <c r="R35"/>
  <c r="R37" s="1"/>
  <c r="Q35"/>
  <c r="P35"/>
  <c r="O35"/>
  <c r="O37" s="1"/>
  <c r="N35"/>
  <c r="N37" s="1"/>
  <c r="M35"/>
  <c r="M37" s="1"/>
  <c r="L35"/>
  <c r="L37" s="1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E41" i="104"/>
  <c r="C41"/>
  <c r="C40"/>
  <c r="L38"/>
  <c r="S37"/>
  <c r="R37"/>
  <c r="O37"/>
  <c r="N37"/>
  <c r="M37"/>
  <c r="L37"/>
  <c r="B29"/>
  <c r="C29"/>
  <c r="D29"/>
  <c r="E29"/>
  <c r="F29"/>
  <c r="G29"/>
  <c r="H29"/>
  <c r="I29" s="1"/>
  <c r="J29"/>
  <c r="K29"/>
  <c r="B30"/>
  <c r="C30"/>
  <c r="D30"/>
  <c r="E30"/>
  <c r="F30"/>
  <c r="G30"/>
  <c r="H30"/>
  <c r="I30" s="1"/>
  <c r="J30"/>
  <c r="K30"/>
  <c r="B31"/>
  <c r="C31"/>
  <c r="D31"/>
  <c r="E31"/>
  <c r="F31"/>
  <c r="G31"/>
  <c r="H31"/>
  <c r="I31" s="1"/>
  <c r="J31"/>
  <c r="K31"/>
  <c r="K28"/>
  <c r="J28"/>
  <c r="H28"/>
  <c r="I28" s="1"/>
  <c r="G28"/>
  <c r="F28"/>
  <c r="E28"/>
  <c r="D28"/>
  <c r="C28"/>
  <c r="B28"/>
  <c r="K27"/>
  <c r="J27"/>
  <c r="H27"/>
  <c r="I27" s="1"/>
  <c r="G27"/>
  <c r="F27"/>
  <c r="E27"/>
  <c r="D27"/>
  <c r="C27"/>
  <c r="B27"/>
  <c r="I25"/>
  <c r="I26"/>
  <c r="B22"/>
  <c r="C22"/>
  <c r="D22"/>
  <c r="E22"/>
  <c r="F22"/>
  <c r="G22"/>
  <c r="H22"/>
  <c r="I22" s="1"/>
  <c r="J22"/>
  <c r="K22"/>
  <c r="B23"/>
  <c r="C23"/>
  <c r="D23"/>
  <c r="E23"/>
  <c r="F23"/>
  <c r="G23"/>
  <c r="H23"/>
  <c r="I23" s="1"/>
  <c r="J23"/>
  <c r="K23"/>
  <c r="B24"/>
  <c r="C24"/>
  <c r="D24"/>
  <c r="E24"/>
  <c r="F24"/>
  <c r="G24"/>
  <c r="H24"/>
  <c r="I24" s="1"/>
  <c r="J24"/>
  <c r="K24"/>
  <c r="B15"/>
  <c r="C15"/>
  <c r="D15"/>
  <c r="E15"/>
  <c r="F15"/>
  <c r="G15"/>
  <c r="H15"/>
  <c r="I15" s="1"/>
  <c r="J15"/>
  <c r="K15"/>
  <c r="B16"/>
  <c r="C16"/>
  <c r="D16"/>
  <c r="E16"/>
  <c r="F16"/>
  <c r="G16"/>
  <c r="H16"/>
  <c r="I16" s="1"/>
  <c r="J16"/>
  <c r="K16"/>
  <c r="K35" i="105" l="1"/>
  <c r="E35"/>
  <c r="F35"/>
  <c r="G35"/>
  <c r="L36"/>
  <c r="L38" s="1"/>
  <c r="C42"/>
  <c r="N36"/>
  <c r="D42" i="104"/>
  <c r="B42"/>
  <c r="S35"/>
  <c r="R35"/>
  <c r="Q35"/>
  <c r="P35"/>
  <c r="P37" s="1"/>
  <c r="P37" i="105" s="1"/>
  <c r="O35" i="104"/>
  <c r="N35"/>
  <c r="M35"/>
  <c r="L35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19"/>
  <c r="J19"/>
  <c r="H19"/>
  <c r="I19" s="1"/>
  <c r="G19"/>
  <c r="F19"/>
  <c r="E19"/>
  <c r="D19"/>
  <c r="C19"/>
  <c r="B19"/>
  <c r="K18"/>
  <c r="J18"/>
  <c r="H18"/>
  <c r="I18" s="1"/>
  <c r="G18"/>
  <c r="F18"/>
  <c r="E18"/>
  <c r="D18"/>
  <c r="C18"/>
  <c r="B18"/>
  <c r="K17"/>
  <c r="J17"/>
  <c r="H17"/>
  <c r="I17" s="1"/>
  <c r="G17"/>
  <c r="F17"/>
  <c r="E17"/>
  <c r="D17"/>
  <c r="C17"/>
  <c r="B17"/>
  <c r="K14"/>
  <c r="J14"/>
  <c r="H14"/>
  <c r="I14" s="1"/>
  <c r="G14"/>
  <c r="F14"/>
  <c r="E14"/>
  <c r="D14"/>
  <c r="C14"/>
  <c r="B14"/>
  <c r="K13"/>
  <c r="J13"/>
  <c r="H13"/>
  <c r="I13" s="1"/>
  <c r="G13"/>
  <c r="F13"/>
  <c r="E13"/>
  <c r="D13"/>
  <c r="C13"/>
  <c r="B13"/>
  <c r="K12"/>
  <c r="J12"/>
  <c r="H12"/>
  <c r="I12" s="1"/>
  <c r="G12"/>
  <c r="F12"/>
  <c r="E12"/>
  <c r="D12"/>
  <c r="C12"/>
  <c r="B12"/>
  <c r="K11"/>
  <c r="J11"/>
  <c r="H11"/>
  <c r="I11" s="1"/>
  <c r="G11"/>
  <c r="F11"/>
  <c r="E11"/>
  <c r="D11"/>
  <c r="C11"/>
  <c r="B11"/>
  <c r="K10"/>
  <c r="J10"/>
  <c r="H10"/>
  <c r="I10" s="1"/>
  <c r="G10"/>
  <c r="F10"/>
  <c r="E10"/>
  <c r="D10"/>
  <c r="C10"/>
  <c r="B10"/>
  <c r="K9"/>
  <c r="J9"/>
  <c r="H9"/>
  <c r="I9" s="1"/>
  <c r="G9"/>
  <c r="F9"/>
  <c r="E9"/>
  <c r="D9"/>
  <c r="C9"/>
  <c r="B9"/>
  <c r="K8"/>
  <c r="J8"/>
  <c r="H8"/>
  <c r="I8" s="1"/>
  <c r="G8"/>
  <c r="F8"/>
  <c r="E8"/>
  <c r="D8"/>
  <c r="C8"/>
  <c r="B8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B21" i="103"/>
  <c r="C21"/>
  <c r="D21"/>
  <c r="E21"/>
  <c r="F21"/>
  <c r="G21"/>
  <c r="H21"/>
  <c r="I21" s="1"/>
  <c r="J21"/>
  <c r="K21"/>
  <c r="B22"/>
  <c r="C22"/>
  <c r="D22"/>
  <c r="E22"/>
  <c r="F22"/>
  <c r="G22"/>
  <c r="H22"/>
  <c r="I22" s="1"/>
  <c r="J22"/>
  <c r="K22"/>
  <c r="B23"/>
  <c r="C23"/>
  <c r="D23"/>
  <c r="E23"/>
  <c r="F23"/>
  <c r="G23"/>
  <c r="H23"/>
  <c r="I23" s="1"/>
  <c r="J23"/>
  <c r="K23"/>
  <c r="B24"/>
  <c r="C24"/>
  <c r="D24"/>
  <c r="E24"/>
  <c r="F24"/>
  <c r="G24"/>
  <c r="H24"/>
  <c r="I24" s="1"/>
  <c r="J24"/>
  <c r="K24"/>
  <c r="B25"/>
  <c r="C25"/>
  <c r="D25"/>
  <c r="E25"/>
  <c r="F25"/>
  <c r="G25"/>
  <c r="H25"/>
  <c r="I25" s="1"/>
  <c r="J25"/>
  <c r="K25"/>
  <c r="B26"/>
  <c r="C26"/>
  <c r="D26"/>
  <c r="E26"/>
  <c r="F26"/>
  <c r="G26"/>
  <c r="H26"/>
  <c r="I26" s="1"/>
  <c r="J26"/>
  <c r="K26"/>
  <c r="B27"/>
  <c r="C27"/>
  <c r="D27"/>
  <c r="E27"/>
  <c r="F27"/>
  <c r="G27"/>
  <c r="H27"/>
  <c r="I27" s="1"/>
  <c r="J27"/>
  <c r="K27"/>
  <c r="F36" i="105" l="1"/>
  <c r="C42" i="104"/>
  <c r="G35"/>
  <c r="L36"/>
  <c r="F35"/>
  <c r="N36"/>
  <c r="N38" s="1"/>
  <c r="N38" i="105" s="1"/>
  <c r="E35" i="104"/>
  <c r="K35"/>
  <c r="K20" i="103"/>
  <c r="J20"/>
  <c r="H20"/>
  <c r="I20" s="1"/>
  <c r="G20"/>
  <c r="F20"/>
  <c r="E20"/>
  <c r="D20"/>
  <c r="C20"/>
  <c r="B20"/>
  <c r="E34"/>
  <c r="C34"/>
  <c r="C33"/>
  <c r="B16"/>
  <c r="C16"/>
  <c r="D16"/>
  <c r="E16"/>
  <c r="F16"/>
  <c r="G16"/>
  <c r="H16"/>
  <c r="I16" s="1"/>
  <c r="J16"/>
  <c r="K16"/>
  <c r="B17"/>
  <c r="C17"/>
  <c r="D17"/>
  <c r="E17"/>
  <c r="F17"/>
  <c r="G17"/>
  <c r="H17"/>
  <c r="I17" s="1"/>
  <c r="J17"/>
  <c r="K17"/>
  <c r="B15"/>
  <c r="C15"/>
  <c r="D15"/>
  <c r="E15"/>
  <c r="F15"/>
  <c r="G15"/>
  <c r="H15"/>
  <c r="I15" s="1"/>
  <c r="J15"/>
  <c r="K15"/>
  <c r="B10"/>
  <c r="C10"/>
  <c r="D10"/>
  <c r="E10"/>
  <c r="F10"/>
  <c r="G10"/>
  <c r="H10"/>
  <c r="I10" s="1"/>
  <c r="J10"/>
  <c r="K10"/>
  <c r="B11"/>
  <c r="C11"/>
  <c r="D11"/>
  <c r="E11"/>
  <c r="F11"/>
  <c r="G11"/>
  <c r="H11"/>
  <c r="I11" s="1"/>
  <c r="J11"/>
  <c r="K11"/>
  <c r="B12"/>
  <c r="C12"/>
  <c r="D12"/>
  <c r="E12"/>
  <c r="F12"/>
  <c r="G12"/>
  <c r="H12"/>
  <c r="I12" s="1"/>
  <c r="J12"/>
  <c r="K12"/>
  <c r="B13"/>
  <c r="C13"/>
  <c r="D13"/>
  <c r="E13"/>
  <c r="F13"/>
  <c r="G13"/>
  <c r="H13"/>
  <c r="I13" s="1"/>
  <c r="J13"/>
  <c r="K13"/>
  <c r="B14"/>
  <c r="C14"/>
  <c r="D14"/>
  <c r="E14"/>
  <c r="F14"/>
  <c r="G14"/>
  <c r="H14"/>
  <c r="I14" s="1"/>
  <c r="J14"/>
  <c r="K14"/>
  <c r="F36" i="104" l="1"/>
  <c r="B9" i="103"/>
  <c r="C9"/>
  <c r="D9"/>
  <c r="E9"/>
  <c r="F9"/>
  <c r="G9"/>
  <c r="H9"/>
  <c r="I9" s="1"/>
  <c r="J9"/>
  <c r="K9"/>
  <c r="B8"/>
  <c r="C8"/>
  <c r="D8"/>
  <c r="E8"/>
  <c r="F8"/>
  <c r="G8"/>
  <c r="H8"/>
  <c r="I8" s="1"/>
  <c r="J8"/>
  <c r="K8"/>
  <c r="D35"/>
  <c r="B35"/>
  <c r="C35"/>
  <c r="S28"/>
  <c r="S30" s="1"/>
  <c r="R28"/>
  <c r="R30" s="1"/>
  <c r="Q28"/>
  <c r="P28"/>
  <c r="P30" s="1"/>
  <c r="O28"/>
  <c r="O30" s="1"/>
  <c r="N28"/>
  <c r="N30" s="1"/>
  <c r="M28"/>
  <c r="M30" s="1"/>
  <c r="L28"/>
  <c r="L30" s="1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K17" i="102"/>
  <c r="J17"/>
  <c r="H17"/>
  <c r="I17" s="1"/>
  <c r="G17"/>
  <c r="F17"/>
  <c r="E17"/>
  <c r="D17"/>
  <c r="C17"/>
  <c r="B17"/>
  <c r="K16"/>
  <c r="J16"/>
  <c r="H16"/>
  <c r="I16" s="1"/>
  <c r="G16"/>
  <c r="F16"/>
  <c r="E16"/>
  <c r="D16"/>
  <c r="C16"/>
  <c r="B16"/>
  <c r="D35"/>
  <c r="B35"/>
  <c r="C37" i="97"/>
  <c r="E37"/>
  <c r="E41" i="96"/>
  <c r="C36" i="97"/>
  <c r="C51" i="99"/>
  <c r="C34" i="101" s="1"/>
  <c r="C34" i="102" s="1"/>
  <c r="C50" i="99"/>
  <c r="C33" i="101" s="1"/>
  <c r="C33" i="102" s="1"/>
  <c r="C35" s="1"/>
  <c r="C41" i="96"/>
  <c r="C40"/>
  <c r="E40"/>
  <c r="E36" i="97" s="1"/>
  <c r="E50" i="99" s="1"/>
  <c r="E33" i="101" s="1"/>
  <c r="E33" i="102" s="1"/>
  <c r="E28" i="103" l="1"/>
  <c r="E35" i="102"/>
  <c r="E33" i="103"/>
  <c r="G28"/>
  <c r="F28"/>
  <c r="N29"/>
  <c r="N31" s="1"/>
  <c r="L29"/>
  <c r="L31" s="1"/>
  <c r="K28"/>
  <c r="S30" i="102"/>
  <c r="R30"/>
  <c r="O30"/>
  <c r="S28"/>
  <c r="R28"/>
  <c r="Q28"/>
  <c r="P28"/>
  <c r="P30" s="1"/>
  <c r="O28"/>
  <c r="N28"/>
  <c r="N30" s="1"/>
  <c r="M28"/>
  <c r="M30" s="1"/>
  <c r="L28"/>
  <c r="L30" s="1"/>
  <c r="K27"/>
  <c r="J27"/>
  <c r="H27"/>
  <c r="I27" s="1"/>
  <c r="G27"/>
  <c r="F27"/>
  <c r="E27"/>
  <c r="D27"/>
  <c r="C27"/>
  <c r="B27"/>
  <c r="K26"/>
  <c r="J26"/>
  <c r="H26"/>
  <c r="I26" s="1"/>
  <c r="G26"/>
  <c r="F26"/>
  <c r="E26"/>
  <c r="D26"/>
  <c r="C26"/>
  <c r="B26"/>
  <c r="K25"/>
  <c r="J25"/>
  <c r="H25"/>
  <c r="I25" s="1"/>
  <c r="G25"/>
  <c r="F25"/>
  <c r="E25"/>
  <c r="D25"/>
  <c r="C25"/>
  <c r="B25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K21" i="10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E35" i="103" l="1"/>
  <c r="E40" i="104"/>
  <c r="F29" i="103"/>
  <c r="G28" i="102"/>
  <c r="K28"/>
  <c r="F28"/>
  <c r="L29"/>
  <c r="L31" s="1"/>
  <c r="N29"/>
  <c r="N31" s="1"/>
  <c r="E28"/>
  <c r="S28" i="101"/>
  <c r="S30" s="1"/>
  <c r="R28"/>
  <c r="R30" s="1"/>
  <c r="Q28"/>
  <c r="P28"/>
  <c r="O28"/>
  <c r="O30" s="1"/>
  <c r="N28"/>
  <c r="M28"/>
  <c r="M30" s="1"/>
  <c r="L28"/>
  <c r="K27"/>
  <c r="J27"/>
  <c r="H27"/>
  <c r="I27" s="1"/>
  <c r="G27"/>
  <c r="F27"/>
  <c r="E27"/>
  <c r="D27"/>
  <c r="C27"/>
  <c r="B27"/>
  <c r="K26"/>
  <c r="J26"/>
  <c r="H26"/>
  <c r="I26" s="1"/>
  <c r="G26"/>
  <c r="F26"/>
  <c r="E26"/>
  <c r="D26"/>
  <c r="C26"/>
  <c r="B26"/>
  <c r="K25"/>
  <c r="J25"/>
  <c r="H25"/>
  <c r="I25" s="1"/>
  <c r="G25"/>
  <c r="F25"/>
  <c r="E25"/>
  <c r="D25"/>
  <c r="C25"/>
  <c r="B25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K8"/>
  <c r="J8"/>
  <c r="H8"/>
  <c r="I8" s="1"/>
  <c r="G8"/>
  <c r="F8"/>
  <c r="E8"/>
  <c r="D8"/>
  <c r="C8"/>
  <c r="B8"/>
  <c r="K7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I38" i="99"/>
  <c r="I39"/>
  <c r="I40"/>
  <c r="I41"/>
  <c r="K44"/>
  <c r="J44"/>
  <c r="H44"/>
  <c r="I44" s="1"/>
  <c r="G44"/>
  <c r="F44"/>
  <c r="E44"/>
  <c r="D44"/>
  <c r="C44"/>
  <c r="B44"/>
  <c r="K43"/>
  <c r="J43"/>
  <c r="H43"/>
  <c r="I43" s="1"/>
  <c r="G43"/>
  <c r="F43"/>
  <c r="E43"/>
  <c r="D43"/>
  <c r="C43"/>
  <c r="B43"/>
  <c r="K42"/>
  <c r="J42"/>
  <c r="H42"/>
  <c r="I42" s="1"/>
  <c r="G42"/>
  <c r="F42"/>
  <c r="E42"/>
  <c r="D42"/>
  <c r="C42"/>
  <c r="B42"/>
  <c r="B31" i="96"/>
  <c r="C31"/>
  <c r="D31"/>
  <c r="E31"/>
  <c r="F31"/>
  <c r="G31"/>
  <c r="H31"/>
  <c r="I31" s="1"/>
  <c r="J31"/>
  <c r="K31"/>
  <c r="B32"/>
  <c r="C32"/>
  <c r="D32"/>
  <c r="E32"/>
  <c r="F32"/>
  <c r="G32"/>
  <c r="H32"/>
  <c r="I32" s="1"/>
  <c r="J32"/>
  <c r="K32"/>
  <c r="B28"/>
  <c r="C28"/>
  <c r="D28"/>
  <c r="E28"/>
  <c r="F28"/>
  <c r="G28"/>
  <c r="H28"/>
  <c r="I28" s="1"/>
  <c r="J28"/>
  <c r="K28"/>
  <c r="B29"/>
  <c r="C29"/>
  <c r="D29"/>
  <c r="E29"/>
  <c r="F29"/>
  <c r="G29"/>
  <c r="H29"/>
  <c r="I29" s="1"/>
  <c r="J29"/>
  <c r="K29"/>
  <c r="B30"/>
  <c r="C30"/>
  <c r="D30"/>
  <c r="E30"/>
  <c r="F30"/>
  <c r="G30"/>
  <c r="H30"/>
  <c r="I30" s="1"/>
  <c r="J30"/>
  <c r="K30"/>
  <c r="B26"/>
  <c r="C26"/>
  <c r="D26"/>
  <c r="E26"/>
  <c r="F26"/>
  <c r="G26"/>
  <c r="H26"/>
  <c r="I26" s="1"/>
  <c r="J26"/>
  <c r="K26"/>
  <c r="B27"/>
  <c r="C27"/>
  <c r="D27"/>
  <c r="E27"/>
  <c r="F27"/>
  <c r="G27"/>
  <c r="H27"/>
  <c r="I27" s="1"/>
  <c r="J27"/>
  <c r="K27"/>
  <c r="B25"/>
  <c r="C25"/>
  <c r="D25"/>
  <c r="E25"/>
  <c r="F25"/>
  <c r="G25"/>
  <c r="H25"/>
  <c r="I25" s="1"/>
  <c r="J25"/>
  <c r="K25"/>
  <c r="B21"/>
  <c r="C21"/>
  <c r="D21"/>
  <c r="E21"/>
  <c r="F21"/>
  <c r="G21"/>
  <c r="H21"/>
  <c r="I21" s="1"/>
  <c r="J21"/>
  <c r="K21"/>
  <c r="B22"/>
  <c r="C22"/>
  <c r="D22"/>
  <c r="E22"/>
  <c r="F22"/>
  <c r="G22"/>
  <c r="H22"/>
  <c r="I22" s="1"/>
  <c r="J22"/>
  <c r="K22"/>
  <c r="B23"/>
  <c r="C23"/>
  <c r="D23"/>
  <c r="E23"/>
  <c r="F23"/>
  <c r="G23"/>
  <c r="H23"/>
  <c r="I23" s="1"/>
  <c r="J23"/>
  <c r="K23"/>
  <c r="B24"/>
  <c r="C24"/>
  <c r="D24"/>
  <c r="E24"/>
  <c r="F24"/>
  <c r="G24"/>
  <c r="H24"/>
  <c r="I24" s="1"/>
  <c r="J24"/>
  <c r="K24"/>
  <c r="B8"/>
  <c r="C8"/>
  <c r="D8"/>
  <c r="E8"/>
  <c r="F8"/>
  <c r="G8"/>
  <c r="H8"/>
  <c r="I8" s="1"/>
  <c r="J8"/>
  <c r="K8"/>
  <c r="B9"/>
  <c r="C9"/>
  <c r="D9"/>
  <c r="E9"/>
  <c r="F9"/>
  <c r="G9"/>
  <c r="H9"/>
  <c r="I9" s="1"/>
  <c r="J9"/>
  <c r="K9"/>
  <c r="B10"/>
  <c r="C10"/>
  <c r="D10"/>
  <c r="E10"/>
  <c r="F10"/>
  <c r="G10"/>
  <c r="H10"/>
  <c r="I10" s="1"/>
  <c r="J10"/>
  <c r="K10"/>
  <c r="B11"/>
  <c r="C11"/>
  <c r="D11"/>
  <c r="E11"/>
  <c r="F11"/>
  <c r="G11"/>
  <c r="H11"/>
  <c r="I11" s="1"/>
  <c r="J11"/>
  <c r="K11"/>
  <c r="B12"/>
  <c r="C12"/>
  <c r="D12"/>
  <c r="E12"/>
  <c r="F12"/>
  <c r="G12"/>
  <c r="H12"/>
  <c r="I12" s="1"/>
  <c r="J12"/>
  <c r="K12"/>
  <c r="I36" i="99"/>
  <c r="I37"/>
  <c r="K7" i="96"/>
  <c r="J7"/>
  <c r="H7"/>
  <c r="I7" s="1"/>
  <c r="G7"/>
  <c r="F7"/>
  <c r="E7"/>
  <c r="D7"/>
  <c r="C7"/>
  <c r="B7"/>
  <c r="K6"/>
  <c r="J6"/>
  <c r="H6"/>
  <c r="I6" s="1"/>
  <c r="G6"/>
  <c r="F6"/>
  <c r="E6"/>
  <c r="D6"/>
  <c r="C6"/>
  <c r="B6"/>
  <c r="K5"/>
  <c r="J5"/>
  <c r="H5"/>
  <c r="I5" s="1"/>
  <c r="G5"/>
  <c r="F5"/>
  <c r="E5"/>
  <c r="D5"/>
  <c r="C5"/>
  <c r="B5"/>
  <c r="B14" i="97"/>
  <c r="C14"/>
  <c r="D14"/>
  <c r="E14"/>
  <c r="F14"/>
  <c r="G14"/>
  <c r="H14"/>
  <c r="I14" s="1"/>
  <c r="J14"/>
  <c r="K14"/>
  <c r="B15"/>
  <c r="C15"/>
  <c r="D15"/>
  <c r="E15"/>
  <c r="F15"/>
  <c r="G15"/>
  <c r="H15"/>
  <c r="I15" s="1"/>
  <c r="J15"/>
  <c r="K15"/>
  <c r="B10"/>
  <c r="C10"/>
  <c r="D10"/>
  <c r="E10"/>
  <c r="F10"/>
  <c r="G10"/>
  <c r="H10"/>
  <c r="I10" s="1"/>
  <c r="J10"/>
  <c r="K10"/>
  <c r="B11"/>
  <c r="C11"/>
  <c r="D11"/>
  <c r="E11"/>
  <c r="F11"/>
  <c r="G11"/>
  <c r="H11"/>
  <c r="I11" s="1"/>
  <c r="J11"/>
  <c r="K11"/>
  <c r="B12"/>
  <c r="C12"/>
  <c r="D12"/>
  <c r="E12"/>
  <c r="F12"/>
  <c r="G12"/>
  <c r="H12"/>
  <c r="I12" s="1"/>
  <c r="J12"/>
  <c r="K12"/>
  <c r="B13"/>
  <c r="C13"/>
  <c r="D13"/>
  <c r="E13"/>
  <c r="F13"/>
  <c r="G13"/>
  <c r="H13"/>
  <c r="I13" s="1"/>
  <c r="J13"/>
  <c r="K13"/>
  <c r="B28"/>
  <c r="C28"/>
  <c r="D28"/>
  <c r="E28"/>
  <c r="F28"/>
  <c r="G28"/>
  <c r="H28"/>
  <c r="I28" s="1"/>
  <c r="J28"/>
  <c r="K28"/>
  <c r="K35" i="99"/>
  <c r="J35"/>
  <c r="H35"/>
  <c r="I35" s="1"/>
  <c r="G35"/>
  <c r="F35"/>
  <c r="E35"/>
  <c r="D35"/>
  <c r="C35"/>
  <c r="B35"/>
  <c r="K34"/>
  <c r="J34"/>
  <c r="H34"/>
  <c r="I34" s="1"/>
  <c r="G34"/>
  <c r="F34"/>
  <c r="E34"/>
  <c r="D34"/>
  <c r="C34"/>
  <c r="B34"/>
  <c r="K33"/>
  <c r="J33"/>
  <c r="H33"/>
  <c r="I33" s="1"/>
  <c r="G33"/>
  <c r="F33"/>
  <c r="E33"/>
  <c r="D33"/>
  <c r="C33"/>
  <c r="B33"/>
  <c r="K32"/>
  <c r="J32"/>
  <c r="H32"/>
  <c r="I32" s="1"/>
  <c r="G32"/>
  <c r="F32"/>
  <c r="E32"/>
  <c r="D32"/>
  <c r="C32"/>
  <c r="B32"/>
  <c r="K31"/>
  <c r="J31"/>
  <c r="H31"/>
  <c r="I31" s="1"/>
  <c r="G31"/>
  <c r="F31"/>
  <c r="E31"/>
  <c r="D31"/>
  <c r="C31"/>
  <c r="B31"/>
  <c r="K30"/>
  <c r="J30"/>
  <c r="H30"/>
  <c r="I30" s="1"/>
  <c r="G30"/>
  <c r="F30"/>
  <c r="E30"/>
  <c r="D30"/>
  <c r="C30"/>
  <c r="B30"/>
  <c r="K28"/>
  <c r="J28"/>
  <c r="H28"/>
  <c r="I28" s="1"/>
  <c r="G28"/>
  <c r="F28"/>
  <c r="E28"/>
  <c r="D28"/>
  <c r="C28"/>
  <c r="B28"/>
  <c r="K27"/>
  <c r="J27"/>
  <c r="H27"/>
  <c r="I27" s="1"/>
  <c r="G27"/>
  <c r="F27"/>
  <c r="E27"/>
  <c r="D27"/>
  <c r="C27"/>
  <c r="B27"/>
  <c r="K26"/>
  <c r="J26"/>
  <c r="H26"/>
  <c r="I26" s="1"/>
  <c r="G26"/>
  <c r="F26"/>
  <c r="E26"/>
  <c r="D26"/>
  <c r="C26"/>
  <c r="B26"/>
  <c r="K25"/>
  <c r="J25"/>
  <c r="H25"/>
  <c r="I25" s="1"/>
  <c r="G25"/>
  <c r="F25"/>
  <c r="E25"/>
  <c r="D25"/>
  <c r="C25"/>
  <c r="B25"/>
  <c r="K24"/>
  <c r="J24"/>
  <c r="H24"/>
  <c r="I24" s="1"/>
  <c r="G24"/>
  <c r="F24"/>
  <c r="E24"/>
  <c r="D24"/>
  <c r="C24"/>
  <c r="B24"/>
  <c r="K23"/>
  <c r="J23"/>
  <c r="H23"/>
  <c r="I23" s="1"/>
  <c r="G23"/>
  <c r="F23"/>
  <c r="E23"/>
  <c r="D23"/>
  <c r="C23"/>
  <c r="B23"/>
  <c r="K22"/>
  <c r="J22"/>
  <c r="H22"/>
  <c r="I22" s="1"/>
  <c r="G22"/>
  <c r="F22"/>
  <c r="E22"/>
  <c r="D22"/>
  <c r="C22"/>
  <c r="B22"/>
  <c r="K21"/>
  <c r="J21"/>
  <c r="H21"/>
  <c r="I21" s="1"/>
  <c r="G21"/>
  <c r="F21"/>
  <c r="E21"/>
  <c r="D21"/>
  <c r="C21"/>
  <c r="B21"/>
  <c r="K20"/>
  <c r="J20"/>
  <c r="H20"/>
  <c r="I20" s="1"/>
  <c r="G20"/>
  <c r="F20"/>
  <c r="E20"/>
  <c r="D20"/>
  <c r="C20"/>
  <c r="B20"/>
  <c r="K19"/>
  <c r="J19"/>
  <c r="H19"/>
  <c r="I19" s="1"/>
  <c r="G19"/>
  <c r="F19"/>
  <c r="E19"/>
  <c r="D19"/>
  <c r="C19"/>
  <c r="B19"/>
  <c r="K18"/>
  <c r="J18"/>
  <c r="H18"/>
  <c r="I18" s="1"/>
  <c r="G18"/>
  <c r="F18"/>
  <c r="E18"/>
  <c r="D18"/>
  <c r="C18"/>
  <c r="B18"/>
  <c r="K17"/>
  <c r="J17"/>
  <c r="H17"/>
  <c r="I17" s="1"/>
  <c r="G17"/>
  <c r="F17"/>
  <c r="E17"/>
  <c r="D17"/>
  <c r="C17"/>
  <c r="B17"/>
  <c r="K16"/>
  <c r="J16"/>
  <c r="H16"/>
  <c r="I16" s="1"/>
  <c r="G16"/>
  <c r="F16"/>
  <c r="E16"/>
  <c r="D16"/>
  <c r="C16"/>
  <c r="B16"/>
  <c r="K15"/>
  <c r="J15"/>
  <c r="H15"/>
  <c r="I15" s="1"/>
  <c r="G15"/>
  <c r="F15"/>
  <c r="E15"/>
  <c r="D15"/>
  <c r="C15"/>
  <c r="B15"/>
  <c r="K14"/>
  <c r="J14"/>
  <c r="H14"/>
  <c r="I14" s="1"/>
  <c r="G14"/>
  <c r="F14"/>
  <c r="E14"/>
  <c r="D14"/>
  <c r="C14"/>
  <c r="B14"/>
  <c r="K13"/>
  <c r="J13"/>
  <c r="H13"/>
  <c r="I13" s="1"/>
  <c r="G13"/>
  <c r="F13"/>
  <c r="E13"/>
  <c r="D13"/>
  <c r="C13"/>
  <c r="B13"/>
  <c r="K12"/>
  <c r="J12"/>
  <c r="H12"/>
  <c r="I12" s="1"/>
  <c r="G12"/>
  <c r="F12"/>
  <c r="E12"/>
  <c r="D12"/>
  <c r="C12"/>
  <c r="B12"/>
  <c r="K11"/>
  <c r="J11"/>
  <c r="H11"/>
  <c r="I11" s="1"/>
  <c r="G11"/>
  <c r="F11"/>
  <c r="E11"/>
  <c r="D11"/>
  <c r="C11"/>
  <c r="B11"/>
  <c r="K10"/>
  <c r="J10"/>
  <c r="H10"/>
  <c r="I10" s="1"/>
  <c r="G10"/>
  <c r="F10"/>
  <c r="E10"/>
  <c r="D10"/>
  <c r="C10"/>
  <c r="B10"/>
  <c r="K9"/>
  <c r="J9"/>
  <c r="H9"/>
  <c r="G9"/>
  <c r="F9"/>
  <c r="E9"/>
  <c r="D9"/>
  <c r="C9"/>
  <c r="B9"/>
  <c r="K8"/>
  <c r="J8"/>
  <c r="H8"/>
  <c r="G8"/>
  <c r="F8"/>
  <c r="E8"/>
  <c r="D8"/>
  <c r="C8"/>
  <c r="B8"/>
  <c r="K7"/>
  <c r="J7"/>
  <c r="H7"/>
  <c r="G7"/>
  <c r="F7"/>
  <c r="E7"/>
  <c r="D7"/>
  <c r="C7"/>
  <c r="B7"/>
  <c r="K6"/>
  <c r="J6"/>
  <c r="H6"/>
  <c r="G6"/>
  <c r="F6"/>
  <c r="E6"/>
  <c r="D6"/>
  <c r="C6"/>
  <c r="B6"/>
  <c r="K5"/>
  <c r="J5"/>
  <c r="H5"/>
  <c r="G5"/>
  <c r="F5"/>
  <c r="E5"/>
  <c r="D5"/>
  <c r="C5"/>
  <c r="B5"/>
  <c r="K27" i="97"/>
  <c r="J27"/>
  <c r="H27"/>
  <c r="G27"/>
  <c r="F27"/>
  <c r="E27"/>
  <c r="D27"/>
  <c r="C27"/>
  <c r="B27"/>
  <c r="K26"/>
  <c r="J26"/>
  <c r="H26"/>
  <c r="G26"/>
  <c r="F26"/>
  <c r="E26"/>
  <c r="D26"/>
  <c r="C26"/>
  <c r="B26"/>
  <c r="K25"/>
  <c r="J25"/>
  <c r="H25"/>
  <c r="G25"/>
  <c r="F25"/>
  <c r="E25"/>
  <c r="D25"/>
  <c r="C25"/>
  <c r="B25"/>
  <c r="K24"/>
  <c r="J24"/>
  <c r="H24"/>
  <c r="G24"/>
  <c r="F24"/>
  <c r="E24"/>
  <c r="D24"/>
  <c r="C24"/>
  <c r="B24"/>
  <c r="K23"/>
  <c r="J23"/>
  <c r="H23"/>
  <c r="G23"/>
  <c r="F23"/>
  <c r="E23"/>
  <c r="D23"/>
  <c r="C23"/>
  <c r="B23"/>
  <c r="K22"/>
  <c r="J22"/>
  <c r="H22"/>
  <c r="G22"/>
  <c r="F22"/>
  <c r="E22"/>
  <c r="D22"/>
  <c r="C22"/>
  <c r="B22"/>
  <c r="K21"/>
  <c r="J21"/>
  <c r="H21"/>
  <c r="G21"/>
  <c r="F21"/>
  <c r="E21"/>
  <c r="D21"/>
  <c r="C21"/>
  <c r="B21"/>
  <c r="K20"/>
  <c r="J20"/>
  <c r="H20"/>
  <c r="G20"/>
  <c r="F20"/>
  <c r="E20"/>
  <c r="D20"/>
  <c r="C20"/>
  <c r="B20"/>
  <c r="K19"/>
  <c r="J19"/>
  <c r="H19"/>
  <c r="G19"/>
  <c r="F19"/>
  <c r="E19"/>
  <c r="D19"/>
  <c r="C19"/>
  <c r="B19"/>
  <c r="K18"/>
  <c r="J18"/>
  <c r="H18"/>
  <c r="G18"/>
  <c r="F18"/>
  <c r="E18"/>
  <c r="D18"/>
  <c r="C18"/>
  <c r="B18"/>
  <c r="K17"/>
  <c r="J17"/>
  <c r="H17"/>
  <c r="G17"/>
  <c r="F17"/>
  <c r="E17"/>
  <c r="D17"/>
  <c r="C17"/>
  <c r="B17"/>
  <c r="K9"/>
  <c r="J9"/>
  <c r="H9"/>
  <c r="G9"/>
  <c r="F9"/>
  <c r="E9"/>
  <c r="D9"/>
  <c r="C9"/>
  <c r="B9"/>
  <c r="K8"/>
  <c r="J8"/>
  <c r="H8"/>
  <c r="G8"/>
  <c r="F8"/>
  <c r="E8"/>
  <c r="D8"/>
  <c r="C8"/>
  <c r="B8"/>
  <c r="K7"/>
  <c r="J7"/>
  <c r="H7"/>
  <c r="G7"/>
  <c r="F7"/>
  <c r="E7"/>
  <c r="D7"/>
  <c r="C7"/>
  <c r="B7"/>
  <c r="K6"/>
  <c r="J6"/>
  <c r="H6"/>
  <c r="G6"/>
  <c r="F6"/>
  <c r="E6"/>
  <c r="D6"/>
  <c r="C6"/>
  <c r="B6"/>
  <c r="K5"/>
  <c r="J5"/>
  <c r="H5"/>
  <c r="G5"/>
  <c r="F5"/>
  <c r="E5"/>
  <c r="D5"/>
  <c r="C5"/>
  <c r="B5"/>
  <c r="K20" i="96"/>
  <c r="J20"/>
  <c r="H20"/>
  <c r="G20"/>
  <c r="F20"/>
  <c r="E20"/>
  <c r="D20"/>
  <c r="C20"/>
  <c r="B20"/>
  <c r="K19"/>
  <c r="J19"/>
  <c r="H19"/>
  <c r="G19"/>
  <c r="F19"/>
  <c r="E19"/>
  <c r="D19"/>
  <c r="C19"/>
  <c r="B19"/>
  <c r="K18"/>
  <c r="J18"/>
  <c r="H18"/>
  <c r="G18"/>
  <c r="F18"/>
  <c r="E18"/>
  <c r="D18"/>
  <c r="C18"/>
  <c r="B18"/>
  <c r="K17"/>
  <c r="J17"/>
  <c r="H17"/>
  <c r="G17"/>
  <c r="F17"/>
  <c r="E17"/>
  <c r="D17"/>
  <c r="C17"/>
  <c r="B17"/>
  <c r="K15"/>
  <c r="J15"/>
  <c r="H15"/>
  <c r="G15"/>
  <c r="F15"/>
  <c r="E15"/>
  <c r="D15"/>
  <c r="C15"/>
  <c r="B15"/>
  <c r="K14"/>
  <c r="J14"/>
  <c r="H14"/>
  <c r="G14"/>
  <c r="F14"/>
  <c r="E14"/>
  <c r="D14"/>
  <c r="C14"/>
  <c r="B14"/>
  <c r="K13"/>
  <c r="J13"/>
  <c r="H13"/>
  <c r="G13"/>
  <c r="F13"/>
  <c r="E13"/>
  <c r="D13"/>
  <c r="C13"/>
  <c r="B13"/>
  <c r="R335" i="15"/>
  <c r="R334"/>
  <c r="V304"/>
  <c r="V306"/>
  <c r="V225"/>
  <c r="V226"/>
  <c r="V227"/>
  <c r="V233"/>
  <c r="V235"/>
  <c r="V237"/>
  <c r="V297"/>
  <c r="V302"/>
  <c r="V55"/>
  <c r="V76"/>
  <c r="V61"/>
  <c r="V66"/>
  <c r="V70"/>
  <c r="V6"/>
  <c r="V40"/>
  <c r="V47"/>
  <c r="V13"/>
  <c r="V25"/>
  <c r="V18"/>
  <c r="V180"/>
  <c r="V184"/>
  <c r="V186"/>
  <c r="V167"/>
  <c r="V170"/>
  <c r="V173"/>
  <c r="V174"/>
  <c r="V193"/>
  <c r="V204"/>
  <c r="V215"/>
  <c r="E42" i="104" l="1"/>
  <c r="E40" i="105"/>
  <c r="F29" i="102"/>
  <c r="L29" i="101"/>
  <c r="L31" s="1"/>
  <c r="N29"/>
  <c r="L30"/>
  <c r="G28"/>
  <c r="K28"/>
  <c r="E28"/>
  <c r="F28"/>
  <c r="E42" i="105" l="1"/>
  <c r="E49" i="107"/>
  <c r="F29" i="101"/>
  <c r="E51" i="107" l="1"/>
  <c r="E49" i="108"/>
  <c r="I8" i="99"/>
  <c r="I6"/>
  <c r="S45"/>
  <c r="R45"/>
  <c r="Q45"/>
  <c r="P45"/>
  <c r="O45"/>
  <c r="N45"/>
  <c r="M45"/>
  <c r="L45"/>
  <c r="I9"/>
  <c r="I7"/>
  <c r="I5"/>
  <c r="E49" i="109" l="1"/>
  <c r="E51" i="108"/>
  <c r="G45" i="99"/>
  <c r="K45"/>
  <c r="AG6" i="15"/>
  <c r="AG7"/>
  <c r="AG8"/>
  <c r="AG17"/>
  <c r="AG18"/>
  <c r="AG16"/>
  <c r="AG15"/>
  <c r="AG10"/>
  <c r="F45" i="99"/>
  <c r="E45"/>
  <c r="N46"/>
  <c r="L46"/>
  <c r="E51" i="109" l="1"/>
  <c r="E49" i="110"/>
  <c r="F46" i="99"/>
  <c r="AG9" i="15"/>
  <c r="AG19"/>
  <c r="Q335"/>
  <c r="P335"/>
  <c r="E49" i="111" l="1"/>
  <c r="E50" i="112" s="1"/>
  <c r="E51" i="110"/>
  <c r="O335" i="15"/>
  <c r="N335"/>
  <c r="Q334"/>
  <c r="E51" i="111" l="1"/>
  <c r="E52" i="112"/>
  <c r="P334" i="15"/>
  <c r="O334"/>
  <c r="N334"/>
  <c r="AE24" l="1"/>
  <c r="AD24"/>
  <c r="AF24" l="1"/>
  <c r="AD25" s="1"/>
  <c r="AF10"/>
  <c r="AE10"/>
  <c r="AD10"/>
  <c r="AC10"/>
  <c r="AB10"/>
  <c r="AA10"/>
  <c r="AH10" l="1"/>
  <c r="V172"/>
  <c r="Y28" l="1"/>
  <c r="Z26"/>
  <c r="Z28"/>
  <c r="Z27"/>
  <c r="Y27"/>
  <c r="Y26"/>
  <c r="Y25"/>
  <c r="Z25"/>
  <c r="Y23"/>
  <c r="Y24"/>
  <c r="Z24"/>
  <c r="Z23"/>
  <c r="AF8"/>
  <c r="AB8"/>
  <c r="AD16"/>
  <c r="AC8"/>
  <c r="AE16"/>
  <c r="AA16"/>
  <c r="AD8"/>
  <c r="AF16"/>
  <c r="AB16"/>
  <c r="AE8"/>
  <c r="AA8"/>
  <c r="AC16"/>
  <c r="AD7"/>
  <c r="AC6"/>
  <c r="AE7"/>
  <c r="AA7"/>
  <c r="AD6"/>
  <c r="AB6"/>
  <c r="AF7"/>
  <c r="AB7"/>
  <c r="AE6"/>
  <c r="AA6"/>
  <c r="AC7"/>
  <c r="AF6"/>
  <c r="AD17"/>
  <c r="AF15"/>
  <c r="AF18"/>
  <c r="AB18"/>
  <c r="AE17"/>
  <c r="AF17"/>
  <c r="AA17"/>
  <c r="AC15"/>
  <c r="AB17"/>
  <c r="AC18"/>
  <c r="AD15"/>
  <c r="AD18"/>
  <c r="AC17"/>
  <c r="AE15"/>
  <c r="AA15"/>
  <c r="AE18"/>
  <c r="AA18"/>
  <c r="AB15"/>
  <c r="S31" i="97"/>
  <c r="R31"/>
  <c r="Q31"/>
  <c r="P31"/>
  <c r="O31"/>
  <c r="N31"/>
  <c r="M31"/>
  <c r="L31"/>
  <c r="K31"/>
  <c r="G31"/>
  <c r="F31"/>
  <c r="E31"/>
  <c r="I27"/>
  <c r="I26"/>
  <c r="I25"/>
  <c r="I24"/>
  <c r="I23"/>
  <c r="I22"/>
  <c r="I21"/>
  <c r="I20"/>
  <c r="I19"/>
  <c r="I18"/>
  <c r="I17"/>
  <c r="I9"/>
  <c r="I8"/>
  <c r="I7"/>
  <c r="AH6" i="15" l="1"/>
  <c r="L32" i="97"/>
  <c r="AF9" i="15"/>
  <c r="AH18"/>
  <c r="AH15"/>
  <c r="AH17"/>
  <c r="AH16"/>
  <c r="AH8"/>
  <c r="AH7"/>
  <c r="AC19"/>
  <c r="AC9"/>
  <c r="Z29"/>
  <c r="F32" i="97"/>
  <c r="AB19" i="15"/>
  <c r="AE19"/>
  <c r="AD19"/>
  <c r="AA9"/>
  <c r="Y29"/>
  <c r="AA23"/>
  <c r="AF19"/>
  <c r="AD9"/>
  <c r="AA19"/>
  <c r="AA26"/>
  <c r="AE9"/>
  <c r="AA25"/>
  <c r="AB9"/>
  <c r="N32" i="97"/>
  <c r="I6"/>
  <c r="I5"/>
  <c r="Y30" i="15" l="1"/>
  <c r="AH19"/>
  <c r="AH9"/>
  <c r="AI10" s="1"/>
  <c r="AI7" l="1"/>
  <c r="AI8"/>
  <c r="S35" i="96"/>
  <c r="S37" s="1"/>
  <c r="R35"/>
  <c r="Q35"/>
  <c r="P35"/>
  <c r="O35"/>
  <c r="N35"/>
  <c r="M35"/>
  <c r="L35"/>
  <c r="K35"/>
  <c r="G35"/>
  <c r="F35"/>
  <c r="E35"/>
  <c r="I20"/>
  <c r="L36" l="1"/>
  <c r="L38" s="1"/>
  <c r="L34" i="97" s="1"/>
  <c r="L48" i="99" s="1"/>
  <c r="N36" i="96"/>
  <c r="N38" s="1"/>
  <c r="N34" i="97" s="1"/>
  <c r="N48" i="99" s="1"/>
  <c r="R37" i="96"/>
  <c r="S33" i="97"/>
  <c r="S47" i="99" s="1"/>
  <c r="F36" i="96"/>
  <c r="I19"/>
  <c r="I18"/>
  <c r="I17"/>
  <c r="I15"/>
  <c r="I14"/>
  <c r="I13"/>
  <c r="N31" i="101" l="1"/>
  <c r="Q37" i="96"/>
  <c r="R33" i="97"/>
  <c r="R47" i="99" s="1"/>
  <c r="AE25" i="15"/>
  <c r="AF25" s="1"/>
  <c r="AA24"/>
  <c r="AA28"/>
  <c r="AA27"/>
  <c r="P37" i="96" l="1"/>
  <c r="Q33" i="97"/>
  <c r="Q47" i="99" s="1"/>
  <c r="Q30" i="101" s="1"/>
  <c r="Q30" i="102" s="1"/>
  <c r="Q30" i="103" s="1"/>
  <c r="Q37" i="104" s="1"/>
  <c r="Q37" i="105" s="1"/>
  <c r="Q46" i="107" s="1"/>
  <c r="Q46" i="108" s="1"/>
  <c r="Q46" i="109" s="1"/>
  <c r="Q46" i="110" s="1"/>
  <c r="Q46" i="111" s="1"/>
  <c r="AA29" i="15"/>
  <c r="AB24" s="1"/>
  <c r="O37" i="96" l="1"/>
  <c r="P33" i="97"/>
  <c r="P47" i="99" s="1"/>
  <c r="Z31" i="15"/>
  <c r="AB26"/>
  <c r="AB23"/>
  <c r="AB25"/>
  <c r="Y31"/>
  <c r="AB27"/>
  <c r="AB28"/>
  <c r="P30" i="101" l="1"/>
  <c r="N37" i="96"/>
  <c r="O33" i="97"/>
  <c r="O47" i="99" s="1"/>
  <c r="AA31" i="15"/>
  <c r="AB29"/>
  <c r="M37" i="96" l="1"/>
  <c r="N33" i="97"/>
  <c r="N47" i="99" s="1"/>
  <c r="N30" i="101" l="1"/>
  <c r="L37" i="96"/>
  <c r="L33" i="97" s="1"/>
  <c r="L47" i="99" s="1"/>
  <c r="M33" i="97"/>
  <c r="M47" i="99" s="1"/>
  <c r="E51" l="1"/>
  <c r="E34" i="101" s="1"/>
  <c r="E34" i="102" s="1"/>
  <c r="P330" i="15" l="1"/>
  <c r="Q330"/>
  <c r="R330"/>
  <c r="P332" l="1"/>
  <c r="P331"/>
  <c r="R331"/>
  <c r="Q331"/>
  <c r="Q332"/>
</calcChain>
</file>

<file path=xl/comments1.xml><?xml version="1.0" encoding="utf-8"?>
<comments xmlns="http://schemas.openxmlformats.org/spreadsheetml/2006/main">
  <authors>
    <author>LUDOTHEQUE ACCOLADE</author>
  </authors>
  <commentList>
    <comment ref="F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2.xml><?xml version="1.0" encoding="utf-8"?>
<comments xmlns="http://schemas.openxmlformats.org/spreadsheetml/2006/main">
  <authors>
    <author>LUDOTHEQUE ACCOLADE</author>
  </authors>
  <commentList>
    <comment ref="F32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32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3.xml><?xml version="1.0" encoding="utf-8"?>
<comments xmlns="http://schemas.openxmlformats.org/spreadsheetml/2006/main">
  <authors>
    <author>LUDOTHEQUE ACCOLADE</author>
  </authors>
  <commentList>
    <comment ref="F4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4.xml><?xml version="1.0" encoding="utf-8"?>
<comments xmlns="http://schemas.openxmlformats.org/spreadsheetml/2006/main">
  <authors>
    <author>LUDOTHEQUE ACCOLADE</author>
  </authors>
  <commentList>
    <comment ref="F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5.xml><?xml version="1.0" encoding="utf-8"?>
<comments xmlns="http://schemas.openxmlformats.org/spreadsheetml/2006/main">
  <authors>
    <author>LUDOTHEQUE ACCOLADE</author>
  </authors>
  <commentList>
    <comment ref="F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6.xml><?xml version="1.0" encoding="utf-8"?>
<comments xmlns="http://schemas.openxmlformats.org/spreadsheetml/2006/main">
  <authors>
    <author>LUDOTHEQUE ACCOLADE</author>
  </authors>
  <commentList>
    <comment ref="F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29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7.xml><?xml version="1.0" encoding="utf-8"?>
<comments xmlns="http://schemas.openxmlformats.org/spreadsheetml/2006/main">
  <authors>
    <author>LUDOTHEQUE ACCOLADE</author>
  </authors>
  <commentList>
    <comment ref="F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8.xml><?xml version="1.0" encoding="utf-8"?>
<comments xmlns="http://schemas.openxmlformats.org/spreadsheetml/2006/main">
  <authors>
    <author>LUDOTHEQUE ACCOLADE</author>
  </authors>
  <commentList>
    <comment ref="F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3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9.xml><?xml version="1.0" encoding="utf-8"?>
<comments xmlns="http://schemas.openxmlformats.org/spreadsheetml/2006/main">
  <authors>
    <author>LUDOTHEQUE ACCOLADE</author>
  </authors>
  <commentList>
    <comment ref="B31" authorId="0">
      <text>
        <r>
          <rPr>
            <b/>
            <sz val="9"/>
            <color indexed="81"/>
            <rFont val="Tahoma"/>
            <family val="2"/>
          </rPr>
          <t>LUDOTHEQUE ACCOLADE:</t>
        </r>
        <r>
          <rPr>
            <sz val="9"/>
            <color indexed="81"/>
            <rFont val="Tahoma"/>
            <family val="2"/>
          </rPr>
          <t xml:space="preserve">
en fait mamie</t>
        </r>
      </text>
    </comment>
    <comment ref="F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0.xml><?xml version="1.0" encoding="utf-8"?>
<comments xmlns="http://schemas.openxmlformats.org/spreadsheetml/2006/main">
  <authors>
    <author>LUDOTHEQUE ACCOLADE</author>
  </authors>
  <commentList>
    <comment ref="F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1.xml><?xml version="1.0" encoding="utf-8"?>
<comments xmlns="http://schemas.openxmlformats.org/spreadsheetml/2006/main">
  <authors>
    <author>LUDOTHEQUE ACCOLADE</author>
  </authors>
  <commentList>
    <comment ref="F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2.xml><?xml version="1.0" encoding="utf-8"?>
<comments xmlns="http://schemas.openxmlformats.org/spreadsheetml/2006/main">
  <authors>
    <author>LUDOTHEQUE ACCOLADE</author>
  </authors>
  <commentList>
    <comment ref="F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3.xml><?xml version="1.0" encoding="utf-8"?>
<comments xmlns="http://schemas.openxmlformats.org/spreadsheetml/2006/main">
  <authors>
    <author>LUDOTHEQUE ACCOLADE</author>
  </authors>
  <commentList>
    <comment ref="F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5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4.xml><?xml version="1.0" encoding="utf-8"?>
<comments xmlns="http://schemas.openxmlformats.org/spreadsheetml/2006/main">
  <authors>
    <author>LUDOTHEQUE ACCOLADE</author>
  </authors>
  <commentList>
    <comment ref="F4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  <comment ref="N46" authorId="0">
      <text>
        <r>
          <rPr>
            <sz val="9"/>
            <color indexed="81"/>
            <rFont val="Tahoma"/>
            <family val="2"/>
          </rPr>
          <t>fond rouge uniquement si des personnes sont venues matin et apres midi !</t>
        </r>
      </text>
    </comment>
  </commentList>
</comments>
</file>

<file path=xl/comments15.xml><?xml version="1.0" encoding="utf-8"?>
<comments xmlns="http://schemas.openxmlformats.org/spreadsheetml/2006/main">
  <authors>
    <author>LUDOTHEQUE ACCOLADE</author>
  </authors>
  <commentList>
    <comment ref="D222" authorId="0">
      <text>
        <r>
          <rPr>
            <b/>
            <sz val="9"/>
            <color indexed="81"/>
            <rFont val="Tahoma"/>
            <family val="2"/>
          </rPr>
          <t>LUDOTHEQUE ACCOLADE:</t>
        </r>
        <r>
          <rPr>
            <sz val="9"/>
            <color indexed="81"/>
            <rFont val="Tahoma"/>
            <family val="2"/>
          </rPr>
          <t xml:space="preserve">
en fait mamie</t>
        </r>
      </text>
    </comment>
  </commentList>
</comments>
</file>

<file path=xl/sharedStrings.xml><?xml version="1.0" encoding="utf-8"?>
<sst xmlns="http://schemas.openxmlformats.org/spreadsheetml/2006/main" count="1335" uniqueCount="305">
  <si>
    <t>NOM</t>
  </si>
  <si>
    <t>Prénom</t>
  </si>
  <si>
    <t>F</t>
  </si>
  <si>
    <t>M</t>
  </si>
  <si>
    <t>Commune</t>
  </si>
  <si>
    <t>Matin</t>
  </si>
  <si>
    <t>SEXE</t>
  </si>
  <si>
    <t>AM</t>
  </si>
  <si>
    <t>CDC</t>
  </si>
  <si>
    <t>TERRITOIRE</t>
  </si>
  <si>
    <t>FAMILLE</t>
  </si>
  <si>
    <t>ASSMAT</t>
  </si>
  <si>
    <t>naissance</t>
  </si>
  <si>
    <t>Jarnac</t>
  </si>
  <si>
    <t>Nombre d'inscrits</t>
  </si>
  <si>
    <t>Grande Champagne</t>
  </si>
  <si>
    <t>Grand Cognac</t>
  </si>
  <si>
    <t>Châteauneuf</t>
  </si>
  <si>
    <t>Hors CDA</t>
  </si>
  <si>
    <t>Hors Charente</t>
  </si>
  <si>
    <t>Nombre de présences matin</t>
  </si>
  <si>
    <t>Nombre de présences Après-midi</t>
  </si>
  <si>
    <t>INSCRITS</t>
  </si>
  <si>
    <t>Nombre de Familles</t>
  </si>
  <si>
    <t>Nombre d'assistants maternels</t>
  </si>
  <si>
    <t>CODE</t>
  </si>
  <si>
    <t>Age date réf</t>
  </si>
  <si>
    <t>Date de référence pour le calcul de l'âge :</t>
  </si>
  <si>
    <t xml:space="preserve">Matin  : </t>
  </si>
  <si>
    <t>Découverte</t>
  </si>
  <si>
    <t>DEC</t>
  </si>
  <si>
    <t>Milieu de</t>
  </si>
  <si>
    <t xml:space="preserve"> l'année</t>
  </si>
  <si>
    <t>Nombre jours ouverture :</t>
  </si>
  <si>
    <t>DONT</t>
  </si>
  <si>
    <t>Nombres d'individus ASSMAT</t>
  </si>
  <si>
    <t>Nombre présences ASSMAT Matin</t>
  </si>
  <si>
    <t>Nombre présences ASSMAT Après-midi</t>
  </si>
  <si>
    <t>Masculin</t>
  </si>
  <si>
    <t>Féminin</t>
  </si>
  <si>
    <t>Total</t>
  </si>
  <si>
    <t>Familles Adhérentes</t>
  </si>
  <si>
    <t>0-3</t>
  </si>
  <si>
    <t>OUI</t>
  </si>
  <si>
    <t>NON</t>
  </si>
  <si>
    <t>4-6</t>
  </si>
  <si>
    <t>7-12</t>
  </si>
  <si>
    <t>13-18</t>
  </si>
  <si>
    <t>19-50</t>
  </si>
  <si>
    <t>51-120</t>
  </si>
  <si>
    <t>moyenne journalière</t>
  </si>
  <si>
    <t>ADHÉRENT</t>
  </si>
  <si>
    <t>Ponctuel</t>
  </si>
  <si>
    <t>Après-midi</t>
  </si>
  <si>
    <t>NON assmat</t>
  </si>
  <si>
    <t>MINIMUM</t>
  </si>
  <si>
    <t>MAXIMUM</t>
  </si>
  <si>
    <t>familles total</t>
  </si>
  <si>
    <t>max présences</t>
  </si>
  <si>
    <t>min présences</t>
  </si>
  <si>
    <t>Atelier</t>
  </si>
  <si>
    <t>Emprunt
seul</t>
  </si>
  <si>
    <t>JSP
seul</t>
  </si>
  <si>
    <t>JSP
+
emprunt</t>
  </si>
  <si>
    <t>Jeu sur place
seul</t>
  </si>
  <si>
    <t>JSP       +      
emprunt</t>
  </si>
  <si>
    <t xml:space="preserve">le resultat apparaitra après </t>
  </si>
  <si>
    <t>suppression des lignes vides</t>
  </si>
  <si>
    <t>Ponc
tuel</t>
  </si>
  <si>
    <t>Ate
lier</t>
  </si>
  <si>
    <t>TERRI
TOIRE</t>
  </si>
  <si>
    <t>âge
jour</t>
  </si>
  <si>
    <t>F9-3</t>
  </si>
  <si>
    <t>F9-4</t>
  </si>
  <si>
    <t>TOTAL
VERIF</t>
  </si>
  <si>
    <t xml:space="preserve">Après-midi : </t>
  </si>
  <si>
    <t>Après-midi : 16h30/18h30</t>
  </si>
  <si>
    <t>AM6-1</t>
  </si>
  <si>
    <t>AM6-5</t>
  </si>
  <si>
    <t>AM6-4</t>
  </si>
  <si>
    <t>Adrien</t>
  </si>
  <si>
    <t>Cartes de vœux</t>
  </si>
  <si>
    <t>Après-midi :</t>
  </si>
  <si>
    <t>Matin  : 11h/12h30</t>
  </si>
  <si>
    <t>Inconnu</t>
  </si>
  <si>
    <t>H&amp;D</t>
  </si>
  <si>
    <t>MERCREDI</t>
  </si>
  <si>
    <t>LISTE USAGERS LUDOTHÈQUE MERCREDIS 2019</t>
  </si>
  <si>
    <t xml:space="preserve">MERCREDIS LUDO 2019 Répartition géographique </t>
  </si>
  <si>
    <t>Nombre de présences MERCREDIS</t>
  </si>
  <si>
    <t>AM2-1</t>
  </si>
  <si>
    <t>AM2-10</t>
  </si>
  <si>
    <t>AM2-11</t>
  </si>
  <si>
    <t>AM2-8</t>
  </si>
  <si>
    <t>AM1-1</t>
  </si>
  <si>
    <t>AM1-6</t>
  </si>
  <si>
    <t>AM1-7</t>
  </si>
  <si>
    <t>AM1-10</t>
  </si>
  <si>
    <t>AM1-13</t>
  </si>
  <si>
    <t>F90-1</t>
  </si>
  <si>
    <t>F90-2</t>
  </si>
  <si>
    <t>F90-3</t>
  </si>
  <si>
    <t>F9-1</t>
  </si>
  <si>
    <t>F9-2</t>
  </si>
  <si>
    <t>F6-1</t>
  </si>
  <si>
    <t>F6-2</t>
  </si>
  <si>
    <t>F6-3</t>
  </si>
  <si>
    <t>F112-1</t>
  </si>
  <si>
    <t>F112-2</t>
  </si>
  <si>
    <t>F111-1</t>
  </si>
  <si>
    <t>F111-2</t>
  </si>
  <si>
    <t>F111-3</t>
  </si>
  <si>
    <t>GROUPE ACCOLADE 5 enfants sans anim (anthony abs)</t>
  </si>
  <si>
    <t>F109-1</t>
  </si>
  <si>
    <t>F109-2</t>
  </si>
  <si>
    <t>F113-1</t>
  </si>
  <si>
    <t>F113-2</t>
  </si>
  <si>
    <t>F113-3</t>
  </si>
  <si>
    <t>F114-1</t>
  </si>
  <si>
    <t>F114-2</t>
  </si>
  <si>
    <t>F104-2</t>
  </si>
  <si>
    <t>F104-3</t>
  </si>
  <si>
    <t>F79-1</t>
  </si>
  <si>
    <t>F79-2</t>
  </si>
  <si>
    <t>F79-3</t>
  </si>
  <si>
    <t>F4-1</t>
  </si>
  <si>
    <t>F4-4</t>
  </si>
  <si>
    <t>F4-5</t>
  </si>
  <si>
    <t>G7-1</t>
  </si>
  <si>
    <t>G7-2</t>
  </si>
  <si>
    <t>F32-2</t>
  </si>
  <si>
    <t>F32-4</t>
  </si>
  <si>
    <t>AM6-6</t>
  </si>
  <si>
    <t>AM6-9</t>
  </si>
  <si>
    <t>F65-1</t>
  </si>
  <si>
    <t>F65-2</t>
  </si>
  <si>
    <t>ALSH JARNAC 6 enfants 1 anim</t>
  </si>
  <si>
    <t>PJ : 2 ados et 1 anim (W) 16h/17h30</t>
  </si>
  <si>
    <t>ACCOLADE : MATER 7 E 1A</t>
  </si>
  <si>
    <t>atelier couronnes à gratter/ galette offerte par PJ</t>
  </si>
  <si>
    <t>HARDY/MARTIN</t>
  </si>
  <si>
    <t>MARTIN</t>
  </si>
  <si>
    <t>HARDY</t>
  </si>
  <si>
    <t>Sylvie</t>
  </si>
  <si>
    <t>Mainxe</t>
  </si>
  <si>
    <t>AM1-8</t>
  </si>
  <si>
    <t>GROUPE ACCOLADE PRIMAIRE 10 E sans anim (anthony abs)</t>
  </si>
  <si>
    <t>F58-1</t>
  </si>
  <si>
    <t>F58-2</t>
  </si>
  <si>
    <t>F58-3</t>
  </si>
  <si>
    <t>F58-5</t>
  </si>
  <si>
    <t>F105-1</t>
  </si>
  <si>
    <t>F105-2</t>
  </si>
  <si>
    <t>F105-3</t>
  </si>
  <si>
    <t>F105-4</t>
  </si>
  <si>
    <t>F2-1</t>
  </si>
  <si>
    <t>F103-1</t>
  </si>
  <si>
    <t>F103-2</t>
  </si>
  <si>
    <t>F99-1</t>
  </si>
  <si>
    <t>F99-2</t>
  </si>
  <si>
    <t>MARTIN/PARCEILLER</t>
  </si>
  <si>
    <t>BRISSON</t>
  </si>
  <si>
    <t>PARCEILLER</t>
  </si>
  <si>
    <t>Elodie</t>
  </si>
  <si>
    <t>Julie</t>
  </si>
  <si>
    <t>Emmanuelle</t>
  </si>
  <si>
    <t>Martin</t>
  </si>
  <si>
    <t>SEGONZAC</t>
  </si>
  <si>
    <t>Champagne</t>
  </si>
  <si>
    <t>Wesley matin (diane crevaison)</t>
  </si>
  <si>
    <t>Diane AM  (Hélène garde enfant Malade)</t>
  </si>
  <si>
    <t>alexandra trijol Matin et AM</t>
  </si>
  <si>
    <t>F19-1</t>
  </si>
  <si>
    <t>F19-2</t>
  </si>
  <si>
    <t>F19-3</t>
  </si>
  <si>
    <t>GROUPE JARNAC 6 enfants et 1 anim</t>
  </si>
  <si>
    <t>AM4-1</t>
  </si>
  <si>
    <t>AM4-10</t>
  </si>
  <si>
    <t>GROUPE JARNAC 6 enfants et 1 anim (mélanie)</t>
  </si>
  <si>
    <t>GROUPE Accolade Primaires 9 enfants et 2 anim (Anthony et Stéphanie)</t>
  </si>
  <si>
    <t>GROUPE ACCOLADE PRIMAIRES 6 enfants et 1 anim</t>
  </si>
  <si>
    <t>Nb</t>
  </si>
  <si>
    <t>Individus</t>
  </si>
  <si>
    <t>Hors
ACCOLADE</t>
  </si>
  <si>
    <t>ACCOLADE</t>
  </si>
  <si>
    <t>GROUPES</t>
  </si>
  <si>
    <t>F57-1</t>
  </si>
  <si>
    <t>F57-3</t>
  </si>
  <si>
    <t>F57-4</t>
  </si>
  <si>
    <t>GROUPE AILAN 5 enfants et 1 anim (chloé)</t>
  </si>
  <si>
    <t>GROUPE IME FRAINEAU 6 enfants et 2 educs</t>
  </si>
  <si>
    <t>F99-3</t>
  </si>
  <si>
    <t>Diane</t>
  </si>
  <si>
    <t>(Hélène malade)</t>
  </si>
  <si>
    <t>AM2-7</t>
  </si>
  <si>
    <t>AM1-11</t>
  </si>
  <si>
    <t>F34-2</t>
  </si>
  <si>
    <t>F34-6</t>
  </si>
  <si>
    <t>F35-2</t>
  </si>
  <si>
    <t>GROUPE ACCOLADE 10 enfants sans anim(malades)</t>
  </si>
  <si>
    <t>GROUPE JARNAC 6 enfants et 1 anim (Oriane)</t>
  </si>
  <si>
    <t>F19-4</t>
  </si>
  <si>
    <t>Après-midi : 17h-&gt;18h30</t>
  </si>
  <si>
    <t>H &amp; D</t>
  </si>
  <si>
    <t>AM4-7</t>
  </si>
  <si>
    <t>F93-1</t>
  </si>
  <si>
    <t>F93-2</t>
  </si>
  <si>
    <t>F75-1</t>
  </si>
  <si>
    <t>F75-2</t>
  </si>
  <si>
    <t>F75-3</t>
  </si>
  <si>
    <t>Geneau</t>
  </si>
  <si>
    <t>Magali</t>
  </si>
  <si>
    <t>Louise</t>
  </si>
  <si>
    <t>Saint même</t>
  </si>
  <si>
    <t>F123-2</t>
  </si>
  <si>
    <t>F123-3</t>
  </si>
  <si>
    <t>F70-2</t>
  </si>
  <si>
    <t>F70-3</t>
  </si>
  <si>
    <t>F70-4</t>
  </si>
  <si>
    <t>GROUPE AILAN 1 anim et 6 enfants</t>
  </si>
  <si>
    <t>GROUPE jarnac 1 anim 6 E</t>
  </si>
  <si>
    <t>F34-3</t>
  </si>
  <si>
    <t>F34-4</t>
  </si>
  <si>
    <t>Evelyne</t>
  </si>
  <si>
    <t>Cognac</t>
  </si>
  <si>
    <t>cognac</t>
  </si>
  <si>
    <t>PERARD/DEPRÉ</t>
  </si>
  <si>
    <t>PERARD</t>
  </si>
  <si>
    <t>DEPRÉ</t>
  </si>
  <si>
    <t>Estelle</t>
  </si>
  <si>
    <t>Timéo</t>
  </si>
  <si>
    <t>PERARD/NARDONE</t>
  </si>
  <si>
    <t>Edwige</t>
  </si>
  <si>
    <t>Jade</t>
  </si>
  <si>
    <t>Segonzac</t>
  </si>
  <si>
    <t>Genté</t>
  </si>
  <si>
    <t>EYMARD/LEHOUX</t>
  </si>
  <si>
    <t>POULIN</t>
  </si>
  <si>
    <t>Marine</t>
  </si>
  <si>
    <t>MACOUIN</t>
  </si>
  <si>
    <t>GROUPE accolade non reservé 9 enfants 1 anim</t>
  </si>
  <si>
    <t>Am1-13</t>
  </si>
  <si>
    <t>AM12-1</t>
  </si>
  <si>
    <t>AM12-2</t>
  </si>
  <si>
    <t>AM12-3</t>
  </si>
  <si>
    <t>AM12-4</t>
  </si>
  <si>
    <t>DOUHAUD</t>
  </si>
  <si>
    <t>Merpins</t>
  </si>
  <si>
    <t>F51-3</t>
  </si>
  <si>
    <t>F51-4</t>
  </si>
  <si>
    <t>F51-1</t>
  </si>
  <si>
    <t>ASSMAT DEGRIS</t>
  </si>
  <si>
    <t>Michel</t>
  </si>
  <si>
    <t>Lucie</t>
  </si>
  <si>
    <t>SALLES D'ANGLES</t>
  </si>
  <si>
    <t>champagne</t>
  </si>
  <si>
    <t>AM  DOUHAUD</t>
  </si>
  <si>
    <t>LOMBÉ</t>
  </si>
  <si>
    <t>Nolivé</t>
  </si>
  <si>
    <t>GROUPE accolade mater 8 enfants 1 anim (Oxana)</t>
  </si>
  <si>
    <t>F68-1</t>
  </si>
  <si>
    <t xml:space="preserve">$  </t>
  </si>
  <si>
    <t xml:space="preserve"> </t>
  </si>
  <si>
    <t>F70-1</t>
  </si>
  <si>
    <t>F77-4</t>
  </si>
  <si>
    <t>F77-3</t>
  </si>
  <si>
    <t>F77-2</t>
  </si>
  <si>
    <t>Diane arrivée 10h45</t>
  </si>
  <si>
    <t>SAMOYEAU/RAPHOZ</t>
  </si>
  <si>
    <t>SAMOYEAU</t>
  </si>
  <si>
    <t>Camille</t>
  </si>
  <si>
    <t>F12-1</t>
  </si>
  <si>
    <t>F12-2</t>
  </si>
  <si>
    <t>ALSH JARNAC 1 anim (Mélanie) + 6 enfants</t>
  </si>
  <si>
    <t>ALSH JARNAC 1 anim (oriane)+ 6 enfants)</t>
  </si>
  <si>
    <t>Accolade 4 enfants sans animateur (prévu 8 avec anim mais Ana malade)</t>
  </si>
  <si>
    <t>F100-1</t>
  </si>
  <si>
    <t>F100-2</t>
  </si>
  <si>
    <t>F100-3</t>
  </si>
  <si>
    <t>F36-1</t>
  </si>
  <si>
    <t>F36-2</t>
  </si>
  <si>
    <t>1 E accolade (Nathan) avec Stéphanie</t>
  </si>
  <si>
    <t>Accolade 7 E maternels 1 anim (Oksana)</t>
  </si>
  <si>
    <t>GAUCHOU/BERTRAND ROY</t>
  </si>
  <si>
    <t>GAUCHOU</t>
  </si>
  <si>
    <t>BERTRAND ROY</t>
  </si>
  <si>
    <t>Bérengère</t>
  </si>
  <si>
    <t>Esteban</t>
  </si>
  <si>
    <t>Salignac</t>
  </si>
  <si>
    <t>Hors_Charente</t>
  </si>
  <si>
    <t>F113-4</t>
  </si>
  <si>
    <t>F32-3</t>
  </si>
  <si>
    <t>F106-2</t>
  </si>
  <si>
    <t>F106-3</t>
  </si>
  <si>
    <t>AM6-7</t>
  </si>
  <si>
    <t>AM12-5</t>
  </si>
  <si>
    <t>ALSH Jarnac 1 anim( océane) et 6 E</t>
  </si>
  <si>
    <t>F76-1</t>
  </si>
  <si>
    <t>F76-2</t>
  </si>
  <si>
    <t>F76-3</t>
  </si>
  <si>
    <t>F76-4</t>
  </si>
  <si>
    <t>F125-3</t>
  </si>
  <si>
    <t>F125-4</t>
  </si>
  <si>
    <t>F125-1</t>
  </si>
  <si>
    <t>IME VAUZELLES 1 adultes 3 E venus après jardin à l'ALSH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</si>
</sst>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5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9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162D0"/>
        <bgColor indexed="64"/>
      </patternFill>
    </fill>
    <fill>
      <patternFill patternType="solid">
        <fgColor rgb="FFFFC000"/>
        <bgColor indexed="64"/>
      </patternFill>
    </fill>
    <fill>
      <gradientFill>
        <stop position="0">
          <color rgb="FF7030A0"/>
        </stop>
        <stop position="1">
          <color theme="9" tint="-0.25098422193060094"/>
        </stop>
      </gradient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7" tint="-0.25098422193060094"/>
        </stop>
        <stop position="1">
          <color theme="9" tint="-0.25098422193060094"/>
        </stop>
      </gradientFill>
    </fill>
    <fill>
      <patternFill patternType="solid">
        <fgColor rgb="FFFF0066"/>
        <bgColor indexed="64"/>
      </patternFill>
    </fill>
    <fill>
      <patternFill patternType="solid">
        <fgColor rgb="FF0070C0"/>
        <bgColor indexed="64"/>
      </patternFill>
    </fill>
    <fill>
      <gradientFill>
        <stop position="0">
          <color theme="7" tint="0.40000610370189521"/>
        </stop>
        <stop position="1">
          <color theme="9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4E40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B35A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6FA8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Fill="1" applyBorder="1"/>
    <xf numFmtId="0" fontId="6" fillId="0" borderId="2" xfId="0" applyFont="1" applyBorder="1" applyAlignment="1">
      <alignment horizontal="center"/>
    </xf>
    <xf numFmtId="0" fontId="3" fillId="0" borderId="0" xfId="0" applyFont="1"/>
    <xf numFmtId="0" fontId="0" fillId="0" borderId="14" xfId="0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0" xfId="0" applyFont="1"/>
    <xf numFmtId="14" fontId="0" fillId="3" borderId="1" xfId="0" applyNumberFormat="1" applyFont="1" applyFill="1" applyBorder="1"/>
    <xf numFmtId="0" fontId="0" fillId="0" borderId="0" xfId="0" applyFill="1"/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9" borderId="3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3" fillId="1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49" fontId="0" fillId="0" borderId="1" xfId="0" applyNumberFormat="1" applyBorder="1"/>
    <xf numFmtId="10" fontId="0" fillId="0" borderId="1" xfId="0" applyNumberFormat="1" applyBorder="1"/>
    <xf numFmtId="0" fontId="3" fillId="0" borderId="1" xfId="0" applyFont="1" applyFill="1" applyBorder="1" applyAlignment="1">
      <alignment horizontal="center"/>
    </xf>
    <xf numFmtId="10" fontId="0" fillId="0" borderId="0" xfId="0" applyNumberFormat="1"/>
    <xf numFmtId="0" fontId="0" fillId="0" borderId="19" xfId="0" applyBorder="1" applyAlignment="1">
      <alignment horizontal="center"/>
    </xf>
    <xf numFmtId="49" fontId="3" fillId="0" borderId="1" xfId="0" applyNumberFormat="1" applyFont="1" applyBorder="1"/>
    <xf numFmtId="0" fontId="3" fillId="0" borderId="2" xfId="0" applyFont="1" applyBorder="1" applyAlignment="1">
      <alignment horizontal="center"/>
    </xf>
    <xf numFmtId="2" fontId="14" fillId="13" borderId="0" xfId="0" applyNumberFormat="1" applyFont="1" applyFill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/>
    </xf>
    <xf numFmtId="49" fontId="0" fillId="0" borderId="2" xfId="0" applyNumberFormat="1" applyFont="1" applyFill="1" applyBorder="1" applyAlignment="1">
      <alignment textRotation="180"/>
    </xf>
    <xf numFmtId="49" fontId="0" fillId="12" borderId="2" xfId="0" applyNumberFormat="1" applyFont="1" applyFill="1" applyBorder="1" applyAlignment="1">
      <alignment textRotation="180"/>
    </xf>
    <xf numFmtId="0" fontId="16" fillId="0" borderId="0" xfId="0" applyFont="1"/>
    <xf numFmtId="0" fontId="0" fillId="0" borderId="0" xfId="0" applyAlignment="1">
      <alignment vertical="top"/>
    </xf>
    <xf numFmtId="0" fontId="0" fillId="0" borderId="2" xfId="0" applyFont="1" applyBorder="1" applyAlignment="1">
      <alignment horizontal="left"/>
    </xf>
    <xf numFmtId="0" fontId="0" fillId="0" borderId="2" xfId="0" applyFont="1" applyBorder="1"/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7" borderId="0" xfId="0" applyFill="1" applyBorder="1"/>
    <xf numFmtId="0" fontId="2" fillId="0" borderId="0" xfId="0" applyFont="1" applyAlignment="1">
      <alignment horizontal="center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14" fontId="5" fillId="6" borderId="1" xfId="0" applyNumberFormat="1" applyFont="1" applyFill="1" applyBorder="1"/>
    <xf numFmtId="0" fontId="5" fillId="0" borderId="22" xfId="0" applyFont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14" fontId="5" fillId="7" borderId="1" xfId="0" applyNumberFormat="1" applyFont="1" applyFill="1" applyBorder="1"/>
    <xf numFmtId="15" fontId="18" fillId="0" borderId="0" xfId="0" applyNumberFormat="1" applyFont="1"/>
    <xf numFmtId="0" fontId="18" fillId="0" borderId="0" xfId="0" applyFont="1"/>
    <xf numFmtId="1" fontId="19" fillId="0" borderId="0" xfId="0" applyNumberFormat="1" applyFont="1" applyAlignment="1">
      <alignment horizontal="center"/>
    </xf>
    <xf numFmtId="0" fontId="20" fillId="0" borderId="0" xfId="0" applyFont="1"/>
    <xf numFmtId="0" fontId="6" fillId="0" borderId="2" xfId="0" applyFont="1" applyBorder="1" applyAlignment="1">
      <alignment horizontal="center" wrapText="1"/>
    </xf>
    <xf numFmtId="14" fontId="21" fillId="0" borderId="0" xfId="0" applyNumberFormat="1" applyFont="1"/>
    <xf numFmtId="0" fontId="6" fillId="7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 wrapText="1"/>
    </xf>
    <xf numFmtId="0" fontId="5" fillId="17" borderId="1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 wrapText="1"/>
    </xf>
    <xf numFmtId="49" fontId="0" fillId="0" borderId="2" xfId="0" applyNumberFormat="1" applyFill="1" applyBorder="1" applyAlignment="1">
      <alignment textRotation="180" wrapText="1"/>
    </xf>
    <xf numFmtId="0" fontId="6" fillId="19" borderId="2" xfId="0" applyFont="1" applyFill="1" applyBorder="1" applyAlignment="1">
      <alignment horizontal="center" wrapText="1"/>
    </xf>
    <xf numFmtId="0" fontId="1" fillId="19" borderId="2" xfId="0" applyFont="1" applyFill="1" applyBorder="1" applyAlignment="1">
      <alignment horizontal="center"/>
    </xf>
    <xf numFmtId="49" fontId="0" fillId="0" borderId="26" xfId="0" applyNumberFormat="1" applyFill="1" applyBorder="1" applyAlignment="1">
      <alignment textRotation="180" wrapText="1"/>
    </xf>
    <xf numFmtId="0" fontId="0" fillId="19" borderId="1" xfId="0" applyFill="1" applyBorder="1" applyAlignment="1">
      <alignment horizontal="center"/>
    </xf>
    <xf numFmtId="49" fontId="9" fillId="20" borderId="2" xfId="0" applyNumberFormat="1" applyFont="1" applyFill="1" applyBorder="1" applyAlignment="1">
      <alignment textRotation="180"/>
    </xf>
    <xf numFmtId="0" fontId="6" fillId="20" borderId="2" xfId="0" applyFont="1" applyFill="1" applyBorder="1" applyAlignment="1">
      <alignment horizontal="center" wrapText="1"/>
    </xf>
    <xf numFmtId="0" fontId="6" fillId="21" borderId="2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1" fillId="20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21" borderId="2" xfId="0" applyFont="1" applyFill="1" applyBorder="1" applyAlignment="1">
      <alignment horizontal="center"/>
    </xf>
    <xf numFmtId="0" fontId="0" fillId="20" borderId="2" xfId="0" applyFill="1" applyBorder="1" applyAlignment="1">
      <alignment horizontal="center"/>
    </xf>
    <xf numFmtId="0" fontId="0" fillId="21" borderId="2" xfId="0" applyFill="1" applyBorder="1" applyAlignment="1">
      <alignment horizontal="center"/>
    </xf>
    <xf numFmtId="0" fontId="0" fillId="16" borderId="2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/>
    </xf>
    <xf numFmtId="0" fontId="5" fillId="18" borderId="18" xfId="0" applyFont="1" applyFill="1" applyBorder="1" applyAlignment="1">
      <alignment horizontal="center"/>
    </xf>
    <xf numFmtId="0" fontId="5" fillId="22" borderId="18" xfId="0" applyFont="1" applyFill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49" fontId="0" fillId="8" borderId="2" xfId="0" applyNumberFormat="1" applyFill="1" applyBorder="1" applyAlignment="1">
      <alignment textRotation="180"/>
    </xf>
    <xf numFmtId="1" fontId="0" fillId="8" borderId="2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49" fontId="0" fillId="24" borderId="0" xfId="0" applyNumberFormat="1" applyFill="1" applyBorder="1" applyAlignment="1">
      <alignment textRotation="180" wrapText="1"/>
    </xf>
    <xf numFmtId="0" fontId="1" fillId="6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6" fillId="0" borderId="0" xfId="0" applyFont="1" applyFill="1"/>
    <xf numFmtId="16" fontId="0" fillId="0" borderId="0" xfId="0" applyNumberFormat="1"/>
    <xf numFmtId="0" fontId="17" fillId="7" borderId="1" xfId="0" applyFont="1" applyFill="1" applyBorder="1" applyAlignment="1">
      <alignment horizontal="center"/>
    </xf>
    <xf numFmtId="0" fontId="0" fillId="0" borderId="21" xfId="0" applyFill="1" applyBorder="1"/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3" borderId="21" xfId="0" applyFill="1" applyBorder="1"/>
    <xf numFmtId="0" fontId="0" fillId="23" borderId="0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17" borderId="1" xfId="0" applyFill="1" applyBorder="1"/>
    <xf numFmtId="0" fontId="0" fillId="25" borderId="1" xfId="0" applyFill="1" applyBorder="1"/>
    <xf numFmtId="0" fontId="0" fillId="9" borderId="1" xfId="0" applyFill="1" applyBorder="1"/>
    <xf numFmtId="0" fontId="0" fillId="26" borderId="1" xfId="0" applyFill="1" applyBorder="1"/>
    <xf numFmtId="0" fontId="5" fillId="12" borderId="1" xfId="0" applyFont="1" applyFill="1" applyBorder="1"/>
    <xf numFmtId="0" fontId="0" fillId="27" borderId="1" xfId="0" applyFill="1" applyBorder="1"/>
    <xf numFmtId="0" fontId="0" fillId="28" borderId="1" xfId="0" applyFill="1" applyBorder="1"/>
    <xf numFmtId="0" fontId="0" fillId="0" borderId="0" xfId="0" applyAlignment="1">
      <alignment horizontal="center"/>
    </xf>
    <xf numFmtId="0" fontId="0" fillId="4" borderId="1" xfId="0" applyFill="1" applyBorder="1"/>
    <xf numFmtId="0" fontId="0" fillId="29" borderId="1" xfId="0" applyFill="1" applyBorder="1"/>
    <xf numFmtId="0" fontId="0" fillId="15" borderId="1" xfId="0" applyFill="1" applyBorder="1"/>
    <xf numFmtId="0" fontId="5" fillId="26" borderId="1" xfId="0" applyFont="1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24" fillId="26" borderId="1" xfId="0" applyFont="1" applyFill="1" applyBorder="1"/>
    <xf numFmtId="0" fontId="5" fillId="33" borderId="1" xfId="0" applyFont="1" applyFill="1" applyBorder="1"/>
    <xf numFmtId="0" fontId="25" fillId="33" borderId="1" xfId="0" applyFont="1" applyFill="1" applyBorder="1"/>
    <xf numFmtId="0" fontId="3" fillId="8" borderId="0" xfId="0" applyFont="1" applyFill="1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/>
    </xf>
    <xf numFmtId="14" fontId="5" fillId="0" borderId="1" xfId="0" applyNumberFormat="1" applyFont="1" applyFill="1" applyBorder="1"/>
    <xf numFmtId="0" fontId="0" fillId="8" borderId="1" xfId="0" applyFill="1" applyBorder="1"/>
    <xf numFmtId="0" fontId="0" fillId="12" borderId="1" xfId="0" applyFill="1" applyBorder="1"/>
    <xf numFmtId="0" fontId="0" fillId="24" borderId="1" xfId="0" applyFill="1" applyBorder="1"/>
    <xf numFmtId="0" fontId="0" fillId="34" borderId="1" xfId="0" applyFill="1" applyBorder="1"/>
    <xf numFmtId="0" fontId="0" fillId="34" borderId="0" xfId="0" applyFill="1" applyBorder="1"/>
    <xf numFmtId="0" fontId="0" fillId="26" borderId="0" xfId="0" applyFill="1"/>
    <xf numFmtId="0" fontId="0" fillId="0" borderId="0" xfId="0" applyAlignment="1">
      <alignment horizontal="center"/>
    </xf>
    <xf numFmtId="0" fontId="26" fillId="7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27" fillId="21" borderId="0" xfId="0" applyFont="1" applyFill="1"/>
    <xf numFmtId="0" fontId="26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35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5" fillId="8" borderId="1" xfId="0" applyFont="1" applyFill="1" applyBorder="1"/>
    <xf numFmtId="0" fontId="5" fillId="8" borderId="1" xfId="0" applyFont="1" applyFill="1" applyBorder="1" applyAlignment="1">
      <alignment horizontal="center"/>
    </xf>
    <xf numFmtId="14" fontId="5" fillId="8" borderId="1" xfId="0" applyNumberFormat="1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31" borderId="21" xfId="0" applyFill="1" applyBorder="1"/>
    <xf numFmtId="0" fontId="5" fillId="20" borderId="1" xfId="0" applyFont="1" applyFill="1" applyBorder="1"/>
    <xf numFmtId="0" fontId="5" fillId="20" borderId="1" xfId="0" applyFont="1" applyFill="1" applyBorder="1" applyAlignment="1">
      <alignment horizontal="center"/>
    </xf>
    <xf numFmtId="14" fontId="5" fillId="20" borderId="1" xfId="0" applyNumberFormat="1" applyFont="1" applyFill="1" applyBorder="1"/>
    <xf numFmtId="0" fontId="5" fillId="25" borderId="1" xfId="0" applyFont="1" applyFill="1" applyBorder="1"/>
    <xf numFmtId="0" fontId="5" fillId="25" borderId="1" xfId="0" applyFont="1" applyFill="1" applyBorder="1" applyAlignment="1">
      <alignment horizontal="center"/>
    </xf>
    <xf numFmtId="14" fontId="5" fillId="25" borderId="1" xfId="0" applyNumberFormat="1" applyFont="1" applyFill="1" applyBorder="1"/>
    <xf numFmtId="0" fontId="0" fillId="36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7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ont="1" applyBorder="1" applyAlignment="1">
      <alignment horizontal="left"/>
    </xf>
    <xf numFmtId="49" fontId="0" fillId="0" borderId="0" xfId="0" applyNumberFormat="1" applyFont="1" applyFill="1" applyBorder="1" applyAlignment="1">
      <alignment textRotation="180"/>
    </xf>
    <xf numFmtId="0" fontId="0" fillId="29" borderId="21" xfId="0" applyFill="1" applyBorder="1"/>
    <xf numFmtId="0" fontId="0" fillId="23" borderId="1" xfId="0" applyFill="1" applyBorder="1"/>
    <xf numFmtId="0" fontId="0" fillId="27" borderId="21" xfId="0" applyFill="1" applyBorder="1"/>
    <xf numFmtId="0" fontId="0" fillId="30" borderId="21" xfId="0" applyFill="1" applyBorder="1"/>
    <xf numFmtId="0" fontId="0" fillId="26" borderId="21" xfId="0" applyFill="1" applyBorder="1"/>
    <xf numFmtId="0" fontId="0" fillId="34" borderId="21" xfId="0" applyFill="1" applyBorder="1"/>
    <xf numFmtId="0" fontId="0" fillId="9" borderId="21" xfId="0" applyFill="1" applyBorder="1"/>
    <xf numFmtId="0" fontId="0" fillId="37" borderId="21" xfId="0" applyFill="1" applyBorder="1"/>
    <xf numFmtId="0" fontId="0" fillId="8" borderId="21" xfId="0" applyFill="1" applyBorder="1"/>
    <xf numFmtId="0" fontId="0" fillId="31" borderId="0" xfId="0" applyFill="1" applyBorder="1"/>
    <xf numFmtId="0" fontId="0" fillId="32" borderId="21" xfId="0" applyFill="1" applyBorder="1"/>
    <xf numFmtId="0" fontId="0" fillId="25" borderId="21" xfId="0" applyFill="1" applyBorder="1"/>
    <xf numFmtId="0" fontId="0" fillId="12" borderId="21" xfId="0" applyFill="1" applyBorder="1"/>
    <xf numFmtId="0" fontId="0" fillId="17" borderId="21" xfId="0" applyFill="1" applyBorder="1"/>
    <xf numFmtId="0" fontId="0" fillId="27" borderId="0" xfId="0" applyFill="1"/>
    <xf numFmtId="0" fontId="0" fillId="31" borderId="0" xfId="0" applyFill="1"/>
    <xf numFmtId="0" fontId="0" fillId="35" borderId="21" xfId="0" applyFill="1" applyBorder="1"/>
    <xf numFmtId="0" fontId="0" fillId="2" borderId="0" xfId="0" applyFill="1" applyBorder="1"/>
    <xf numFmtId="0" fontId="5" fillId="18" borderId="1" xfId="0" applyFont="1" applyFill="1" applyBorder="1" applyAlignment="1">
      <alignment horizontal="center"/>
    </xf>
    <xf numFmtId="0" fontId="0" fillId="10" borderId="18" xfId="0" applyFill="1" applyBorder="1" applyAlignment="1">
      <alignment horizontal="center"/>
    </xf>
    <xf numFmtId="0" fontId="5" fillId="22" borderId="1" xfId="0" applyFont="1" applyFill="1" applyBorder="1" applyAlignment="1">
      <alignment horizontal="center"/>
    </xf>
    <xf numFmtId="0" fontId="0" fillId="19" borderId="18" xfId="0" applyFill="1" applyBorder="1" applyAlignment="1">
      <alignment horizontal="center"/>
    </xf>
    <xf numFmtId="0" fontId="8" fillId="2" borderId="2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6" fillId="7" borderId="29" xfId="0" applyFont="1" applyFill="1" applyBorder="1" applyAlignment="1">
      <alignment horizontal="center" vertical="center" wrapText="1"/>
    </xf>
    <xf numFmtId="0" fontId="26" fillId="7" borderId="0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22" fillId="17" borderId="3" xfId="0" applyFont="1" applyFill="1" applyBorder="1" applyAlignment="1">
      <alignment horizontal="center"/>
    </xf>
    <xf numFmtId="0" fontId="22" fillId="17" borderId="20" xfId="0" applyFont="1" applyFill="1" applyBorder="1" applyAlignment="1">
      <alignment horizontal="center"/>
    </xf>
    <xf numFmtId="0" fontId="22" fillId="17" borderId="4" xfId="0" applyFont="1" applyFill="1" applyBorder="1" applyAlignment="1">
      <alignment horizontal="center"/>
    </xf>
    <xf numFmtId="0" fontId="26" fillId="7" borderId="18" xfId="0" applyFont="1" applyFill="1" applyBorder="1" applyAlignment="1">
      <alignment horizontal="center" vertical="center" wrapText="1"/>
    </xf>
    <xf numFmtId="0" fontId="26" fillId="7" borderId="3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11" fillId="17" borderId="3" xfId="0" applyFont="1" applyFill="1" applyBorder="1" applyAlignment="1">
      <alignment horizontal="center"/>
    </xf>
    <xf numFmtId="0" fontId="11" fillId="17" borderId="20" xfId="0" applyFont="1" applyFill="1" applyBorder="1" applyAlignment="1">
      <alignment horizontal="center"/>
    </xf>
    <xf numFmtId="0" fontId="11" fillId="17" borderId="4" xfId="0" applyFont="1" applyFill="1" applyBorder="1" applyAlignment="1">
      <alignment horizontal="center"/>
    </xf>
  </cellXfs>
  <cellStyles count="1">
    <cellStyle name="Normal" xfId="0" builtinId="0"/>
  </cellStyles>
  <dxfs count="7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COTISANTS_LUDO_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ENCES%202018/pr&#233;sences%20LUDO%20MERCREDIS%202018%20-%20reprise%20septemb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9"/>
      <sheetName val="BASE_COTISANTS_LUDO_2019"/>
    </sheetNames>
    <definedNames>
      <definedName name="Tableau_cotisants" refersTo="='2019'!$C:$N"/>
    </definedNames>
    <sheetDataSet>
      <sheetData sheetId="0">
        <row r="1">
          <cell r="C1" t="str">
            <v>CODE</v>
          </cell>
          <cell r="D1" t="str">
            <v>FAMILLE</v>
          </cell>
          <cell r="E1" t="str">
            <v>NOM</v>
          </cell>
          <cell r="F1" t="str">
            <v>Prénom</v>
          </cell>
          <cell r="G1" t="str">
            <v>ASSMAT</v>
          </cell>
          <cell r="H1" t="str">
            <v>F</v>
          </cell>
          <cell r="I1" t="str">
            <v>M</v>
          </cell>
          <cell r="J1" t="str">
            <v>naissance</v>
          </cell>
          <cell r="K1" t="str">
            <v>Age</v>
          </cell>
          <cell r="L1" t="str">
            <v>Commune</v>
          </cell>
          <cell r="M1" t="str">
            <v>TERRITOIRE</v>
          </cell>
          <cell r="N1" t="str">
            <v>Mail</v>
          </cell>
        </row>
        <row r="2">
          <cell r="C2" t="str">
            <v>F10-4</v>
          </cell>
          <cell r="D2" t="str">
            <v>PAINTURAUD</v>
          </cell>
          <cell r="E2" t="str">
            <v>PAINTURAUD</v>
          </cell>
          <cell r="F2" t="str">
            <v>Lucas</v>
          </cell>
          <cell r="G2">
            <v>0</v>
          </cell>
          <cell r="H2">
            <v>0</v>
          </cell>
          <cell r="I2">
            <v>1</v>
          </cell>
          <cell r="J2">
            <v>38380</v>
          </cell>
          <cell r="K2" t="str">
            <v>14 an(s) 3 mois et 20 jour(s)</v>
          </cell>
          <cell r="L2" t="str">
            <v>SEGONZAC</v>
          </cell>
          <cell r="M2" t="str">
            <v>Champagne</v>
          </cell>
          <cell r="N2">
            <v>0</v>
          </cell>
        </row>
        <row r="3">
          <cell r="C3" t="str">
            <v>F49-2</v>
          </cell>
          <cell r="D3" t="str">
            <v>GUYOT</v>
          </cell>
          <cell r="E3" t="str">
            <v>GUYOT</v>
          </cell>
          <cell r="F3" t="str">
            <v>Léanne</v>
          </cell>
          <cell r="G3">
            <v>0</v>
          </cell>
          <cell r="H3">
            <v>1</v>
          </cell>
          <cell r="I3">
            <v>0</v>
          </cell>
          <cell r="J3">
            <v>41202</v>
          </cell>
          <cell r="K3" t="str">
            <v>6 an(s) 6 mois et 28 jour(s)</v>
          </cell>
          <cell r="L3" t="str">
            <v>SALLES D'ANGLES</v>
          </cell>
          <cell r="M3" t="str">
            <v>Champagne</v>
          </cell>
          <cell r="N3">
            <v>0</v>
          </cell>
        </row>
        <row r="4">
          <cell r="C4" t="str">
            <v>F49-3</v>
          </cell>
          <cell r="D4" t="str">
            <v>GUYOT</v>
          </cell>
          <cell r="E4" t="str">
            <v>GUYOT</v>
          </cell>
          <cell r="F4" t="str">
            <v>Nathan</v>
          </cell>
          <cell r="G4">
            <v>0</v>
          </cell>
          <cell r="H4">
            <v>0</v>
          </cell>
          <cell r="I4">
            <v>1</v>
          </cell>
          <cell r="J4">
            <v>42354</v>
          </cell>
          <cell r="K4" t="str">
            <v>3 an(s) 5 mois et 2 jour(s)</v>
          </cell>
          <cell r="L4" t="str">
            <v>SALLES D'ANGLES</v>
          </cell>
          <cell r="M4" t="str">
            <v>Champagne</v>
          </cell>
          <cell r="N4">
            <v>0</v>
          </cell>
        </row>
        <row r="5">
          <cell r="C5" t="str">
            <v>F37-1</v>
          </cell>
          <cell r="D5" t="str">
            <v>SAUZIER</v>
          </cell>
          <cell r="E5" t="str">
            <v>SAUZIER</v>
          </cell>
          <cell r="F5" t="str">
            <v>Caroline</v>
          </cell>
          <cell r="G5">
            <v>0</v>
          </cell>
          <cell r="H5">
            <v>1</v>
          </cell>
          <cell r="I5">
            <v>0</v>
          </cell>
          <cell r="J5">
            <v>31500</v>
          </cell>
          <cell r="K5" t="str">
            <v>33 an(s) 1 mois et 19 jour(s)</v>
          </cell>
          <cell r="L5" t="str">
            <v>SEGONZAC</v>
          </cell>
          <cell r="M5" t="str">
            <v>Champagne</v>
          </cell>
          <cell r="N5" t="str">
            <v>kikersmaelyslenny@gmail.com</v>
          </cell>
        </row>
        <row r="6">
          <cell r="C6" t="str">
            <v>F37-2</v>
          </cell>
          <cell r="D6" t="str">
            <v>SAUZIER</v>
          </cell>
          <cell r="E6" t="str">
            <v>BONNIER</v>
          </cell>
          <cell r="F6" t="str">
            <v>Lenny</v>
          </cell>
          <cell r="G6">
            <v>0</v>
          </cell>
          <cell r="H6">
            <v>0</v>
          </cell>
          <cell r="I6">
            <v>1</v>
          </cell>
          <cell r="J6">
            <v>42368</v>
          </cell>
          <cell r="K6" t="str">
            <v>3 an(s) 4 mois et 18 jour(s)</v>
          </cell>
          <cell r="L6" t="str">
            <v>SEGONZAC</v>
          </cell>
          <cell r="M6" t="str">
            <v>Champagne</v>
          </cell>
          <cell r="N6">
            <v>0</v>
          </cell>
        </row>
        <row r="7">
          <cell r="C7" t="str">
            <v>F10-6</v>
          </cell>
          <cell r="D7" t="str">
            <v>PAINTURAUD</v>
          </cell>
          <cell r="E7" t="str">
            <v>PAINTURAUD</v>
          </cell>
          <cell r="F7" t="str">
            <v>Ernest</v>
          </cell>
          <cell r="G7">
            <v>0</v>
          </cell>
          <cell r="H7">
            <v>0</v>
          </cell>
          <cell r="I7">
            <v>1</v>
          </cell>
          <cell r="J7">
            <v>42449</v>
          </cell>
          <cell r="K7" t="str">
            <v>3 an(s) 1 mois et 28 jour(s)</v>
          </cell>
          <cell r="L7" t="str">
            <v>SEGONZAC</v>
          </cell>
          <cell r="M7" t="str">
            <v>Champagne</v>
          </cell>
          <cell r="N7">
            <v>0</v>
          </cell>
        </row>
        <row r="8">
          <cell r="C8" t="str">
            <v>F11-1</v>
          </cell>
          <cell r="D8" t="str">
            <v>DEL ZOTTO</v>
          </cell>
          <cell r="E8" t="str">
            <v>DEL ZOTTO</v>
          </cell>
          <cell r="F8" t="str">
            <v>Vanessa</v>
          </cell>
          <cell r="G8">
            <v>0</v>
          </cell>
          <cell r="H8">
            <v>1</v>
          </cell>
          <cell r="I8">
            <v>0</v>
          </cell>
          <cell r="J8">
            <v>29690</v>
          </cell>
          <cell r="K8" t="str">
            <v>38 an(s) 1 mois et 4 jour(s)</v>
          </cell>
          <cell r="L8" t="str">
            <v>Mérignac</v>
          </cell>
          <cell r="M8" t="str">
            <v>Jarnac</v>
          </cell>
          <cell r="N8" t="str">
            <v>vanessa.delzotto@gmail.com</v>
          </cell>
        </row>
        <row r="9">
          <cell r="C9" t="str">
            <v>F11-2</v>
          </cell>
          <cell r="D9" t="str">
            <v>DEL ZOTTO</v>
          </cell>
          <cell r="E9" t="str">
            <v>DEL ZOTTO</v>
          </cell>
          <cell r="F9" t="str">
            <v>Naël</v>
          </cell>
          <cell r="G9">
            <v>0</v>
          </cell>
          <cell r="H9">
            <v>0</v>
          </cell>
          <cell r="I9">
            <v>1</v>
          </cell>
          <cell r="J9">
            <v>39482</v>
          </cell>
          <cell r="K9" t="str">
            <v>11 an(s) 3 mois et 14 jour(s)</v>
          </cell>
          <cell r="L9" t="str">
            <v>Mérignac</v>
          </cell>
          <cell r="M9" t="str">
            <v>Jarnac</v>
          </cell>
          <cell r="N9">
            <v>0</v>
          </cell>
        </row>
        <row r="10">
          <cell r="C10" t="str">
            <v>AM1-3</v>
          </cell>
          <cell r="D10" t="str">
            <v>AM1-3</v>
          </cell>
          <cell r="E10" t="str">
            <v>QUELLIEN</v>
          </cell>
          <cell r="F10" t="str">
            <v>Marcus</v>
          </cell>
          <cell r="G10">
            <v>1</v>
          </cell>
          <cell r="H10">
            <v>0</v>
          </cell>
          <cell r="I10">
            <v>1</v>
          </cell>
          <cell r="J10">
            <v>41984</v>
          </cell>
          <cell r="K10" t="str">
            <v>4 an(s) 5 mois et 7 jour(s)</v>
          </cell>
          <cell r="L10" t="str">
            <v>Chateaubernard</v>
          </cell>
          <cell r="M10" t="str">
            <v>Cognac</v>
          </cell>
          <cell r="N10">
            <v>0</v>
          </cell>
        </row>
        <row r="11">
          <cell r="C11" t="str">
            <v>AM1-5</v>
          </cell>
          <cell r="D11" t="str">
            <v>AM1-5</v>
          </cell>
          <cell r="E11" t="str">
            <v>MEDINA CASTRO</v>
          </cell>
          <cell r="F11" t="str">
            <v>Ambre</v>
          </cell>
          <cell r="G11">
            <v>1</v>
          </cell>
          <cell r="H11">
            <v>1</v>
          </cell>
          <cell r="I11">
            <v>0</v>
          </cell>
          <cell r="J11">
            <v>42248</v>
          </cell>
          <cell r="K11" t="str">
            <v>3 an(s) 8 mois et 17 jour(s)</v>
          </cell>
          <cell r="L11" t="str">
            <v>Chateaubernard</v>
          </cell>
          <cell r="M11" t="str">
            <v>Cognac</v>
          </cell>
          <cell r="N11">
            <v>0</v>
          </cell>
        </row>
        <row r="12">
          <cell r="C12" t="str">
            <v>AM1-9</v>
          </cell>
          <cell r="D12" t="str">
            <v>AM1-9</v>
          </cell>
          <cell r="E12" t="str">
            <v>MAZIÈRE</v>
          </cell>
          <cell r="F12" t="str">
            <v>Liam</v>
          </cell>
          <cell r="G12">
            <v>1</v>
          </cell>
          <cell r="H12">
            <v>0</v>
          </cell>
          <cell r="I12">
            <v>1</v>
          </cell>
          <cell r="J12">
            <v>42209</v>
          </cell>
          <cell r="K12" t="str">
            <v>3 an(s) 9 mois et 24 jour(s)</v>
          </cell>
          <cell r="L12" t="str">
            <v>Chateaubernard</v>
          </cell>
          <cell r="M12" t="str">
            <v>Cognac</v>
          </cell>
          <cell r="N12">
            <v>0</v>
          </cell>
        </row>
        <row r="13">
          <cell r="C13" t="str">
            <v>AM2-3</v>
          </cell>
          <cell r="D13" t="str">
            <v>AM2-3</v>
          </cell>
          <cell r="E13" t="str">
            <v>PARLANT</v>
          </cell>
          <cell r="F13" t="str">
            <v>Louis</v>
          </cell>
          <cell r="G13">
            <v>1</v>
          </cell>
          <cell r="H13">
            <v>0</v>
          </cell>
          <cell r="I13">
            <v>1</v>
          </cell>
          <cell r="J13">
            <v>41827</v>
          </cell>
          <cell r="K13" t="str">
            <v>4 an(s) 10 mois et 11 jour(s)</v>
          </cell>
          <cell r="L13" t="str">
            <v>Chateaubernard</v>
          </cell>
          <cell r="M13" t="str">
            <v>Cognac</v>
          </cell>
          <cell r="N13">
            <v>0</v>
          </cell>
        </row>
        <row r="14">
          <cell r="C14" t="str">
            <v>AM3-5</v>
          </cell>
          <cell r="D14" t="str">
            <v>AM3-5</v>
          </cell>
          <cell r="E14" t="str">
            <v>GAZEAU</v>
          </cell>
          <cell r="F14" t="str">
            <v>Léonore</v>
          </cell>
          <cell r="G14">
            <v>1</v>
          </cell>
          <cell r="H14">
            <v>1</v>
          </cell>
          <cell r="I14">
            <v>0</v>
          </cell>
          <cell r="J14">
            <v>41810</v>
          </cell>
          <cell r="K14" t="str">
            <v>4 an(s) 10 mois et 28 jour(s)</v>
          </cell>
          <cell r="L14" t="str">
            <v>JUILLAC-LE-COQ</v>
          </cell>
          <cell r="M14" t="str">
            <v>Champagne</v>
          </cell>
          <cell r="N14">
            <v>0</v>
          </cell>
        </row>
        <row r="15">
          <cell r="C15" t="str">
            <v>AM4-6</v>
          </cell>
          <cell r="D15" t="str">
            <v>AM4-6</v>
          </cell>
          <cell r="E15" t="str">
            <v>LESTRADE</v>
          </cell>
          <cell r="F15" t="str">
            <v>James</v>
          </cell>
          <cell r="G15">
            <v>1</v>
          </cell>
          <cell r="H15">
            <v>0</v>
          </cell>
          <cell r="I15">
            <v>1</v>
          </cell>
          <cell r="J15">
            <v>41722</v>
          </cell>
          <cell r="K15" t="str">
            <v>5 an(s) 1 mois et 24 jour(s)</v>
          </cell>
          <cell r="L15" t="str">
            <v>COGNAC</v>
          </cell>
          <cell r="M15" t="str">
            <v>Cognac</v>
          </cell>
          <cell r="N15">
            <v>0</v>
          </cell>
        </row>
        <row r="16">
          <cell r="C16" t="str">
            <v>AM3-2</v>
          </cell>
          <cell r="D16" t="str">
            <v>AM3-2</v>
          </cell>
          <cell r="E16" t="str">
            <v>COUSSY</v>
          </cell>
          <cell r="F16" t="str">
            <v>Lara</v>
          </cell>
          <cell r="G16">
            <v>1</v>
          </cell>
          <cell r="H16">
            <v>1</v>
          </cell>
          <cell r="I16">
            <v>0</v>
          </cell>
          <cell r="J16">
            <v>39977</v>
          </cell>
          <cell r="K16" t="str">
            <v>9 an(s) 11 mois et 5 jour(s)</v>
          </cell>
          <cell r="L16" t="str">
            <v>JUILLAC-LE-COQ</v>
          </cell>
          <cell r="M16" t="str">
            <v>Champagne</v>
          </cell>
          <cell r="N16">
            <v>0</v>
          </cell>
        </row>
        <row r="17">
          <cell r="C17" t="str">
            <v>AM3-3</v>
          </cell>
          <cell r="D17" t="str">
            <v>AM3-3</v>
          </cell>
          <cell r="E17" t="str">
            <v>COUSSY</v>
          </cell>
          <cell r="F17" t="str">
            <v>Théo</v>
          </cell>
          <cell r="G17">
            <v>1</v>
          </cell>
          <cell r="H17">
            <v>0</v>
          </cell>
          <cell r="I17">
            <v>1</v>
          </cell>
          <cell r="J17">
            <v>41948</v>
          </cell>
          <cell r="K17" t="str">
            <v>4 an(s) 6 mois et 13 jour(s)</v>
          </cell>
          <cell r="L17" t="str">
            <v>JUILLAC-LE-COQ</v>
          </cell>
          <cell r="M17" t="str">
            <v>Champagne</v>
          </cell>
          <cell r="N17">
            <v>0</v>
          </cell>
        </row>
        <row r="18">
          <cell r="C18" t="str">
            <v>AM3-4</v>
          </cell>
          <cell r="D18" t="str">
            <v>AM3-4</v>
          </cell>
          <cell r="E18" t="str">
            <v>FILLIOU</v>
          </cell>
          <cell r="F18" t="str">
            <v>Robin</v>
          </cell>
          <cell r="G18">
            <v>1</v>
          </cell>
          <cell r="H18">
            <v>0</v>
          </cell>
          <cell r="I18">
            <v>1</v>
          </cell>
          <cell r="J18">
            <v>42672</v>
          </cell>
          <cell r="K18" t="str">
            <v>2 an(s) 6 mois et 19 jour(s)</v>
          </cell>
          <cell r="L18" t="str">
            <v>JUILLAC-LE-COQ</v>
          </cell>
          <cell r="M18" t="str">
            <v>Champagne</v>
          </cell>
          <cell r="N18">
            <v>0</v>
          </cell>
        </row>
        <row r="19">
          <cell r="C19" t="str">
            <v>AM3-6</v>
          </cell>
          <cell r="D19" t="str">
            <v>AM3-6</v>
          </cell>
          <cell r="E19">
            <v>0</v>
          </cell>
          <cell r="F19" t="str">
            <v>Aiden</v>
          </cell>
          <cell r="G19">
            <v>1</v>
          </cell>
          <cell r="H19">
            <v>0</v>
          </cell>
          <cell r="I19">
            <v>1</v>
          </cell>
          <cell r="J19">
            <v>42887</v>
          </cell>
          <cell r="K19" t="str">
            <v>1 an(s) 11 mois et 17 jour(s)</v>
          </cell>
          <cell r="L19" t="str">
            <v>JUILLAC-LE-COQ</v>
          </cell>
          <cell r="M19" t="str">
            <v>Champagne</v>
          </cell>
          <cell r="N19">
            <v>0</v>
          </cell>
        </row>
        <row r="20">
          <cell r="C20" t="str">
            <v>AM5-1</v>
          </cell>
          <cell r="D20" t="str">
            <v>AM5-1</v>
          </cell>
          <cell r="E20" t="str">
            <v>BARRAUD</v>
          </cell>
          <cell r="F20" t="str">
            <v>Sandrine</v>
          </cell>
          <cell r="G20">
            <v>1</v>
          </cell>
          <cell r="H20">
            <v>1</v>
          </cell>
          <cell r="I20">
            <v>0</v>
          </cell>
          <cell r="J20">
            <v>29222</v>
          </cell>
          <cell r="K20" t="str">
            <v>39 an(s) 4 mois et 16 jour(s)</v>
          </cell>
          <cell r="L20" t="str">
            <v>JUILLAC</v>
          </cell>
          <cell r="M20" t="str">
            <v>Champagne</v>
          </cell>
          <cell r="N20" t="str">
            <v>sandrine.laurent16@gmail.com</v>
          </cell>
        </row>
        <row r="21">
          <cell r="C21" t="str">
            <v>AM5-10</v>
          </cell>
          <cell r="D21" t="str">
            <v>AM5-10</v>
          </cell>
          <cell r="E21">
            <v>0</v>
          </cell>
          <cell r="F21" t="str">
            <v>Médan</v>
          </cell>
          <cell r="G21">
            <v>1</v>
          </cell>
          <cell r="H21">
            <v>0</v>
          </cell>
          <cell r="I21">
            <v>1</v>
          </cell>
          <cell r="J21">
            <v>42887</v>
          </cell>
          <cell r="K21" t="str">
            <v>1 an(s) 11 mois et 17 jour(s)</v>
          </cell>
          <cell r="L21" t="str">
            <v>JUILLAC</v>
          </cell>
          <cell r="M21" t="str">
            <v>Champagne</v>
          </cell>
          <cell r="N21">
            <v>0</v>
          </cell>
        </row>
        <row r="22">
          <cell r="C22" t="str">
            <v>AM5-11</v>
          </cell>
          <cell r="D22" t="str">
            <v>AM5-11</v>
          </cell>
          <cell r="E22">
            <v>0</v>
          </cell>
          <cell r="F22" t="str">
            <v>Amélia</v>
          </cell>
          <cell r="G22">
            <v>1</v>
          </cell>
          <cell r="H22">
            <v>1</v>
          </cell>
          <cell r="I22">
            <v>0</v>
          </cell>
          <cell r="J22">
            <v>42397</v>
          </cell>
          <cell r="K22" t="str">
            <v>3 an(s) 3 mois et 20 jour(s)</v>
          </cell>
          <cell r="L22" t="str">
            <v>JUILLAC</v>
          </cell>
          <cell r="M22" t="str">
            <v>Champagne</v>
          </cell>
          <cell r="N22">
            <v>0</v>
          </cell>
        </row>
        <row r="23">
          <cell r="C23" t="str">
            <v>AM5-2</v>
          </cell>
          <cell r="D23" t="str">
            <v>AM5-2</v>
          </cell>
          <cell r="E23" t="str">
            <v>CHEVALIER-BARRAUD</v>
          </cell>
          <cell r="F23" t="str">
            <v>Théo-Paul</v>
          </cell>
          <cell r="G23">
            <v>1</v>
          </cell>
          <cell r="H23">
            <v>0</v>
          </cell>
          <cell r="I23">
            <v>1</v>
          </cell>
          <cell r="J23">
            <v>38297</v>
          </cell>
          <cell r="K23" t="str">
            <v>14 an(s) 6 mois et 12 jour(s)</v>
          </cell>
          <cell r="L23" t="str">
            <v>JUILLAC</v>
          </cell>
          <cell r="M23" t="str">
            <v>Champagne</v>
          </cell>
          <cell r="N23">
            <v>0</v>
          </cell>
        </row>
        <row r="24">
          <cell r="C24" t="str">
            <v>AM5-3</v>
          </cell>
          <cell r="D24" t="str">
            <v>AM5-3</v>
          </cell>
          <cell r="E24" t="str">
            <v>CHEVALIER-BARRAUD</v>
          </cell>
          <cell r="F24" t="str">
            <v>Elyot</v>
          </cell>
          <cell r="G24">
            <v>1</v>
          </cell>
          <cell r="H24">
            <v>0</v>
          </cell>
          <cell r="I24">
            <v>1</v>
          </cell>
          <cell r="J24">
            <v>39522</v>
          </cell>
          <cell r="K24" t="str">
            <v>11 an(s) 2 mois et 3 jour(s)</v>
          </cell>
          <cell r="L24" t="str">
            <v>JUILLAC</v>
          </cell>
          <cell r="M24" t="str">
            <v>Champagne</v>
          </cell>
          <cell r="N24">
            <v>0</v>
          </cell>
        </row>
        <row r="25">
          <cell r="C25" t="str">
            <v>AM5-4</v>
          </cell>
          <cell r="D25" t="str">
            <v>AM5-4</v>
          </cell>
          <cell r="E25" t="str">
            <v>GEORGES-BARRAUD</v>
          </cell>
          <cell r="F25" t="str">
            <v>Gabin</v>
          </cell>
          <cell r="G25">
            <v>1</v>
          </cell>
          <cell r="H25">
            <v>0</v>
          </cell>
          <cell r="I25">
            <v>1</v>
          </cell>
          <cell r="J25">
            <v>41402</v>
          </cell>
          <cell r="K25" t="str">
            <v>6 an(s) 0 mois et 10 jour(s)</v>
          </cell>
          <cell r="L25" t="str">
            <v>JUILLAC</v>
          </cell>
          <cell r="M25" t="str">
            <v>Champagne</v>
          </cell>
          <cell r="N25">
            <v>0</v>
          </cell>
        </row>
        <row r="26">
          <cell r="C26" t="str">
            <v>AM5-5</v>
          </cell>
          <cell r="D26" t="str">
            <v>AM5-5</v>
          </cell>
          <cell r="E26" t="str">
            <v>LACOUX</v>
          </cell>
          <cell r="F26" t="str">
            <v>Liam</v>
          </cell>
          <cell r="G26">
            <v>1</v>
          </cell>
          <cell r="H26">
            <v>0</v>
          </cell>
          <cell r="I26">
            <v>1</v>
          </cell>
          <cell r="J26">
            <v>42369</v>
          </cell>
          <cell r="K26" t="str">
            <v>3 an(s) 4 mois et 17 jour(s)</v>
          </cell>
          <cell r="L26" t="str">
            <v>JUILLAC</v>
          </cell>
          <cell r="M26" t="str">
            <v>Champagne</v>
          </cell>
          <cell r="N26">
            <v>0</v>
          </cell>
        </row>
        <row r="27">
          <cell r="C27" t="str">
            <v>AM5-6</v>
          </cell>
          <cell r="D27" t="str">
            <v>AM5-6</v>
          </cell>
          <cell r="E27" t="str">
            <v>ANTONIO-LAUVOY</v>
          </cell>
          <cell r="F27" t="str">
            <v>Enola</v>
          </cell>
          <cell r="G27">
            <v>1</v>
          </cell>
          <cell r="H27">
            <v>1</v>
          </cell>
          <cell r="I27">
            <v>0</v>
          </cell>
          <cell r="J27">
            <v>42228</v>
          </cell>
          <cell r="K27" t="str">
            <v>3 an(s) 9 mois et 6 jour(s)</v>
          </cell>
          <cell r="L27" t="str">
            <v>JUILLAC</v>
          </cell>
          <cell r="M27" t="str">
            <v>Champagne</v>
          </cell>
          <cell r="N27">
            <v>0</v>
          </cell>
        </row>
        <row r="28">
          <cell r="C28" t="str">
            <v>AM5-7</v>
          </cell>
          <cell r="D28" t="str">
            <v>AM5-7</v>
          </cell>
          <cell r="E28" t="str">
            <v>ROBERT</v>
          </cell>
          <cell r="F28" t="str">
            <v>Andy</v>
          </cell>
          <cell r="G28">
            <v>1</v>
          </cell>
          <cell r="H28">
            <v>0</v>
          </cell>
          <cell r="I28">
            <v>1</v>
          </cell>
          <cell r="J28">
            <v>42603</v>
          </cell>
          <cell r="K28" t="str">
            <v>2 an(s) 8 mois et 27 jour(s)</v>
          </cell>
          <cell r="L28" t="str">
            <v>JUILLAC</v>
          </cell>
          <cell r="M28" t="str">
            <v>Champagne</v>
          </cell>
          <cell r="N28">
            <v>0</v>
          </cell>
        </row>
        <row r="29">
          <cell r="C29" t="str">
            <v>AM5-8</v>
          </cell>
          <cell r="D29" t="str">
            <v>AM5-8</v>
          </cell>
          <cell r="E29" t="str">
            <v>BURAUD</v>
          </cell>
          <cell r="F29" t="str">
            <v>Pauline</v>
          </cell>
          <cell r="G29">
            <v>1</v>
          </cell>
          <cell r="H29">
            <v>1</v>
          </cell>
          <cell r="I29">
            <v>0</v>
          </cell>
          <cell r="J29">
            <v>42402</v>
          </cell>
          <cell r="K29" t="str">
            <v>3 an(s) 3 mois et 16 jour(s)</v>
          </cell>
          <cell r="L29" t="str">
            <v>JUILLAC</v>
          </cell>
          <cell r="M29" t="str">
            <v>Champagne</v>
          </cell>
          <cell r="N29">
            <v>0</v>
          </cell>
        </row>
        <row r="30">
          <cell r="C30" t="str">
            <v>AM5-9</v>
          </cell>
          <cell r="D30" t="str">
            <v>AM5-9</v>
          </cell>
          <cell r="E30" t="str">
            <v>BRIGNONE</v>
          </cell>
          <cell r="F30" t="str">
            <v>Baptiste</v>
          </cell>
          <cell r="G30">
            <v>1</v>
          </cell>
          <cell r="H30">
            <v>0</v>
          </cell>
          <cell r="I30">
            <v>1</v>
          </cell>
          <cell r="J30">
            <v>41926</v>
          </cell>
          <cell r="K30" t="str">
            <v>4 an(s) 7 mois et 4 jour(s)</v>
          </cell>
          <cell r="L30" t="str">
            <v>JUILLAC</v>
          </cell>
          <cell r="M30" t="str">
            <v>Champagne</v>
          </cell>
          <cell r="N30">
            <v>0</v>
          </cell>
        </row>
        <row r="31">
          <cell r="C31" t="str">
            <v>F15-1</v>
          </cell>
          <cell r="D31" t="str">
            <v>F15-1</v>
          </cell>
          <cell r="E31" t="str">
            <v>VIAN</v>
          </cell>
          <cell r="F31" t="str">
            <v>Marie-Jeanne</v>
          </cell>
          <cell r="G31">
            <v>0</v>
          </cell>
          <cell r="H31">
            <v>1</v>
          </cell>
          <cell r="I31">
            <v>0</v>
          </cell>
          <cell r="J31">
            <v>16966</v>
          </cell>
          <cell r="K31" t="str">
            <v>72 an(s) 11 mois et 5 jour(s)</v>
          </cell>
          <cell r="L31" t="str">
            <v>SAINT PREUIL</v>
          </cell>
          <cell r="M31" t="str">
            <v>Champagne</v>
          </cell>
          <cell r="N31" t="str">
            <v>mjvian@orange.fr</v>
          </cell>
        </row>
        <row r="32">
          <cell r="C32" t="str">
            <v>F15-2</v>
          </cell>
          <cell r="D32" t="str">
            <v>F15-2</v>
          </cell>
          <cell r="E32" t="str">
            <v>VIAN</v>
          </cell>
          <cell r="F32" t="str">
            <v>Jacques</v>
          </cell>
          <cell r="G32">
            <v>0</v>
          </cell>
          <cell r="H32">
            <v>0</v>
          </cell>
          <cell r="I32">
            <v>1</v>
          </cell>
          <cell r="J32">
            <v>16454</v>
          </cell>
          <cell r="K32" t="str">
            <v>74 an(s) 4 mois et 1 jour(s)</v>
          </cell>
          <cell r="L32" t="str">
            <v>SAINT PREUIL</v>
          </cell>
          <cell r="M32" t="str">
            <v>Champagne</v>
          </cell>
          <cell r="N32">
            <v>0</v>
          </cell>
        </row>
        <row r="33">
          <cell r="C33" t="str">
            <v>F15-3</v>
          </cell>
          <cell r="D33" t="str">
            <v>F15-3</v>
          </cell>
          <cell r="E33" t="str">
            <v>VIAN</v>
          </cell>
          <cell r="F33" t="str">
            <v>Lisie</v>
          </cell>
          <cell r="G33">
            <v>0</v>
          </cell>
          <cell r="H33">
            <v>1</v>
          </cell>
          <cell r="I33">
            <v>0</v>
          </cell>
          <cell r="J33">
            <v>39025</v>
          </cell>
          <cell r="K33" t="str">
            <v>12 an(s) 6 mois et 14 jour(s)</v>
          </cell>
          <cell r="L33" t="str">
            <v>SAINT PREUIL</v>
          </cell>
          <cell r="M33" t="str">
            <v>Champagne</v>
          </cell>
          <cell r="N33">
            <v>0</v>
          </cell>
        </row>
        <row r="34">
          <cell r="C34" t="str">
            <v>F15-4</v>
          </cell>
          <cell r="D34" t="str">
            <v>F15-4</v>
          </cell>
          <cell r="E34" t="str">
            <v>VIAN</v>
          </cell>
          <cell r="F34" t="str">
            <v>Mado</v>
          </cell>
          <cell r="G34">
            <v>0</v>
          </cell>
          <cell r="H34">
            <v>1</v>
          </cell>
          <cell r="I34">
            <v>0</v>
          </cell>
          <cell r="J34">
            <v>39580</v>
          </cell>
          <cell r="K34" t="str">
            <v>11 an(s) 0 mois et 6 jour(s)</v>
          </cell>
          <cell r="L34" t="str">
            <v>SAINT PREUIL</v>
          </cell>
          <cell r="M34" t="str">
            <v>Champagne</v>
          </cell>
          <cell r="N34">
            <v>0</v>
          </cell>
        </row>
        <row r="35">
          <cell r="C35" t="str">
            <v>F15-5</v>
          </cell>
          <cell r="D35" t="str">
            <v>F15-5</v>
          </cell>
          <cell r="E35" t="str">
            <v>BILLIER</v>
          </cell>
          <cell r="F35" t="str">
            <v>Thelma</v>
          </cell>
          <cell r="G35">
            <v>0</v>
          </cell>
          <cell r="H35">
            <v>1</v>
          </cell>
          <cell r="I35">
            <v>0</v>
          </cell>
          <cell r="J35">
            <v>39482</v>
          </cell>
          <cell r="K35" t="str">
            <v>11 an(s) 3 mois et 14 jour(s)</v>
          </cell>
          <cell r="L35" t="str">
            <v>SAINT PREUIL</v>
          </cell>
          <cell r="M35" t="str">
            <v>Champagne</v>
          </cell>
          <cell r="N35">
            <v>0</v>
          </cell>
        </row>
        <row r="36">
          <cell r="C36" t="str">
            <v>F15-6</v>
          </cell>
          <cell r="D36" t="str">
            <v>F15-6</v>
          </cell>
          <cell r="E36" t="str">
            <v>BILLIER</v>
          </cell>
          <cell r="F36" t="str">
            <v>Arthus</v>
          </cell>
          <cell r="G36">
            <v>0</v>
          </cell>
          <cell r="H36">
            <v>0</v>
          </cell>
          <cell r="I36">
            <v>1</v>
          </cell>
          <cell r="J36">
            <v>40529</v>
          </cell>
          <cell r="K36" t="str">
            <v>8 an(s) 5 mois et 1 jour(s)</v>
          </cell>
          <cell r="L36" t="str">
            <v>SAINT PREUIL</v>
          </cell>
          <cell r="M36" t="str">
            <v>Champagne</v>
          </cell>
          <cell r="N36">
            <v>0</v>
          </cell>
        </row>
        <row r="37">
          <cell r="C37" t="str">
            <v>F18-1</v>
          </cell>
          <cell r="D37" t="str">
            <v>F18-1</v>
          </cell>
          <cell r="E37" t="str">
            <v>LEGRAS</v>
          </cell>
          <cell r="F37" t="str">
            <v>Virginie</v>
          </cell>
          <cell r="G37">
            <v>0</v>
          </cell>
          <cell r="H37">
            <v>1</v>
          </cell>
          <cell r="I37">
            <v>0</v>
          </cell>
          <cell r="J37">
            <v>27319</v>
          </cell>
          <cell r="K37" t="str">
            <v>44 an(s) 7 mois et 1 jour(s)</v>
          </cell>
          <cell r="L37" t="str">
            <v>Bouteville</v>
          </cell>
          <cell r="M37" t="str">
            <v>Chateauneuf</v>
          </cell>
          <cell r="N37" t="str">
            <v>legras.virginie@sfr.fr</v>
          </cell>
        </row>
        <row r="38">
          <cell r="C38" t="str">
            <v>F18-2</v>
          </cell>
          <cell r="D38" t="str">
            <v>F18-2</v>
          </cell>
          <cell r="E38" t="str">
            <v>LETERRIER</v>
          </cell>
          <cell r="F38" t="str">
            <v>Matthew</v>
          </cell>
          <cell r="G38">
            <v>0</v>
          </cell>
          <cell r="H38">
            <v>0</v>
          </cell>
          <cell r="I38">
            <v>1</v>
          </cell>
          <cell r="J38">
            <v>40316</v>
          </cell>
          <cell r="K38" t="str">
            <v>9 an(s) 0 mois et 0 jour(s)</v>
          </cell>
          <cell r="L38" t="str">
            <v>Bouteville</v>
          </cell>
          <cell r="M38" t="str">
            <v>Chateauneuf</v>
          </cell>
          <cell r="N38">
            <v>0</v>
          </cell>
        </row>
        <row r="39">
          <cell r="C39" t="str">
            <v>F18-3</v>
          </cell>
          <cell r="D39" t="str">
            <v>F18-3</v>
          </cell>
          <cell r="E39" t="str">
            <v>LETERRIER</v>
          </cell>
          <cell r="F39" t="str">
            <v>Bastien</v>
          </cell>
          <cell r="G39">
            <v>0</v>
          </cell>
          <cell r="H39">
            <v>0</v>
          </cell>
          <cell r="I39">
            <v>1</v>
          </cell>
          <cell r="J39">
            <v>41145</v>
          </cell>
          <cell r="K39" t="str">
            <v>6 an(s) 8 mois et 24 jour(s)</v>
          </cell>
          <cell r="L39" t="str">
            <v>Bouteville</v>
          </cell>
          <cell r="M39" t="str">
            <v>Chateauneuf</v>
          </cell>
          <cell r="N39">
            <v>0</v>
          </cell>
        </row>
        <row r="40">
          <cell r="C40" t="str">
            <v>F20-1</v>
          </cell>
          <cell r="D40" t="str">
            <v>F20-1</v>
          </cell>
          <cell r="E40" t="str">
            <v>CHACUN</v>
          </cell>
          <cell r="F40" t="str">
            <v>Marie</v>
          </cell>
          <cell r="G40">
            <v>0</v>
          </cell>
          <cell r="H40">
            <v>1</v>
          </cell>
          <cell r="I40">
            <v>0</v>
          </cell>
          <cell r="J40">
            <v>30120</v>
          </cell>
          <cell r="K40" t="str">
            <v>36 an(s) 11 mois et 0 jour(s)</v>
          </cell>
          <cell r="L40" t="str">
            <v>SEGONZAC</v>
          </cell>
          <cell r="M40" t="str">
            <v>Champagne</v>
          </cell>
          <cell r="N40">
            <v>0</v>
          </cell>
        </row>
        <row r="41">
          <cell r="C41" t="str">
            <v>F20-2</v>
          </cell>
          <cell r="D41" t="str">
            <v>F20-2</v>
          </cell>
          <cell r="E41" t="str">
            <v>POMMIER</v>
          </cell>
          <cell r="F41" t="str">
            <v>Victor</v>
          </cell>
          <cell r="G41">
            <v>0</v>
          </cell>
          <cell r="H41">
            <v>0</v>
          </cell>
          <cell r="I41">
            <v>1</v>
          </cell>
          <cell r="J41">
            <v>41258</v>
          </cell>
          <cell r="K41" t="str">
            <v>6 an(s) 5 mois et 3 jour(s)</v>
          </cell>
          <cell r="L41" t="str">
            <v>SEGONZAC</v>
          </cell>
          <cell r="M41" t="str">
            <v>Champagne</v>
          </cell>
          <cell r="N41">
            <v>0</v>
          </cell>
        </row>
        <row r="42">
          <cell r="C42" t="str">
            <v>F21-4</v>
          </cell>
          <cell r="D42" t="str">
            <v>F21-4</v>
          </cell>
          <cell r="E42" t="str">
            <v>LABAT-MENIER</v>
          </cell>
          <cell r="F42" t="str">
            <v>Inès</v>
          </cell>
          <cell r="G42">
            <v>0</v>
          </cell>
          <cell r="H42">
            <v>1</v>
          </cell>
          <cell r="I42">
            <v>0</v>
          </cell>
          <cell r="J42">
            <v>39836</v>
          </cell>
          <cell r="K42" t="str">
            <v>10 an(s) 3 mois et 25 jour(s)</v>
          </cell>
          <cell r="L42" t="str">
            <v>Cognac</v>
          </cell>
          <cell r="M42" t="str">
            <v>Cognac</v>
          </cell>
          <cell r="N42">
            <v>0</v>
          </cell>
        </row>
        <row r="43">
          <cell r="C43" t="str">
            <v>F21-4</v>
          </cell>
          <cell r="D43" t="str">
            <v>F21-4</v>
          </cell>
          <cell r="E43" t="str">
            <v>MENIER</v>
          </cell>
          <cell r="F43" t="str">
            <v>Jules</v>
          </cell>
          <cell r="G43">
            <v>0</v>
          </cell>
          <cell r="H43">
            <v>0</v>
          </cell>
          <cell r="I43">
            <v>1</v>
          </cell>
          <cell r="J43">
            <v>41796</v>
          </cell>
          <cell r="K43" t="str">
            <v>4 an(s) 11 mois et 12 jour(s)</v>
          </cell>
          <cell r="L43" t="str">
            <v>Cognac</v>
          </cell>
          <cell r="M43" t="str">
            <v>Cognac</v>
          </cell>
          <cell r="N43">
            <v>0</v>
          </cell>
        </row>
        <row r="44">
          <cell r="C44" t="str">
            <v>F22-1</v>
          </cell>
          <cell r="D44" t="str">
            <v>F22-1</v>
          </cell>
          <cell r="E44" t="str">
            <v>BERTRAND</v>
          </cell>
          <cell r="F44" t="str">
            <v>Stéphanie</v>
          </cell>
          <cell r="G44">
            <v>0</v>
          </cell>
          <cell r="H44">
            <v>1</v>
          </cell>
          <cell r="I44">
            <v>0</v>
          </cell>
          <cell r="J44">
            <v>30851</v>
          </cell>
          <cell r="K44" t="str">
            <v>34 an(s) 11 mois et 0 jour(s)</v>
          </cell>
          <cell r="L44" t="str">
            <v>Saint Même Les Carrières</v>
          </cell>
          <cell r="M44" t="str">
            <v>Jarnac</v>
          </cell>
          <cell r="N44" t="str">
            <v>stephanie18061984@hotmail.com</v>
          </cell>
        </row>
        <row r="45">
          <cell r="C45" t="str">
            <v>F22-2</v>
          </cell>
          <cell r="D45" t="str">
            <v>F22-2</v>
          </cell>
          <cell r="E45" t="str">
            <v>BERTRAND</v>
          </cell>
          <cell r="F45" t="str">
            <v>Mikaël</v>
          </cell>
          <cell r="G45">
            <v>0</v>
          </cell>
          <cell r="H45">
            <v>0</v>
          </cell>
          <cell r="I45">
            <v>1</v>
          </cell>
          <cell r="J45">
            <v>28616</v>
          </cell>
          <cell r="K45" t="str">
            <v>41 an(s) 0 mois et 12 jour(s)</v>
          </cell>
          <cell r="L45" t="str">
            <v>Saint Même Les Carrières</v>
          </cell>
          <cell r="M45" t="str">
            <v>Jarnac</v>
          </cell>
          <cell r="N45">
            <v>0</v>
          </cell>
        </row>
        <row r="46">
          <cell r="C46" t="str">
            <v>F22-3</v>
          </cell>
          <cell r="D46" t="str">
            <v>F22-3</v>
          </cell>
          <cell r="E46" t="str">
            <v>BERTRAND</v>
          </cell>
          <cell r="F46" t="str">
            <v>Maéva</v>
          </cell>
          <cell r="G46">
            <v>0</v>
          </cell>
          <cell r="H46">
            <v>1</v>
          </cell>
          <cell r="I46">
            <v>0</v>
          </cell>
          <cell r="J46">
            <v>40220</v>
          </cell>
          <cell r="K46" t="str">
            <v>9 an(s) 3 mois et 7 jour(s)</v>
          </cell>
          <cell r="L46" t="str">
            <v>Saint Même Les Carrières</v>
          </cell>
          <cell r="M46" t="str">
            <v>Jarnac</v>
          </cell>
          <cell r="N46">
            <v>0</v>
          </cell>
        </row>
        <row r="47">
          <cell r="C47" t="str">
            <v>F22-4</v>
          </cell>
          <cell r="D47" t="str">
            <v>F22-4</v>
          </cell>
          <cell r="E47" t="str">
            <v>BERTRAND</v>
          </cell>
          <cell r="F47" t="str">
            <v>Erwan</v>
          </cell>
          <cell r="G47">
            <v>0</v>
          </cell>
          <cell r="H47">
            <v>0</v>
          </cell>
          <cell r="I47">
            <v>1</v>
          </cell>
          <cell r="J47">
            <v>40928</v>
          </cell>
          <cell r="K47" t="str">
            <v>7 an(s) 3 mois et 28 jour(s)</v>
          </cell>
          <cell r="L47" t="str">
            <v>Saint Même Les Carrières</v>
          </cell>
          <cell r="M47" t="str">
            <v>Jarnac</v>
          </cell>
          <cell r="N47">
            <v>0</v>
          </cell>
        </row>
        <row r="48">
          <cell r="C48" t="str">
            <v>F22-5</v>
          </cell>
          <cell r="D48" t="str">
            <v>F22-5</v>
          </cell>
          <cell r="E48" t="str">
            <v>BERTRAND</v>
          </cell>
          <cell r="F48" t="str">
            <v>Axel</v>
          </cell>
          <cell r="G48">
            <v>0</v>
          </cell>
          <cell r="H48">
            <v>0</v>
          </cell>
          <cell r="I48">
            <v>1</v>
          </cell>
          <cell r="J48">
            <v>42215</v>
          </cell>
          <cell r="K48" t="str">
            <v>3 an(s) 9 mois et 18 jour(s)</v>
          </cell>
          <cell r="L48" t="str">
            <v>Saint Même Les Carrières</v>
          </cell>
          <cell r="M48" t="str">
            <v>Jarnac</v>
          </cell>
          <cell r="N48">
            <v>0</v>
          </cell>
        </row>
        <row r="49">
          <cell r="C49" t="str">
            <v>F23-1</v>
          </cell>
          <cell r="D49" t="str">
            <v>F23-1</v>
          </cell>
          <cell r="E49" t="str">
            <v>VELASCO</v>
          </cell>
          <cell r="F49" t="str">
            <v>Véronique</v>
          </cell>
          <cell r="G49">
            <v>0</v>
          </cell>
          <cell r="H49">
            <v>1</v>
          </cell>
          <cell r="I49">
            <v>0</v>
          </cell>
          <cell r="J49">
            <v>26064</v>
          </cell>
          <cell r="K49" t="str">
            <v>48 an(s) 0 mois et 7 jour(s)</v>
          </cell>
          <cell r="L49" t="str">
            <v>SEGONZAC</v>
          </cell>
          <cell r="M49" t="str">
            <v>Champagne</v>
          </cell>
          <cell r="N49" t="str">
            <v>stephane.velasco@neuf.fr</v>
          </cell>
        </row>
        <row r="50">
          <cell r="C50" t="str">
            <v>F23-2</v>
          </cell>
          <cell r="D50" t="str">
            <v>F23-2</v>
          </cell>
          <cell r="E50" t="str">
            <v>VELASCO</v>
          </cell>
          <cell r="F50" t="str">
            <v>Agathe</v>
          </cell>
          <cell r="G50">
            <v>0</v>
          </cell>
          <cell r="H50">
            <v>1</v>
          </cell>
          <cell r="I50">
            <v>0</v>
          </cell>
          <cell r="J50">
            <v>37881</v>
          </cell>
          <cell r="K50" t="str">
            <v>15 an(s) 8 mois et 1 jour(s)</v>
          </cell>
          <cell r="L50" t="str">
            <v>SEGONZAC</v>
          </cell>
          <cell r="M50" t="str">
            <v>Champagne</v>
          </cell>
          <cell r="N50">
            <v>0</v>
          </cell>
        </row>
        <row r="51">
          <cell r="C51" t="str">
            <v>F23-3</v>
          </cell>
          <cell r="D51" t="str">
            <v>F23-3</v>
          </cell>
          <cell r="E51" t="str">
            <v>VELASCO</v>
          </cell>
          <cell r="F51" t="str">
            <v>Jean</v>
          </cell>
          <cell r="G51">
            <v>0</v>
          </cell>
          <cell r="H51">
            <v>0</v>
          </cell>
          <cell r="I51">
            <v>1</v>
          </cell>
          <cell r="J51">
            <v>39650</v>
          </cell>
          <cell r="K51" t="str">
            <v>10 an(s) 9 mois et 27 jour(s)</v>
          </cell>
          <cell r="L51" t="str">
            <v>SEGONZAC</v>
          </cell>
          <cell r="M51" t="str">
            <v>Champagne</v>
          </cell>
          <cell r="N51">
            <v>0</v>
          </cell>
        </row>
        <row r="52">
          <cell r="C52" t="str">
            <v>F24-1</v>
          </cell>
          <cell r="D52" t="str">
            <v>F24-1</v>
          </cell>
          <cell r="E52" t="str">
            <v>JANOT</v>
          </cell>
          <cell r="F52" t="str">
            <v>Julien</v>
          </cell>
          <cell r="G52">
            <v>0</v>
          </cell>
          <cell r="H52">
            <v>0</v>
          </cell>
          <cell r="I52">
            <v>1</v>
          </cell>
          <cell r="J52">
            <v>30977</v>
          </cell>
          <cell r="K52" t="str">
            <v>34 an(s) 6 mois et 26 jour(s)</v>
          </cell>
          <cell r="L52" t="str">
            <v>Saint-Brice</v>
          </cell>
          <cell r="M52" t="str">
            <v>Cognac</v>
          </cell>
          <cell r="N52" t="str">
            <v>julien.janot@hotmail.fr</v>
          </cell>
        </row>
        <row r="53">
          <cell r="C53" t="str">
            <v>F25-1</v>
          </cell>
          <cell r="D53" t="str">
            <v>F25-1</v>
          </cell>
          <cell r="E53" t="str">
            <v>MENIER</v>
          </cell>
          <cell r="F53" t="str">
            <v>Nicole</v>
          </cell>
          <cell r="G53">
            <v>0</v>
          </cell>
          <cell r="H53">
            <v>1</v>
          </cell>
          <cell r="I53">
            <v>0</v>
          </cell>
          <cell r="J53">
            <v>19495</v>
          </cell>
          <cell r="K53" t="str">
            <v>66 an(s) 0 mois et 2 jour(s)</v>
          </cell>
          <cell r="L53" t="str">
            <v>Cognac</v>
          </cell>
          <cell r="M53" t="str">
            <v>Cognac</v>
          </cell>
          <cell r="N53" t="str">
            <v>n/menier@yahoo.fr</v>
          </cell>
        </row>
        <row r="54">
          <cell r="C54" t="str">
            <v>F25-2</v>
          </cell>
          <cell r="D54" t="str">
            <v>F25-2</v>
          </cell>
          <cell r="E54" t="str">
            <v>MENIER</v>
          </cell>
          <cell r="F54" t="str">
            <v>Richard</v>
          </cell>
          <cell r="G54">
            <v>0</v>
          </cell>
          <cell r="H54">
            <v>0</v>
          </cell>
          <cell r="I54">
            <v>1</v>
          </cell>
          <cell r="J54">
            <v>18171</v>
          </cell>
          <cell r="K54" t="str">
            <v>69 an(s) 7 mois et 18 jour(s)</v>
          </cell>
          <cell r="L54" t="str">
            <v>Cognac</v>
          </cell>
          <cell r="M54" t="str">
            <v>Cognac</v>
          </cell>
          <cell r="N54">
            <v>0</v>
          </cell>
        </row>
        <row r="55">
          <cell r="C55" t="str">
            <v>F25-3</v>
          </cell>
          <cell r="D55" t="str">
            <v>F25-3</v>
          </cell>
          <cell r="E55" t="str">
            <v>MENIER</v>
          </cell>
          <cell r="F55" t="str">
            <v>Juliette</v>
          </cell>
          <cell r="G55">
            <v>0</v>
          </cell>
          <cell r="H55">
            <v>1</v>
          </cell>
          <cell r="I55">
            <v>0</v>
          </cell>
          <cell r="J55">
            <v>40330</v>
          </cell>
          <cell r="K55" t="str">
            <v>8 an(s) 11 mois et 17 jour(s)</v>
          </cell>
          <cell r="L55" t="str">
            <v>Cognac</v>
          </cell>
          <cell r="M55" t="str">
            <v>Cognac</v>
          </cell>
          <cell r="N55">
            <v>0</v>
          </cell>
        </row>
        <row r="56">
          <cell r="C56" t="str">
            <v>F25-4</v>
          </cell>
          <cell r="D56" t="str">
            <v>F25-4</v>
          </cell>
          <cell r="E56" t="str">
            <v>MENIER</v>
          </cell>
          <cell r="F56" t="str">
            <v>Arthur</v>
          </cell>
          <cell r="G56">
            <v>0</v>
          </cell>
          <cell r="H56">
            <v>0</v>
          </cell>
          <cell r="I56">
            <v>1</v>
          </cell>
          <cell r="J56">
            <v>41289</v>
          </cell>
          <cell r="K56" t="str">
            <v>6 an(s) 4 mois et 3 jour(s)</v>
          </cell>
          <cell r="L56" t="str">
            <v>Cognac</v>
          </cell>
          <cell r="M56" t="str">
            <v>Cognac</v>
          </cell>
          <cell r="N56">
            <v>0</v>
          </cell>
        </row>
        <row r="57">
          <cell r="C57" t="str">
            <v>F27-1</v>
          </cell>
          <cell r="D57" t="str">
            <v>F27-1</v>
          </cell>
          <cell r="E57" t="str">
            <v>LOPES</v>
          </cell>
          <cell r="F57" t="str">
            <v>Mélissa</v>
          </cell>
          <cell r="G57">
            <v>0</v>
          </cell>
          <cell r="H57">
            <v>1</v>
          </cell>
          <cell r="I57">
            <v>0</v>
          </cell>
          <cell r="J57">
            <v>32483</v>
          </cell>
          <cell r="K57" t="str">
            <v>30 an(s) 5 mois et 12 jour(s)</v>
          </cell>
          <cell r="L57" t="str">
            <v>SEGONZAC</v>
          </cell>
          <cell r="M57" t="str">
            <v>Champagne</v>
          </cell>
          <cell r="N57" t="str">
            <v>melissa.lopes@live.fr</v>
          </cell>
        </row>
        <row r="58">
          <cell r="C58" t="str">
            <v>F27-2</v>
          </cell>
          <cell r="D58" t="str">
            <v>F27-2</v>
          </cell>
          <cell r="E58" t="str">
            <v>LOPES</v>
          </cell>
          <cell r="F58" t="str">
            <v>Anna</v>
          </cell>
          <cell r="G58">
            <v>0</v>
          </cell>
          <cell r="H58">
            <v>0</v>
          </cell>
          <cell r="I58">
            <v>1</v>
          </cell>
          <cell r="J58">
            <v>21858</v>
          </cell>
          <cell r="K58" t="str">
            <v>59 an(s) 6 mois et 14 jour(s)</v>
          </cell>
          <cell r="L58" t="str">
            <v>SEGONZAC</v>
          </cell>
          <cell r="M58" t="str">
            <v>Champagne</v>
          </cell>
          <cell r="N58">
            <v>0</v>
          </cell>
        </row>
        <row r="59">
          <cell r="C59" t="str">
            <v>F27-3</v>
          </cell>
          <cell r="D59" t="str">
            <v>F27-3</v>
          </cell>
          <cell r="E59" t="str">
            <v>LOPES</v>
          </cell>
          <cell r="F59" t="str">
            <v>Aaron</v>
          </cell>
          <cell r="G59">
            <v>0</v>
          </cell>
          <cell r="H59">
            <v>0</v>
          </cell>
          <cell r="I59">
            <v>1</v>
          </cell>
          <cell r="J59">
            <v>42412</v>
          </cell>
          <cell r="K59" t="str">
            <v>3 an(s) 3 mois et 6 jour(s)</v>
          </cell>
          <cell r="L59" t="str">
            <v>SEGONZAC</v>
          </cell>
          <cell r="M59" t="str">
            <v>Champagne</v>
          </cell>
          <cell r="N59">
            <v>0</v>
          </cell>
        </row>
        <row r="60">
          <cell r="C60" t="str">
            <v>F27-4</v>
          </cell>
          <cell r="D60" t="str">
            <v>F27-4</v>
          </cell>
          <cell r="E60" t="str">
            <v>DUMAS LOPES</v>
          </cell>
          <cell r="F60" t="str">
            <v>Léona</v>
          </cell>
          <cell r="G60">
            <v>0</v>
          </cell>
          <cell r="H60">
            <v>1</v>
          </cell>
          <cell r="I60">
            <v>0</v>
          </cell>
          <cell r="J60">
            <v>41003</v>
          </cell>
          <cell r="K60" t="str">
            <v>7 an(s) 1 mois et 14 jour(s)</v>
          </cell>
          <cell r="L60" t="str">
            <v>SEGONZAC</v>
          </cell>
          <cell r="M60" t="str">
            <v>Champagne</v>
          </cell>
          <cell r="N60">
            <v>0</v>
          </cell>
        </row>
        <row r="61">
          <cell r="C61" t="str">
            <v>F30-1</v>
          </cell>
          <cell r="D61" t="str">
            <v>F30-1</v>
          </cell>
          <cell r="E61" t="str">
            <v>PERRIN</v>
          </cell>
          <cell r="F61" t="str">
            <v>Amicie</v>
          </cell>
          <cell r="G61">
            <v>0</v>
          </cell>
          <cell r="H61">
            <v>0</v>
          </cell>
          <cell r="I61">
            <v>1</v>
          </cell>
          <cell r="J61">
            <v>32325</v>
          </cell>
          <cell r="K61" t="str">
            <v>30 an(s) 10 mois et 17 jour(s)</v>
          </cell>
          <cell r="L61" t="str">
            <v>SEGONZAC</v>
          </cell>
          <cell r="M61" t="str">
            <v>Champagne</v>
          </cell>
          <cell r="N61" t="str">
            <v>amicie.perrin@gmail.com</v>
          </cell>
        </row>
        <row r="62">
          <cell r="C62" t="str">
            <v>F30-2</v>
          </cell>
          <cell r="D62" t="str">
            <v>F30-2</v>
          </cell>
          <cell r="E62" t="str">
            <v>PERRIN</v>
          </cell>
          <cell r="F62" t="str">
            <v>Timothée</v>
          </cell>
          <cell r="G62">
            <v>0</v>
          </cell>
          <cell r="H62">
            <v>1</v>
          </cell>
          <cell r="I62">
            <v>0</v>
          </cell>
          <cell r="J62">
            <v>41747</v>
          </cell>
          <cell r="K62" t="str">
            <v>5 an(s) 1 mois et 0 jour(s)</v>
          </cell>
          <cell r="L62" t="str">
            <v>SEGONZAC</v>
          </cell>
          <cell r="M62" t="str">
            <v>Champagne</v>
          </cell>
          <cell r="N62">
            <v>0</v>
          </cell>
        </row>
        <row r="63">
          <cell r="C63" t="str">
            <v>F30-3</v>
          </cell>
          <cell r="D63" t="str">
            <v>F30-3</v>
          </cell>
          <cell r="E63" t="str">
            <v>PERRIN</v>
          </cell>
          <cell r="F63" t="str">
            <v>Agathe</v>
          </cell>
          <cell r="G63">
            <v>0</v>
          </cell>
          <cell r="H63">
            <v>1</v>
          </cell>
          <cell r="I63">
            <v>0</v>
          </cell>
          <cell r="J63">
            <v>42690</v>
          </cell>
          <cell r="K63" t="str">
            <v>2 an(s) 6 mois et 2 jour(s)</v>
          </cell>
          <cell r="L63" t="str">
            <v>SEGONZAC</v>
          </cell>
          <cell r="M63" t="str">
            <v>Champagne</v>
          </cell>
          <cell r="N63">
            <v>0</v>
          </cell>
        </row>
        <row r="64">
          <cell r="C64" t="str">
            <v>F31-1</v>
          </cell>
          <cell r="D64" t="str">
            <v>F31-1</v>
          </cell>
          <cell r="E64" t="str">
            <v>LUMBATOMBING</v>
          </cell>
          <cell r="F64" t="str">
            <v>Cahaya</v>
          </cell>
          <cell r="G64">
            <v>0</v>
          </cell>
          <cell r="H64">
            <v>1</v>
          </cell>
          <cell r="I64">
            <v>0</v>
          </cell>
          <cell r="J64">
            <v>33598</v>
          </cell>
          <cell r="K64" t="str">
            <v>27 an(s) 4 mois et 22 jour(s)</v>
          </cell>
          <cell r="L64" t="str">
            <v>SEGONZAC</v>
          </cell>
          <cell r="M64" t="str">
            <v>Champagne</v>
          </cell>
          <cell r="N64" t="str">
            <v>eugenie.darcangues@yahoo.fr</v>
          </cell>
        </row>
        <row r="65">
          <cell r="C65" t="str">
            <v>F31-2</v>
          </cell>
          <cell r="D65" t="str">
            <v>F31-2</v>
          </cell>
          <cell r="E65" t="str">
            <v>SABOURAUD</v>
          </cell>
          <cell r="F65" t="str">
            <v>Louise</v>
          </cell>
          <cell r="G65">
            <v>0</v>
          </cell>
          <cell r="H65">
            <v>0</v>
          </cell>
          <cell r="I65">
            <v>1</v>
          </cell>
          <cell r="J65">
            <v>40399</v>
          </cell>
          <cell r="K65" t="str">
            <v>8 an(s) 9 mois et 9 jour(s)</v>
          </cell>
          <cell r="L65" t="str">
            <v>SEGONZAC</v>
          </cell>
          <cell r="M65" t="str">
            <v>Champagne</v>
          </cell>
          <cell r="N65">
            <v>0</v>
          </cell>
        </row>
        <row r="66">
          <cell r="C66" t="str">
            <v>F31-3</v>
          </cell>
          <cell r="D66" t="str">
            <v>F31-3</v>
          </cell>
          <cell r="E66" t="str">
            <v>SABOURAUD</v>
          </cell>
          <cell r="F66" t="str">
            <v>Jean</v>
          </cell>
          <cell r="G66">
            <v>0</v>
          </cell>
          <cell r="H66">
            <v>1</v>
          </cell>
          <cell r="I66">
            <v>0</v>
          </cell>
          <cell r="J66">
            <v>40809</v>
          </cell>
          <cell r="K66" t="str">
            <v>7 an(s) 7 mois et 25 jour(s)</v>
          </cell>
          <cell r="L66" t="str">
            <v>SEGONZAC</v>
          </cell>
          <cell r="M66" t="str">
            <v>Champagne</v>
          </cell>
          <cell r="N66">
            <v>0</v>
          </cell>
        </row>
        <row r="67">
          <cell r="C67" t="str">
            <v>F38-1</v>
          </cell>
          <cell r="D67" t="str">
            <v>F38-1</v>
          </cell>
          <cell r="E67" t="str">
            <v>POULARD</v>
          </cell>
          <cell r="F67" t="str">
            <v>Mélanie</v>
          </cell>
          <cell r="G67">
            <v>0</v>
          </cell>
          <cell r="H67">
            <v>1</v>
          </cell>
          <cell r="I67">
            <v>0</v>
          </cell>
          <cell r="J67">
            <v>30459</v>
          </cell>
          <cell r="K67" t="str">
            <v>35 an(s) 11 mois et 25 jour(s)</v>
          </cell>
          <cell r="L67" t="str">
            <v>Gensac-la-pallue</v>
          </cell>
          <cell r="M67" t="str">
            <v>Champagne</v>
          </cell>
          <cell r="N67" t="str">
            <v>melanie.poulard@hotmail.fr</v>
          </cell>
        </row>
        <row r="68">
          <cell r="C68" t="str">
            <v>F38-2</v>
          </cell>
          <cell r="D68" t="str">
            <v>F38-2</v>
          </cell>
          <cell r="E68" t="str">
            <v>BIROLLAUD-POULARD</v>
          </cell>
          <cell r="F68" t="str">
            <v>Côme</v>
          </cell>
          <cell r="G68">
            <v>0</v>
          </cell>
          <cell r="H68">
            <v>0</v>
          </cell>
          <cell r="I68">
            <v>1</v>
          </cell>
          <cell r="J68">
            <v>41496</v>
          </cell>
          <cell r="K68" t="str">
            <v>5 an(s) 9 mois et 8 jour(s)</v>
          </cell>
          <cell r="L68" t="str">
            <v>Gensac-la-pallue</v>
          </cell>
          <cell r="M68" t="str">
            <v>Champagne</v>
          </cell>
          <cell r="N68">
            <v>0</v>
          </cell>
        </row>
        <row r="69">
          <cell r="C69" t="str">
            <v>F39-1</v>
          </cell>
          <cell r="D69" t="str">
            <v>F39-1</v>
          </cell>
          <cell r="E69" t="str">
            <v xml:space="preserve">SIEBER </v>
          </cell>
          <cell r="F69" t="str">
            <v>Karine</v>
          </cell>
          <cell r="G69">
            <v>0</v>
          </cell>
          <cell r="H69">
            <v>1</v>
          </cell>
          <cell r="I69">
            <v>0</v>
          </cell>
          <cell r="J69">
            <v>26897</v>
          </cell>
          <cell r="K69" t="str">
            <v>45 an(s) 8 mois et 27 jour(s)</v>
          </cell>
          <cell r="L69" t="str">
            <v>SEGONZAC</v>
          </cell>
          <cell r="M69" t="str">
            <v>Champagne</v>
          </cell>
          <cell r="N69" t="str">
            <v>karine16200@hotmail.fr</v>
          </cell>
        </row>
        <row r="70">
          <cell r="C70" t="str">
            <v>F39-2</v>
          </cell>
          <cell r="D70" t="str">
            <v>F39-2</v>
          </cell>
          <cell r="E70" t="str">
            <v>FERRON</v>
          </cell>
          <cell r="F70" t="str">
            <v>Thomas</v>
          </cell>
          <cell r="G70">
            <v>0</v>
          </cell>
          <cell r="H70">
            <v>0</v>
          </cell>
          <cell r="I70">
            <v>1</v>
          </cell>
          <cell r="J70">
            <v>27902</v>
          </cell>
          <cell r="K70" t="str">
            <v>42 an(s) 11 mois et 26 jour(s)</v>
          </cell>
          <cell r="L70" t="str">
            <v>SEGONZAC</v>
          </cell>
          <cell r="M70" t="str">
            <v>Champagne</v>
          </cell>
          <cell r="N70">
            <v>0</v>
          </cell>
        </row>
        <row r="71">
          <cell r="C71" t="str">
            <v>F39-3</v>
          </cell>
          <cell r="D71" t="str">
            <v>F39-3</v>
          </cell>
          <cell r="E71" t="str">
            <v xml:space="preserve">SIEBER </v>
          </cell>
          <cell r="F71" t="str">
            <v>Clément</v>
          </cell>
          <cell r="G71">
            <v>0</v>
          </cell>
          <cell r="H71">
            <v>0</v>
          </cell>
          <cell r="I71">
            <v>1</v>
          </cell>
          <cell r="J71">
            <v>37594</v>
          </cell>
          <cell r="K71" t="str">
            <v>16 an(s) 5 mois et 14 jour(s)</v>
          </cell>
          <cell r="L71" t="str">
            <v>SEGONZAC</v>
          </cell>
          <cell r="M71" t="str">
            <v>Champagne</v>
          </cell>
          <cell r="N71">
            <v>0</v>
          </cell>
        </row>
        <row r="72">
          <cell r="C72" t="str">
            <v>F39-4</v>
          </cell>
          <cell r="D72" t="str">
            <v>F39-4</v>
          </cell>
          <cell r="E72" t="str">
            <v>FERRON</v>
          </cell>
          <cell r="F72" t="str">
            <v>Lilly</v>
          </cell>
          <cell r="G72">
            <v>0</v>
          </cell>
          <cell r="H72">
            <v>1</v>
          </cell>
          <cell r="I72">
            <v>0</v>
          </cell>
          <cell r="J72">
            <v>41368</v>
          </cell>
          <cell r="K72" t="str">
            <v>6 an(s) 1 mois et 14 jour(s)</v>
          </cell>
          <cell r="L72" t="str">
            <v>SEGONZAC</v>
          </cell>
          <cell r="M72" t="str">
            <v>Champagne</v>
          </cell>
          <cell r="N72">
            <v>0</v>
          </cell>
        </row>
        <row r="73">
          <cell r="C73" t="str">
            <v>F41-1</v>
          </cell>
          <cell r="D73" t="str">
            <v>F41-1</v>
          </cell>
          <cell r="E73" t="str">
            <v>ROUTURIER</v>
          </cell>
          <cell r="F73" t="str">
            <v>Marine</v>
          </cell>
          <cell r="G73">
            <v>0</v>
          </cell>
          <cell r="H73">
            <v>1</v>
          </cell>
          <cell r="I73">
            <v>0</v>
          </cell>
          <cell r="J73">
            <v>31897</v>
          </cell>
          <cell r="K73" t="str">
            <v>32 an(s) 0 mois et 18 jour(s)</v>
          </cell>
          <cell r="L73" t="str">
            <v>JUILLAC</v>
          </cell>
          <cell r="M73" t="str">
            <v>Champagne</v>
          </cell>
          <cell r="N73" t="str">
            <v>marine.routurier@laposte.net</v>
          </cell>
        </row>
        <row r="74">
          <cell r="C74" t="str">
            <v>F41-2</v>
          </cell>
          <cell r="D74" t="str">
            <v>F41-2</v>
          </cell>
          <cell r="E74" t="str">
            <v>ROUTURIER</v>
          </cell>
          <cell r="F74" t="str">
            <v>Vincent</v>
          </cell>
          <cell r="G74">
            <v>0</v>
          </cell>
          <cell r="H74">
            <v>0</v>
          </cell>
          <cell r="I74">
            <v>1</v>
          </cell>
          <cell r="J74">
            <v>31980</v>
          </cell>
          <cell r="K74" t="str">
            <v>31 an(s) 9 mois et 26 jour(s)</v>
          </cell>
          <cell r="L74" t="str">
            <v>JUILLAC</v>
          </cell>
          <cell r="M74" t="str">
            <v>Champagne</v>
          </cell>
          <cell r="N74">
            <v>0</v>
          </cell>
        </row>
        <row r="75">
          <cell r="C75" t="str">
            <v>F41-3</v>
          </cell>
          <cell r="D75" t="str">
            <v>F41-3</v>
          </cell>
          <cell r="E75" t="str">
            <v>ROUTURIER</v>
          </cell>
          <cell r="F75" t="str">
            <v>Julia</v>
          </cell>
          <cell r="G75">
            <v>0</v>
          </cell>
          <cell r="H75">
            <v>1</v>
          </cell>
          <cell r="I75">
            <v>0</v>
          </cell>
          <cell r="J75">
            <v>41865</v>
          </cell>
          <cell r="K75" t="str">
            <v>4 an(s) 9 mois et 4 jour(s)</v>
          </cell>
          <cell r="L75" t="str">
            <v>JUILLAC</v>
          </cell>
          <cell r="M75" t="str">
            <v>Champagne</v>
          </cell>
          <cell r="N75">
            <v>0</v>
          </cell>
        </row>
        <row r="76">
          <cell r="C76" t="str">
            <v>F41-4</v>
          </cell>
          <cell r="D76" t="str">
            <v>F41-4</v>
          </cell>
          <cell r="E76" t="str">
            <v>ROUTURIER</v>
          </cell>
          <cell r="F76" t="str">
            <v>Léo</v>
          </cell>
          <cell r="G76">
            <v>0</v>
          </cell>
          <cell r="H76">
            <v>0</v>
          </cell>
          <cell r="I76">
            <v>1</v>
          </cell>
          <cell r="J76">
            <v>42485</v>
          </cell>
          <cell r="K76" t="str">
            <v>3 an(s) 0 mois et 23 jour(s)</v>
          </cell>
          <cell r="L76" t="str">
            <v>JUILLAC</v>
          </cell>
          <cell r="M76" t="str">
            <v>Champagne</v>
          </cell>
          <cell r="N76">
            <v>0</v>
          </cell>
        </row>
        <row r="77">
          <cell r="C77" t="str">
            <v>F42-1</v>
          </cell>
          <cell r="D77" t="str">
            <v>F42-1</v>
          </cell>
          <cell r="E77" t="str">
            <v>FOURNIER</v>
          </cell>
          <cell r="F77" t="str">
            <v>Jennifer</v>
          </cell>
          <cell r="G77">
            <v>0</v>
          </cell>
          <cell r="H77">
            <v>1</v>
          </cell>
          <cell r="I77">
            <v>0</v>
          </cell>
          <cell r="J77">
            <v>29016</v>
          </cell>
          <cell r="K77" t="str">
            <v>39 an(s) 11 mois et 8 jour(s)</v>
          </cell>
          <cell r="L77" t="str">
            <v>SEGONZAC</v>
          </cell>
          <cell r="M77" t="str">
            <v>Champagne</v>
          </cell>
          <cell r="N77" t="str">
            <v>fournier--andre16@orange.fr</v>
          </cell>
        </row>
        <row r="78">
          <cell r="C78" t="str">
            <v>F42-2</v>
          </cell>
          <cell r="D78" t="str">
            <v>F42-2</v>
          </cell>
          <cell r="E78" t="str">
            <v>ANDRÉ FOURNIER</v>
          </cell>
          <cell r="F78" t="str">
            <v>Ambre</v>
          </cell>
          <cell r="G78">
            <v>0</v>
          </cell>
          <cell r="H78">
            <v>1</v>
          </cell>
          <cell r="I78">
            <v>0</v>
          </cell>
          <cell r="J78">
            <v>39625</v>
          </cell>
          <cell r="K78" t="str">
            <v>10 an(s) 10 mois et 22 jour(s)</v>
          </cell>
          <cell r="L78" t="str">
            <v>SEGONZAC</v>
          </cell>
          <cell r="M78" t="str">
            <v>Champagne</v>
          </cell>
          <cell r="N78">
            <v>0</v>
          </cell>
        </row>
        <row r="79">
          <cell r="C79" t="str">
            <v>F42-3</v>
          </cell>
          <cell r="D79" t="str">
            <v>F42-3</v>
          </cell>
          <cell r="E79" t="str">
            <v>ANDRÉ FOURNIER</v>
          </cell>
          <cell r="F79" t="str">
            <v>Anaïs</v>
          </cell>
          <cell r="G79">
            <v>0</v>
          </cell>
          <cell r="H79">
            <v>1</v>
          </cell>
          <cell r="I79">
            <v>0</v>
          </cell>
          <cell r="J79">
            <v>41416</v>
          </cell>
          <cell r="K79" t="str">
            <v>5 an(s) 11 mois et 26 jour(s)</v>
          </cell>
          <cell r="L79" t="str">
            <v>SEGONZAC</v>
          </cell>
          <cell r="M79" t="str">
            <v>Champagne</v>
          </cell>
          <cell r="N79">
            <v>0</v>
          </cell>
        </row>
        <row r="80">
          <cell r="C80" t="str">
            <v>F44-1</v>
          </cell>
          <cell r="D80" t="str">
            <v>F44-1</v>
          </cell>
          <cell r="E80" t="str">
            <v>MARCHEGAY</v>
          </cell>
          <cell r="F80" t="str">
            <v>Elodie</v>
          </cell>
          <cell r="G80">
            <v>0</v>
          </cell>
          <cell r="H80">
            <v>1</v>
          </cell>
          <cell r="I80">
            <v>0</v>
          </cell>
          <cell r="J80">
            <v>29532</v>
          </cell>
          <cell r="K80" t="str">
            <v>38 an(s) 6 mois et 11 jour(s)</v>
          </cell>
          <cell r="L80" t="str">
            <v>SEGONZAC</v>
          </cell>
          <cell r="M80" t="str">
            <v>Champagne</v>
          </cell>
          <cell r="N80" t="str">
            <v>elodie.marchegay@hotmail.fr</v>
          </cell>
        </row>
        <row r="81">
          <cell r="C81" t="str">
            <v>F44-2</v>
          </cell>
          <cell r="D81" t="str">
            <v>F44-2</v>
          </cell>
          <cell r="E81" t="str">
            <v>HAVARD</v>
          </cell>
          <cell r="F81" t="str">
            <v>Clémence</v>
          </cell>
          <cell r="G81">
            <v>0</v>
          </cell>
          <cell r="H81">
            <v>1</v>
          </cell>
          <cell r="I81">
            <v>0</v>
          </cell>
          <cell r="J81">
            <v>42340</v>
          </cell>
          <cell r="K81" t="str">
            <v>3 an(s) 5 mois et 16 jour(s)</v>
          </cell>
          <cell r="L81" t="str">
            <v>SEGONZAC</v>
          </cell>
          <cell r="M81" t="str">
            <v>Champagne</v>
          </cell>
          <cell r="N81">
            <v>0</v>
          </cell>
        </row>
        <row r="82">
          <cell r="C82" t="str">
            <v>F45-1</v>
          </cell>
          <cell r="D82" t="str">
            <v>F45-1</v>
          </cell>
          <cell r="E82" t="str">
            <v>CAILLAUD</v>
          </cell>
          <cell r="F82" t="str">
            <v>Sylvie</v>
          </cell>
          <cell r="G82">
            <v>0</v>
          </cell>
          <cell r="H82">
            <v>1</v>
          </cell>
          <cell r="I82">
            <v>0</v>
          </cell>
          <cell r="J82">
            <v>24779</v>
          </cell>
          <cell r="K82" t="str">
            <v>51 an(s) 6 mois et 15 jour(s)</v>
          </cell>
          <cell r="L82" t="str">
            <v>Bourg Charente</v>
          </cell>
          <cell r="M82" t="str">
            <v>Jarnac</v>
          </cell>
          <cell r="N82" t="str">
            <v>sylvie.caillaud@gmail.com</v>
          </cell>
        </row>
        <row r="83">
          <cell r="C83" t="str">
            <v>F45-2</v>
          </cell>
          <cell r="D83" t="str">
            <v>F45-2</v>
          </cell>
          <cell r="E83" t="str">
            <v>CAILLAUD</v>
          </cell>
          <cell r="F83" t="str">
            <v>Maxime</v>
          </cell>
          <cell r="G83">
            <v>0</v>
          </cell>
          <cell r="H83">
            <v>0</v>
          </cell>
          <cell r="I83">
            <v>1</v>
          </cell>
          <cell r="J83">
            <v>37165</v>
          </cell>
          <cell r="K83" t="str">
            <v>17 an(s) 7 mois et 17 jour(s)</v>
          </cell>
          <cell r="L83" t="str">
            <v>Bourg Charente</v>
          </cell>
          <cell r="M83" t="str">
            <v>Jarnac</v>
          </cell>
          <cell r="N83">
            <v>0</v>
          </cell>
        </row>
        <row r="84">
          <cell r="C84" t="str">
            <v>F47-1</v>
          </cell>
          <cell r="D84" t="str">
            <v>F47-1</v>
          </cell>
          <cell r="E84" t="str">
            <v>NEDELEC</v>
          </cell>
          <cell r="F84" t="str">
            <v>Edith</v>
          </cell>
          <cell r="G84">
            <v>0</v>
          </cell>
          <cell r="H84">
            <v>1</v>
          </cell>
          <cell r="I84">
            <v>0</v>
          </cell>
          <cell r="J84">
            <v>27395</v>
          </cell>
          <cell r="K84" t="str">
            <v>44 an(s) 4 mois et 17 jour(s)</v>
          </cell>
          <cell r="L84" t="str">
            <v>JUILLAC</v>
          </cell>
          <cell r="M84" t="str">
            <v>Champagne</v>
          </cell>
          <cell r="N84" t="str">
            <v>chened@free.fr</v>
          </cell>
        </row>
        <row r="85">
          <cell r="C85" t="str">
            <v>F47-2</v>
          </cell>
          <cell r="D85" t="str">
            <v>F47-2</v>
          </cell>
          <cell r="E85" t="str">
            <v>NEDELEC</v>
          </cell>
          <cell r="F85" t="str">
            <v>Honoré</v>
          </cell>
          <cell r="G85">
            <v>0</v>
          </cell>
          <cell r="H85">
            <v>0</v>
          </cell>
          <cell r="I85">
            <v>1</v>
          </cell>
          <cell r="J85">
            <v>41741</v>
          </cell>
          <cell r="K85" t="str">
            <v>5 an(s) 1 mois et 6 jour(s)</v>
          </cell>
          <cell r="L85" t="str">
            <v>JUILLAC</v>
          </cell>
          <cell r="M85" t="str">
            <v>Champagne</v>
          </cell>
          <cell r="N85">
            <v>0</v>
          </cell>
        </row>
        <row r="86">
          <cell r="C86" t="str">
            <v>F47-3</v>
          </cell>
          <cell r="D86" t="str">
            <v>F47-3</v>
          </cell>
          <cell r="E86" t="str">
            <v>NEDELEC</v>
          </cell>
          <cell r="F86" t="str">
            <v>Edmée</v>
          </cell>
          <cell r="G86">
            <v>0</v>
          </cell>
          <cell r="H86">
            <v>1</v>
          </cell>
          <cell r="I86">
            <v>0</v>
          </cell>
          <cell r="J86">
            <v>39375</v>
          </cell>
          <cell r="K86" t="str">
            <v>11 an(s) 6 mois et 28 jour(s)</v>
          </cell>
          <cell r="L86" t="str">
            <v>JUILLAC</v>
          </cell>
          <cell r="M86" t="str">
            <v>Champagne</v>
          </cell>
          <cell r="N86">
            <v>0</v>
          </cell>
        </row>
        <row r="87">
          <cell r="C87" t="str">
            <v>F5-1</v>
          </cell>
          <cell r="D87" t="str">
            <v>F5-1</v>
          </cell>
          <cell r="E87" t="str">
            <v>VANDERVOORDE</v>
          </cell>
          <cell r="F87" t="str">
            <v>Carole</v>
          </cell>
          <cell r="G87">
            <v>0</v>
          </cell>
          <cell r="H87">
            <v>1</v>
          </cell>
          <cell r="I87">
            <v>0</v>
          </cell>
          <cell r="J87">
            <v>27553</v>
          </cell>
          <cell r="K87" t="str">
            <v>43 an(s) 11 mois et 10 jour(s)</v>
          </cell>
          <cell r="L87" t="str">
            <v>ANGEAC CHAMPAGNE</v>
          </cell>
          <cell r="M87" t="str">
            <v>Champagne</v>
          </cell>
          <cell r="N87" t="str">
            <v>carole.vdv@orange.fr</v>
          </cell>
        </row>
        <row r="88">
          <cell r="C88" t="str">
            <v>F5-2</v>
          </cell>
          <cell r="D88" t="str">
            <v>F5-2</v>
          </cell>
          <cell r="E88" t="str">
            <v>VANDERVOORDE</v>
          </cell>
          <cell r="F88" t="str">
            <v>Charlotte</v>
          </cell>
          <cell r="G88">
            <v>0</v>
          </cell>
          <cell r="H88">
            <v>1</v>
          </cell>
          <cell r="I88">
            <v>0</v>
          </cell>
          <cell r="J88">
            <v>36766</v>
          </cell>
          <cell r="K88" t="str">
            <v>18 an(s) 8 mois et 20 jour(s)</v>
          </cell>
          <cell r="L88" t="str">
            <v>ANGEAC CHAMPAGNE</v>
          </cell>
          <cell r="M88" t="str">
            <v>Champagne</v>
          </cell>
          <cell r="N88">
            <v>0</v>
          </cell>
        </row>
        <row r="89">
          <cell r="C89" t="str">
            <v>F52-1</v>
          </cell>
          <cell r="D89" t="str">
            <v>F52-1</v>
          </cell>
          <cell r="E89" t="str">
            <v>BONNAUD</v>
          </cell>
          <cell r="F89" t="str">
            <v>Muriel</v>
          </cell>
          <cell r="G89">
            <v>0</v>
          </cell>
          <cell r="H89">
            <v>1</v>
          </cell>
          <cell r="I89">
            <v>0</v>
          </cell>
          <cell r="J89">
            <v>26243</v>
          </cell>
          <cell r="K89" t="str">
            <v>47 an(s) 6 mois et 12 jour(s)</v>
          </cell>
          <cell r="L89" t="str">
            <v>SEGONZAC</v>
          </cell>
          <cell r="M89" t="str">
            <v>Champagne</v>
          </cell>
          <cell r="N89">
            <v>0</v>
          </cell>
        </row>
        <row r="90">
          <cell r="C90" t="str">
            <v>F52-2</v>
          </cell>
          <cell r="D90" t="str">
            <v>F52-2</v>
          </cell>
          <cell r="E90" t="str">
            <v>BONNAUD</v>
          </cell>
          <cell r="F90" t="str">
            <v>Chloé</v>
          </cell>
          <cell r="G90">
            <v>0</v>
          </cell>
          <cell r="H90">
            <v>1</v>
          </cell>
          <cell r="I90">
            <v>0</v>
          </cell>
          <cell r="J90">
            <v>36782</v>
          </cell>
          <cell r="K90" t="str">
            <v>18 an(s) 8 mois et 5 jour(s)</v>
          </cell>
          <cell r="L90" t="str">
            <v>segonzac</v>
          </cell>
          <cell r="M90" t="str">
            <v>Champagne</v>
          </cell>
          <cell r="N90">
            <v>0</v>
          </cell>
        </row>
        <row r="91">
          <cell r="C91" t="str">
            <v>F5-3</v>
          </cell>
          <cell r="D91" t="str">
            <v>F5-3</v>
          </cell>
          <cell r="E91" t="str">
            <v>VANDERVOORDE</v>
          </cell>
          <cell r="F91" t="str">
            <v>Théo</v>
          </cell>
          <cell r="G91">
            <v>0</v>
          </cell>
          <cell r="H91">
            <v>0</v>
          </cell>
          <cell r="I91">
            <v>1</v>
          </cell>
          <cell r="J91">
            <v>37703</v>
          </cell>
          <cell r="K91" t="str">
            <v>16 an(s) 1 mois et 25 jour(s)</v>
          </cell>
          <cell r="L91" t="str">
            <v>ANGEAC CHAMPAGNE</v>
          </cell>
          <cell r="M91" t="str">
            <v>Champagne</v>
          </cell>
          <cell r="N91">
            <v>0</v>
          </cell>
        </row>
        <row r="92">
          <cell r="C92" t="str">
            <v>F53-1</v>
          </cell>
          <cell r="D92" t="str">
            <v>F53-1</v>
          </cell>
          <cell r="E92" t="str">
            <v>JOSEPH</v>
          </cell>
          <cell r="F92" t="str">
            <v>Lucille</v>
          </cell>
          <cell r="G92">
            <v>0</v>
          </cell>
          <cell r="H92">
            <v>1</v>
          </cell>
          <cell r="I92">
            <v>0</v>
          </cell>
          <cell r="J92">
            <v>30524</v>
          </cell>
          <cell r="K92" t="str">
            <v>35 an(s) 9 mois et 21 jour(s)</v>
          </cell>
          <cell r="L92" t="str">
            <v>SALLES D'ANGLES</v>
          </cell>
          <cell r="M92" t="str">
            <v>Champagne</v>
          </cell>
          <cell r="N92" t="str">
            <v>lucille.joseph@laposte.net</v>
          </cell>
        </row>
        <row r="93">
          <cell r="C93" t="str">
            <v>F53-2</v>
          </cell>
          <cell r="D93" t="str">
            <v>F53-2</v>
          </cell>
          <cell r="E93" t="str">
            <v>JOSEPH</v>
          </cell>
          <cell r="F93" t="str">
            <v>Louise</v>
          </cell>
          <cell r="G93">
            <v>0</v>
          </cell>
          <cell r="H93">
            <v>1</v>
          </cell>
          <cell r="I93">
            <v>0</v>
          </cell>
          <cell r="J93">
            <v>41708</v>
          </cell>
          <cell r="K93" t="str">
            <v>5 an(s) 2 mois et 8 jour(s)</v>
          </cell>
          <cell r="L93" t="str">
            <v>SALLES D'ANGLES</v>
          </cell>
          <cell r="M93" t="str">
            <v>Champagne</v>
          </cell>
          <cell r="N93">
            <v>0</v>
          </cell>
        </row>
        <row r="94">
          <cell r="C94" t="str">
            <v>F5-4</v>
          </cell>
          <cell r="D94" t="str">
            <v>F5-4</v>
          </cell>
          <cell r="E94" t="str">
            <v>VANDERVOORDE</v>
          </cell>
          <cell r="F94" t="str">
            <v>Capucine</v>
          </cell>
          <cell r="G94">
            <v>0</v>
          </cell>
          <cell r="H94">
            <v>1</v>
          </cell>
          <cell r="I94">
            <v>0</v>
          </cell>
          <cell r="J94">
            <v>39240</v>
          </cell>
          <cell r="K94" t="str">
            <v>11 an(s) 11 mois et 11 jour(s)</v>
          </cell>
          <cell r="L94" t="str">
            <v>ANGEAC CHAMPAGNE</v>
          </cell>
          <cell r="M94" t="str">
            <v>Champagne</v>
          </cell>
          <cell r="N94">
            <v>0</v>
          </cell>
        </row>
        <row r="95">
          <cell r="C95" t="str">
            <v>F54-1</v>
          </cell>
          <cell r="D95" t="str">
            <v>F54-1</v>
          </cell>
          <cell r="E95" t="str">
            <v>GARNAVAULT</v>
          </cell>
          <cell r="F95" t="str">
            <v>Tessa</v>
          </cell>
          <cell r="G95">
            <v>0</v>
          </cell>
          <cell r="H95">
            <v>1</v>
          </cell>
          <cell r="I95">
            <v>0</v>
          </cell>
          <cell r="J95">
            <v>27370</v>
          </cell>
          <cell r="K95" t="str">
            <v>44 an(s) 5 mois et 11 jour(s)</v>
          </cell>
          <cell r="L95" t="str">
            <v>ST-meme</v>
          </cell>
          <cell r="M95" t="str">
            <v>Jarnac</v>
          </cell>
          <cell r="N95" t="str">
            <v>tessa-milne@hotmail.com</v>
          </cell>
        </row>
        <row r="96">
          <cell r="C96" t="str">
            <v>F54-2</v>
          </cell>
          <cell r="D96" t="str">
            <v>F54-2</v>
          </cell>
          <cell r="E96" t="str">
            <v>GARNAVAULT</v>
          </cell>
          <cell r="F96" t="str">
            <v>Juna</v>
          </cell>
          <cell r="G96">
            <v>0</v>
          </cell>
          <cell r="H96">
            <v>1</v>
          </cell>
          <cell r="I96">
            <v>0</v>
          </cell>
          <cell r="J96">
            <v>40810</v>
          </cell>
          <cell r="K96" t="str">
            <v>7 an(s) 7 mois et 24 jour(s)</v>
          </cell>
          <cell r="L96" t="str">
            <v>ST-meme</v>
          </cell>
          <cell r="M96" t="str">
            <v>Jarnac</v>
          </cell>
          <cell r="N96">
            <v>0</v>
          </cell>
        </row>
        <row r="97">
          <cell r="C97" t="str">
            <v>F54-3</v>
          </cell>
          <cell r="D97" t="str">
            <v>F54-3</v>
          </cell>
          <cell r="E97" t="str">
            <v>GARNAVAULT</v>
          </cell>
          <cell r="F97" t="str">
            <v>India</v>
          </cell>
          <cell r="G97">
            <v>0</v>
          </cell>
          <cell r="H97">
            <v>1</v>
          </cell>
          <cell r="I97">
            <v>0</v>
          </cell>
          <cell r="J97">
            <v>41243</v>
          </cell>
          <cell r="K97" t="str">
            <v>6 an(s) 5 mois et 18 jour(s)</v>
          </cell>
          <cell r="L97" t="str">
            <v>ST-meme</v>
          </cell>
          <cell r="M97" t="str">
            <v>Jarnac</v>
          </cell>
          <cell r="N97">
            <v>0</v>
          </cell>
        </row>
        <row r="98">
          <cell r="C98" t="str">
            <v>G1-1</v>
          </cell>
          <cell r="D98" t="str">
            <v>G1-1</v>
          </cell>
          <cell r="E98" t="str">
            <v>CHARGE</v>
          </cell>
          <cell r="F98" t="str">
            <v>Aurore</v>
          </cell>
          <cell r="G98">
            <v>0</v>
          </cell>
          <cell r="H98">
            <v>1</v>
          </cell>
          <cell r="I98">
            <v>0</v>
          </cell>
          <cell r="J98">
            <v>31920</v>
          </cell>
          <cell r="K98" t="str">
            <v>31 an(s) 11 mois et 25 jour(s)</v>
          </cell>
          <cell r="L98" t="str">
            <v>Boutiers</v>
          </cell>
          <cell r="M98" t="str">
            <v>Cognac</v>
          </cell>
          <cell r="N98">
            <v>0</v>
          </cell>
        </row>
        <row r="99">
          <cell r="C99" t="str">
            <v>G1-2</v>
          </cell>
          <cell r="D99" t="str">
            <v>G1-2</v>
          </cell>
          <cell r="E99" t="str">
            <v>MARTINS</v>
          </cell>
          <cell r="F99" t="str">
            <v>Louis</v>
          </cell>
          <cell r="G99">
            <v>0</v>
          </cell>
          <cell r="H99">
            <v>0</v>
          </cell>
          <cell r="I99">
            <v>1</v>
          </cell>
          <cell r="J99">
            <v>41462</v>
          </cell>
          <cell r="K99" t="str">
            <v>5 an(s) 10 mois et 11 jour(s)</v>
          </cell>
          <cell r="L99" t="str">
            <v>Boutiers</v>
          </cell>
          <cell r="M99" t="str">
            <v>Cognac</v>
          </cell>
          <cell r="N99">
            <v>0</v>
          </cell>
        </row>
        <row r="100">
          <cell r="C100" t="str">
            <v>G1-3</v>
          </cell>
          <cell r="D100" t="str">
            <v>G1-3</v>
          </cell>
          <cell r="E100" t="str">
            <v>MARTINS</v>
          </cell>
          <cell r="F100" t="str">
            <v>Julie</v>
          </cell>
          <cell r="G100">
            <v>0</v>
          </cell>
          <cell r="H100">
            <v>1</v>
          </cell>
          <cell r="I100">
            <v>0</v>
          </cell>
          <cell r="J100">
            <v>43172</v>
          </cell>
          <cell r="K100" t="str">
            <v>1 an(s) 2 mois et 5 jour(s)</v>
          </cell>
          <cell r="L100" t="str">
            <v>Boutiers</v>
          </cell>
          <cell r="M100" t="str">
            <v>Cognac</v>
          </cell>
          <cell r="N100">
            <v>0</v>
          </cell>
        </row>
        <row r="101">
          <cell r="C101" t="str">
            <v>G2-1</v>
          </cell>
          <cell r="D101" t="str">
            <v>G2-1</v>
          </cell>
          <cell r="E101" t="str">
            <v>GARNY</v>
          </cell>
          <cell r="F101" t="str">
            <v>Murielle</v>
          </cell>
          <cell r="G101">
            <v>0</v>
          </cell>
          <cell r="H101">
            <v>1</v>
          </cell>
          <cell r="I101">
            <v>0</v>
          </cell>
          <cell r="J101">
            <v>24298</v>
          </cell>
          <cell r="K101" t="str">
            <v>52 an(s) 10 mois et 8 jour(s)</v>
          </cell>
          <cell r="L101" t="str">
            <v>SEGONZAC</v>
          </cell>
          <cell r="M101" t="str">
            <v>Champagne</v>
          </cell>
          <cell r="N101">
            <v>0</v>
          </cell>
        </row>
        <row r="102">
          <cell r="C102" t="str">
            <v>G2-2</v>
          </cell>
          <cell r="D102" t="str">
            <v>G2-2</v>
          </cell>
          <cell r="E102" t="str">
            <v>DRUIHLET</v>
          </cell>
          <cell r="F102" t="str">
            <v>Ethan</v>
          </cell>
          <cell r="G102">
            <v>0</v>
          </cell>
          <cell r="H102">
            <v>0</v>
          </cell>
          <cell r="I102">
            <v>1</v>
          </cell>
          <cell r="J102">
            <v>42078</v>
          </cell>
          <cell r="K102" t="str">
            <v>4 an(s) 2 mois et 3 jour(s)</v>
          </cell>
          <cell r="L102" t="str">
            <v>SEGONZAC</v>
          </cell>
          <cell r="M102" t="str">
            <v>Champagne</v>
          </cell>
          <cell r="N102">
            <v>0</v>
          </cell>
        </row>
        <row r="103">
          <cell r="C103" t="str">
            <v>G3-1</v>
          </cell>
          <cell r="D103" t="str">
            <v>G3-1</v>
          </cell>
          <cell r="E103" t="str">
            <v>PETIT</v>
          </cell>
          <cell r="F103" t="str">
            <v>Christophe</v>
          </cell>
          <cell r="G103">
            <v>0</v>
          </cell>
          <cell r="H103">
            <v>0</v>
          </cell>
          <cell r="I103">
            <v>1</v>
          </cell>
          <cell r="J103">
            <v>28607</v>
          </cell>
          <cell r="K103" t="str">
            <v>41 an(s) 0 mois et 21 jour(s)</v>
          </cell>
          <cell r="L103" t="str">
            <v>Saint Fort sur le Né</v>
          </cell>
          <cell r="M103" t="str">
            <v>Champagne</v>
          </cell>
          <cell r="N103">
            <v>0</v>
          </cell>
        </row>
        <row r="104">
          <cell r="C104" t="str">
            <v>G3-2</v>
          </cell>
          <cell r="D104" t="str">
            <v>G3-2</v>
          </cell>
          <cell r="E104" t="str">
            <v>PETIT</v>
          </cell>
          <cell r="F104" t="str">
            <v>Priscillia</v>
          </cell>
          <cell r="G104">
            <v>0</v>
          </cell>
          <cell r="H104">
            <v>1</v>
          </cell>
          <cell r="I104">
            <v>0</v>
          </cell>
          <cell r="J104">
            <v>39648</v>
          </cell>
          <cell r="K104" t="str">
            <v>10 an(s) 9 mois et 29 jour(s)</v>
          </cell>
          <cell r="L104" t="str">
            <v>Saint Fort sur le Né</v>
          </cell>
          <cell r="M104" t="str">
            <v>Champagne</v>
          </cell>
          <cell r="N104">
            <v>0</v>
          </cell>
        </row>
        <row r="105">
          <cell r="C105" t="str">
            <v>G4-1</v>
          </cell>
          <cell r="D105" t="str">
            <v>G4-1</v>
          </cell>
          <cell r="E105" t="str">
            <v>AUDONNET</v>
          </cell>
          <cell r="F105" t="str">
            <v>Guillaume</v>
          </cell>
          <cell r="G105">
            <v>0</v>
          </cell>
          <cell r="H105">
            <v>0</v>
          </cell>
          <cell r="I105">
            <v>1</v>
          </cell>
          <cell r="J105">
            <v>26729</v>
          </cell>
          <cell r="K105" t="str">
            <v>46 an(s) 2 mois et 12 jour(s)</v>
          </cell>
          <cell r="L105" t="str">
            <v>Merpins</v>
          </cell>
          <cell r="M105" t="str">
            <v>Cognac</v>
          </cell>
          <cell r="N105">
            <v>0</v>
          </cell>
        </row>
        <row r="106">
          <cell r="C106" t="str">
            <v>G4-2</v>
          </cell>
          <cell r="D106" t="str">
            <v>G4-2</v>
          </cell>
          <cell r="E106" t="str">
            <v>AUDONNET</v>
          </cell>
          <cell r="F106" t="str">
            <v>Ines</v>
          </cell>
          <cell r="G106">
            <v>0</v>
          </cell>
          <cell r="H106">
            <v>1</v>
          </cell>
          <cell r="I106">
            <v>0</v>
          </cell>
          <cell r="J106">
            <v>37903</v>
          </cell>
          <cell r="K106" t="str">
            <v>15 an(s) 7 mois et 9 jour(s)</v>
          </cell>
          <cell r="L106" t="str">
            <v>Merpins</v>
          </cell>
          <cell r="M106" t="str">
            <v>Cognac</v>
          </cell>
          <cell r="N106">
            <v>0</v>
          </cell>
        </row>
        <row r="107">
          <cell r="C107" t="str">
            <v>G4-3</v>
          </cell>
          <cell r="D107" t="str">
            <v>G4-3</v>
          </cell>
          <cell r="E107" t="str">
            <v>AUDONNET</v>
          </cell>
          <cell r="F107" t="str">
            <v>Arwen</v>
          </cell>
          <cell r="G107">
            <v>0</v>
          </cell>
          <cell r="H107">
            <v>1</v>
          </cell>
          <cell r="I107">
            <v>0</v>
          </cell>
          <cell r="J107">
            <v>39066</v>
          </cell>
          <cell r="K107" t="str">
            <v>12 an(s) 5 mois et 3 jour(s)</v>
          </cell>
          <cell r="L107" t="str">
            <v>Merpins</v>
          </cell>
          <cell r="M107" t="str">
            <v>Cognac</v>
          </cell>
          <cell r="N107">
            <v>0</v>
          </cell>
        </row>
        <row r="108">
          <cell r="C108" t="str">
            <v>G5-1</v>
          </cell>
          <cell r="D108" t="str">
            <v>G5-1</v>
          </cell>
          <cell r="E108" t="str">
            <v>GUILLEUX</v>
          </cell>
          <cell r="F108" t="str">
            <v>Anne</v>
          </cell>
          <cell r="G108">
            <v>0</v>
          </cell>
          <cell r="H108">
            <v>1</v>
          </cell>
          <cell r="I108">
            <v>0</v>
          </cell>
          <cell r="J108">
            <v>31054</v>
          </cell>
          <cell r="K108" t="str">
            <v>34 an(s) 4 mois et 11 jour(s)</v>
          </cell>
          <cell r="L108" t="str">
            <v>Cognac</v>
          </cell>
          <cell r="M108" t="str">
            <v>Cognac</v>
          </cell>
          <cell r="N108">
            <v>0</v>
          </cell>
        </row>
        <row r="109">
          <cell r="C109" t="str">
            <v>G6-1</v>
          </cell>
          <cell r="D109" t="str">
            <v>G6-1</v>
          </cell>
          <cell r="E109" t="str">
            <v>MOREAU</v>
          </cell>
          <cell r="F109" t="str">
            <v>Stéphane</v>
          </cell>
          <cell r="G109">
            <v>0</v>
          </cell>
          <cell r="H109">
            <v>0</v>
          </cell>
          <cell r="I109">
            <v>1</v>
          </cell>
          <cell r="J109">
            <v>28675</v>
          </cell>
          <cell r="K109" t="str">
            <v>40 an(s) 10 mois et 14 jour(s)</v>
          </cell>
          <cell r="L109" t="str">
            <v>Chateauneuf</v>
          </cell>
          <cell r="M109" t="str">
            <v>Chateauneuf</v>
          </cell>
          <cell r="N109">
            <v>0</v>
          </cell>
        </row>
        <row r="110">
          <cell r="C110" t="str">
            <v>G6-2</v>
          </cell>
          <cell r="D110" t="str">
            <v>G6-2</v>
          </cell>
          <cell r="E110" t="str">
            <v>MOREAU</v>
          </cell>
          <cell r="F110" t="str">
            <v>Thomas</v>
          </cell>
          <cell r="G110">
            <v>0</v>
          </cell>
          <cell r="H110">
            <v>0</v>
          </cell>
          <cell r="I110">
            <v>1</v>
          </cell>
          <cell r="J110">
            <v>39141</v>
          </cell>
          <cell r="K110" t="str">
            <v>12 an(s) 2 mois et 20 jour(s)</v>
          </cell>
          <cell r="L110" t="str">
            <v>Chateauneuf</v>
          </cell>
          <cell r="M110" t="str">
            <v>Chateauneuf</v>
          </cell>
          <cell r="N110">
            <v>0</v>
          </cell>
        </row>
        <row r="111">
          <cell r="C111" t="str">
            <v>G6-3</v>
          </cell>
          <cell r="D111" t="str">
            <v>G6-3</v>
          </cell>
          <cell r="E111" t="str">
            <v>MOREAU</v>
          </cell>
          <cell r="F111" t="str">
            <v>Lucas</v>
          </cell>
          <cell r="G111">
            <v>0</v>
          </cell>
          <cell r="H111">
            <v>0</v>
          </cell>
          <cell r="I111">
            <v>1</v>
          </cell>
          <cell r="J111">
            <v>40185</v>
          </cell>
          <cell r="K111" t="str">
            <v>9 an(s) 4 mois et 11 jour(s)</v>
          </cell>
          <cell r="L111" t="str">
            <v>Chateauneuf</v>
          </cell>
          <cell r="M111" t="str">
            <v>Chateauneuf</v>
          </cell>
          <cell r="N111">
            <v>0</v>
          </cell>
        </row>
        <row r="112">
          <cell r="C112" t="str">
            <v>G6-4</v>
          </cell>
          <cell r="D112" t="str">
            <v>G6-4</v>
          </cell>
          <cell r="E112" t="str">
            <v>MOREAU</v>
          </cell>
          <cell r="F112" t="str">
            <v>Sarah</v>
          </cell>
          <cell r="G112">
            <v>0</v>
          </cell>
          <cell r="H112">
            <v>1</v>
          </cell>
          <cell r="I112">
            <v>0</v>
          </cell>
          <cell r="J112">
            <v>42119</v>
          </cell>
          <cell r="K112" t="str">
            <v>4 an(s) 0 mois et 23 jour(s)</v>
          </cell>
          <cell r="L112" t="str">
            <v>Chateauneuf</v>
          </cell>
          <cell r="M112" t="str">
            <v>Chateauneuf</v>
          </cell>
          <cell r="N112">
            <v>0</v>
          </cell>
        </row>
        <row r="113">
          <cell r="C113" t="str">
            <v>G6-5</v>
          </cell>
          <cell r="D113" t="str">
            <v>G6-5</v>
          </cell>
          <cell r="E113" t="str">
            <v>MOREAU</v>
          </cell>
          <cell r="F113" t="str">
            <v>Hélène</v>
          </cell>
          <cell r="G113">
            <v>0</v>
          </cell>
          <cell r="H113">
            <v>1</v>
          </cell>
          <cell r="I113">
            <v>0</v>
          </cell>
          <cell r="J113">
            <v>30735</v>
          </cell>
          <cell r="K113" t="str">
            <v>35 an(s) 2 mois et 25 jour(s)</v>
          </cell>
          <cell r="L113" t="str">
            <v>Chateauneuf</v>
          </cell>
          <cell r="M113" t="str">
            <v>Chateauneuf</v>
          </cell>
          <cell r="N113" t="str">
            <v>thsmoreau@orange.fr</v>
          </cell>
        </row>
        <row r="114">
          <cell r="C114" t="str">
            <v>G7-1</v>
          </cell>
          <cell r="D114" t="str">
            <v>G7-1</v>
          </cell>
          <cell r="E114" t="str">
            <v>BARRY</v>
          </cell>
          <cell r="F114" t="str">
            <v>Oksana</v>
          </cell>
          <cell r="G114">
            <v>0</v>
          </cell>
          <cell r="H114">
            <v>1</v>
          </cell>
          <cell r="I114">
            <v>0</v>
          </cell>
          <cell r="J114">
            <v>30016</v>
          </cell>
          <cell r="K114" t="str">
            <v>37 an(s) 2 mois et 12 jour(s)</v>
          </cell>
          <cell r="L114" t="str">
            <v>Bourg Charente</v>
          </cell>
          <cell r="M114" t="str">
            <v>Jarnac</v>
          </cell>
          <cell r="N114">
            <v>0</v>
          </cell>
        </row>
        <row r="115">
          <cell r="C115" t="str">
            <v>G7-2</v>
          </cell>
          <cell r="D115" t="str">
            <v>G7-2</v>
          </cell>
          <cell r="E115" t="str">
            <v>BARRY</v>
          </cell>
          <cell r="F115" t="str">
            <v>Anastasia</v>
          </cell>
          <cell r="G115">
            <v>0</v>
          </cell>
          <cell r="H115">
            <v>1</v>
          </cell>
          <cell r="I115">
            <v>0</v>
          </cell>
          <cell r="J115">
            <v>42267</v>
          </cell>
          <cell r="K115" t="str">
            <v>3 an(s) 7 mois et 28 jour(s)</v>
          </cell>
          <cell r="L115" t="str">
            <v>Bourg Charente</v>
          </cell>
          <cell r="M115" t="str">
            <v>Jarnac</v>
          </cell>
          <cell r="N115" t="str">
            <v>vaccarvet@yahoo.fr</v>
          </cell>
        </row>
        <row r="116">
          <cell r="C116" t="str">
            <v>AM8-1</v>
          </cell>
          <cell r="D116" t="str">
            <v>BONNET</v>
          </cell>
          <cell r="E116" t="str">
            <v>BONNET</v>
          </cell>
          <cell r="F116" t="str">
            <v>Eugénie</v>
          </cell>
          <cell r="G116">
            <v>1</v>
          </cell>
          <cell r="H116">
            <v>1</v>
          </cell>
          <cell r="I116">
            <v>0</v>
          </cell>
          <cell r="J116">
            <v>29549</v>
          </cell>
          <cell r="K116" t="str">
            <v>38 an(s) 5 mois et 24 jour(s)</v>
          </cell>
          <cell r="L116" t="str">
            <v>Saint Fort</v>
          </cell>
          <cell r="M116" t="str">
            <v>Champagne</v>
          </cell>
          <cell r="N116" t="str">
            <v>julien.bonnet17@wanadoo.fr</v>
          </cell>
        </row>
        <row r="117">
          <cell r="C117" t="str">
            <v>AM8-2</v>
          </cell>
          <cell r="D117" t="str">
            <v>BONNET</v>
          </cell>
          <cell r="E117" t="str">
            <v>RASTEAU</v>
          </cell>
          <cell r="F117" t="str">
            <v>Arthur</v>
          </cell>
          <cell r="G117">
            <v>1</v>
          </cell>
          <cell r="H117">
            <v>0</v>
          </cell>
          <cell r="I117">
            <v>1</v>
          </cell>
          <cell r="J117">
            <v>42862</v>
          </cell>
          <cell r="K117" t="str">
            <v>2 an(s) 0 mois et 11 jour(s)</v>
          </cell>
          <cell r="L117" t="str">
            <v>Saint Fort</v>
          </cell>
          <cell r="M117" t="str">
            <v>Champagne</v>
          </cell>
          <cell r="N117">
            <v>0</v>
          </cell>
        </row>
        <row r="118">
          <cell r="C118" t="str">
            <v>AM8-3</v>
          </cell>
          <cell r="D118" t="str">
            <v>BONNET</v>
          </cell>
          <cell r="E118" t="str">
            <v>BONNET</v>
          </cell>
          <cell r="F118" t="str">
            <v>Etienne</v>
          </cell>
          <cell r="G118">
            <v>1</v>
          </cell>
          <cell r="H118">
            <v>0</v>
          </cell>
          <cell r="I118">
            <v>1</v>
          </cell>
          <cell r="J118">
            <v>38429</v>
          </cell>
          <cell r="K118" t="str">
            <v>14 an(s) 2 mois et 0 jour(s)</v>
          </cell>
          <cell r="L118" t="str">
            <v>Saint Fort</v>
          </cell>
          <cell r="M118" t="str">
            <v>Champagne</v>
          </cell>
          <cell r="N118">
            <v>0</v>
          </cell>
        </row>
        <row r="119">
          <cell r="C119" t="str">
            <v>AM11-1</v>
          </cell>
          <cell r="D119" t="str">
            <v>BOURIGAULT</v>
          </cell>
          <cell r="E119" t="str">
            <v>BOURIGAULT</v>
          </cell>
          <cell r="F119" t="str">
            <v>Maëlle</v>
          </cell>
          <cell r="G119">
            <v>1</v>
          </cell>
          <cell r="H119">
            <v>1</v>
          </cell>
          <cell r="I119">
            <v>0</v>
          </cell>
          <cell r="J119">
            <v>30576</v>
          </cell>
          <cell r="K119" t="str">
            <v>35 an(s) 8 mois et 1 jour(s)</v>
          </cell>
          <cell r="L119" t="str">
            <v>Chateaubernard</v>
          </cell>
          <cell r="M119" t="str">
            <v>Cognac</v>
          </cell>
          <cell r="N119" t="str">
            <v>majumisam@gmail.com</v>
          </cell>
        </row>
        <row r="120">
          <cell r="C120" t="str">
            <v>AM11-2</v>
          </cell>
          <cell r="D120" t="str">
            <v>BOURIGAULT</v>
          </cell>
          <cell r="E120" t="str">
            <v>BOURIGAULT</v>
          </cell>
          <cell r="F120" t="str">
            <v>Samuel</v>
          </cell>
          <cell r="G120">
            <v>1</v>
          </cell>
          <cell r="H120">
            <v>0</v>
          </cell>
          <cell r="I120">
            <v>1</v>
          </cell>
          <cell r="J120">
            <v>30556</v>
          </cell>
          <cell r="K120" t="str">
            <v>35 an(s) 8 mois et 20 jour(s)</v>
          </cell>
          <cell r="L120" t="str">
            <v>Chateaubernard</v>
          </cell>
          <cell r="M120" t="str">
            <v>Cognac</v>
          </cell>
          <cell r="N120">
            <v>0</v>
          </cell>
        </row>
        <row r="121">
          <cell r="C121" t="str">
            <v>AM11-3</v>
          </cell>
          <cell r="D121" t="str">
            <v>BOURIGAULT</v>
          </cell>
          <cell r="E121" t="str">
            <v>BOURIGAULT</v>
          </cell>
          <cell r="F121" t="str">
            <v>Jules</v>
          </cell>
          <cell r="G121">
            <v>1</v>
          </cell>
          <cell r="H121">
            <v>0</v>
          </cell>
          <cell r="I121">
            <v>1</v>
          </cell>
          <cell r="J121">
            <v>39951</v>
          </cell>
          <cell r="K121" t="str">
            <v>10 an(s) 0 mois et 0 jour(s)</v>
          </cell>
          <cell r="L121" t="str">
            <v>Chateaubernard</v>
          </cell>
          <cell r="M121" t="str">
            <v>Cognac</v>
          </cell>
          <cell r="N121">
            <v>0</v>
          </cell>
        </row>
        <row r="122">
          <cell r="C122" t="str">
            <v>AM11-4</v>
          </cell>
          <cell r="D122" t="str">
            <v>BOURIGAULT</v>
          </cell>
          <cell r="E122" t="str">
            <v>BOURIGAULT</v>
          </cell>
          <cell r="F122" t="str">
            <v>Milla</v>
          </cell>
          <cell r="G122">
            <v>1</v>
          </cell>
          <cell r="H122">
            <v>1</v>
          </cell>
          <cell r="I122">
            <v>0</v>
          </cell>
          <cell r="J122">
            <v>41395</v>
          </cell>
          <cell r="K122" t="str">
            <v>6 an(s) 0 mois et 17 jour(s)</v>
          </cell>
          <cell r="L122" t="str">
            <v>Chateaubernard</v>
          </cell>
          <cell r="M122" t="str">
            <v>Cognac</v>
          </cell>
          <cell r="N122">
            <v>0</v>
          </cell>
        </row>
        <row r="123">
          <cell r="C123" t="str">
            <v>AM11-5</v>
          </cell>
          <cell r="D123" t="str">
            <v>BOURIGAULT</v>
          </cell>
          <cell r="E123" t="str">
            <v>ARMENOU</v>
          </cell>
          <cell r="F123" t="str">
            <v>Sacha</v>
          </cell>
          <cell r="G123">
            <v>1</v>
          </cell>
          <cell r="H123">
            <v>0</v>
          </cell>
          <cell r="I123">
            <v>1</v>
          </cell>
          <cell r="J123">
            <v>42497</v>
          </cell>
          <cell r="K123" t="str">
            <v>3 an(s) 0 mois et 11 jour(s)</v>
          </cell>
          <cell r="L123" t="str">
            <v>Chateaubernard</v>
          </cell>
          <cell r="M123" t="str">
            <v>Cognac</v>
          </cell>
          <cell r="N123">
            <v>0</v>
          </cell>
        </row>
        <row r="124">
          <cell r="C124" t="str">
            <v>AM11-6</v>
          </cell>
          <cell r="D124" t="str">
            <v>BOURIGAULT</v>
          </cell>
          <cell r="E124" t="str">
            <v>DESCALIS</v>
          </cell>
          <cell r="F124" t="str">
            <v>Hana</v>
          </cell>
          <cell r="G124">
            <v>1</v>
          </cell>
          <cell r="H124">
            <v>1</v>
          </cell>
          <cell r="I124">
            <v>0</v>
          </cell>
          <cell r="J124">
            <v>42851</v>
          </cell>
          <cell r="K124" t="str">
            <v>2 an(s) 0 mois et 22 jour(s)</v>
          </cell>
          <cell r="L124" t="str">
            <v>Chateaubernard</v>
          </cell>
          <cell r="M124" t="str">
            <v>Cognac</v>
          </cell>
          <cell r="N124">
            <v>0</v>
          </cell>
        </row>
        <row r="125">
          <cell r="C125" t="str">
            <v>AM11-7</v>
          </cell>
          <cell r="D125" t="str">
            <v>BOURIGAULT</v>
          </cell>
          <cell r="E125" t="str">
            <v>MALLANGIN</v>
          </cell>
          <cell r="F125" t="str">
            <v>Camélia</v>
          </cell>
          <cell r="G125">
            <v>1</v>
          </cell>
          <cell r="H125">
            <v>1</v>
          </cell>
          <cell r="I125">
            <v>0</v>
          </cell>
          <cell r="J125">
            <v>43093</v>
          </cell>
          <cell r="K125" t="str">
            <v>1 an(s) 4 mois et 24 jour(s)</v>
          </cell>
          <cell r="L125" t="str">
            <v>Chateaubernard</v>
          </cell>
          <cell r="M125" t="str">
            <v>Cognac</v>
          </cell>
          <cell r="N125">
            <v>0</v>
          </cell>
        </row>
        <row r="126">
          <cell r="C126" t="str">
            <v>AM12-1</v>
          </cell>
          <cell r="D126" t="str">
            <v>CHAGNEAU</v>
          </cell>
          <cell r="E126" t="str">
            <v>CHAGNEAU</v>
          </cell>
          <cell r="F126" t="str">
            <v>Karine</v>
          </cell>
          <cell r="G126">
            <v>1</v>
          </cell>
          <cell r="H126">
            <v>1</v>
          </cell>
          <cell r="I126">
            <v>0</v>
          </cell>
          <cell r="J126">
            <v>29352</v>
          </cell>
          <cell r="K126" t="str">
            <v>39 an(s) 0 mois et 7 jour(s)</v>
          </cell>
          <cell r="L126" t="str">
            <v>Merpins</v>
          </cell>
          <cell r="M126" t="str">
            <v>Cognac</v>
          </cell>
          <cell r="N126" t="str">
            <v>kyf@orange.fr</v>
          </cell>
        </row>
        <row r="127">
          <cell r="C127" t="str">
            <v>AM12-2</v>
          </cell>
          <cell r="D127" t="str">
            <v>CHAGNEAU</v>
          </cell>
          <cell r="E127" t="str">
            <v>SAUVION</v>
          </cell>
          <cell r="F127" t="str">
            <v>Emmy</v>
          </cell>
          <cell r="G127">
            <v>1</v>
          </cell>
          <cell r="H127">
            <v>1</v>
          </cell>
          <cell r="I127">
            <v>0</v>
          </cell>
          <cell r="J127">
            <v>43213</v>
          </cell>
          <cell r="K127" t="str">
            <v>1 an(s) 0 mois et 25 jour(s)</v>
          </cell>
          <cell r="L127" t="str">
            <v>Merpins</v>
          </cell>
          <cell r="M127" t="str">
            <v>Cognac</v>
          </cell>
          <cell r="N127">
            <v>0</v>
          </cell>
        </row>
        <row r="128">
          <cell r="C128" t="str">
            <v>AM12-3</v>
          </cell>
          <cell r="D128" t="str">
            <v>CHAGNEAU</v>
          </cell>
          <cell r="E128" t="str">
            <v>DESBORDES</v>
          </cell>
          <cell r="F128" t="str">
            <v>Paula</v>
          </cell>
          <cell r="G128">
            <v>1</v>
          </cell>
          <cell r="H128">
            <v>1</v>
          </cell>
          <cell r="I128">
            <v>0</v>
          </cell>
          <cell r="J128">
            <v>43125</v>
          </cell>
          <cell r="K128" t="str">
            <v>1 an(s) 3 mois et 23 jour(s)</v>
          </cell>
          <cell r="L128" t="str">
            <v>Merpins</v>
          </cell>
          <cell r="M128" t="str">
            <v>Cognac</v>
          </cell>
          <cell r="N128">
            <v>0</v>
          </cell>
        </row>
        <row r="129">
          <cell r="C129" t="str">
            <v>AM12-4</v>
          </cell>
          <cell r="D129" t="str">
            <v>CHAGNEAU</v>
          </cell>
          <cell r="E129" t="str">
            <v>MEUNIER</v>
          </cell>
          <cell r="F129" t="str">
            <v>Hugo</v>
          </cell>
          <cell r="G129">
            <v>1</v>
          </cell>
          <cell r="H129">
            <v>0</v>
          </cell>
          <cell r="I129">
            <v>1</v>
          </cell>
          <cell r="J129">
            <v>43284</v>
          </cell>
          <cell r="K129" t="str">
            <v>0 an(s) 10 mois et 15 jour(s)</v>
          </cell>
          <cell r="L129" t="str">
            <v>Merpins</v>
          </cell>
          <cell r="M129" t="str">
            <v>Cognac</v>
          </cell>
          <cell r="N129">
            <v>0</v>
          </cell>
        </row>
        <row r="130">
          <cell r="C130" t="str">
            <v>AM12-5</v>
          </cell>
          <cell r="D130" t="str">
            <v>CHAGNEAU</v>
          </cell>
          <cell r="E130" t="str">
            <v>COUGOULE</v>
          </cell>
          <cell r="F130" t="str">
            <v>Louis</v>
          </cell>
          <cell r="G130">
            <v>1</v>
          </cell>
          <cell r="H130">
            <v>0</v>
          </cell>
          <cell r="I130">
            <v>1</v>
          </cell>
          <cell r="J130">
            <v>42493</v>
          </cell>
          <cell r="K130" t="str">
            <v>3 an(s) 0 mois et 15 jour(s)</v>
          </cell>
          <cell r="L130" t="str">
            <v>Merpins</v>
          </cell>
          <cell r="M130" t="str">
            <v>Cognac</v>
          </cell>
          <cell r="N130">
            <v>0</v>
          </cell>
        </row>
        <row r="131">
          <cell r="C131" t="str">
            <v>AM12-6</v>
          </cell>
          <cell r="D131" t="str">
            <v>CHAGNEAU</v>
          </cell>
          <cell r="E131" t="str">
            <v>BAUDIN</v>
          </cell>
          <cell r="F131" t="str">
            <v>Clara</v>
          </cell>
          <cell r="G131">
            <v>1</v>
          </cell>
          <cell r="H131">
            <v>1</v>
          </cell>
          <cell r="I131">
            <v>0</v>
          </cell>
          <cell r="J131">
            <v>42309</v>
          </cell>
          <cell r="K131" t="str">
            <v>3 an(s) 6 mois et 17 jour(s)</v>
          </cell>
          <cell r="L131" t="str">
            <v>Merpins</v>
          </cell>
          <cell r="M131" t="str">
            <v>Cognac</v>
          </cell>
          <cell r="N131">
            <v>0</v>
          </cell>
        </row>
        <row r="132">
          <cell r="C132" t="str">
            <v>AM1-1</v>
          </cell>
          <cell r="D132" t="str">
            <v>COZIC</v>
          </cell>
          <cell r="E132" t="str">
            <v>COZIC</v>
          </cell>
          <cell r="F132" t="str">
            <v>Jennifer</v>
          </cell>
          <cell r="G132">
            <v>1</v>
          </cell>
          <cell r="H132">
            <v>1</v>
          </cell>
          <cell r="I132">
            <v>0</v>
          </cell>
          <cell r="J132">
            <v>30554</v>
          </cell>
          <cell r="K132" t="str">
            <v>35 an(s) 8 mois et 22 jour(s)</v>
          </cell>
          <cell r="L132" t="str">
            <v>Chateaubernard</v>
          </cell>
          <cell r="M132" t="str">
            <v>Cognac</v>
          </cell>
          <cell r="N132" t="str">
            <v>jeniifer.cozic@laposte.net</v>
          </cell>
        </row>
        <row r="133">
          <cell r="C133" t="str">
            <v>AM1-10</v>
          </cell>
          <cell r="D133" t="str">
            <v>COZIC</v>
          </cell>
          <cell r="E133" t="str">
            <v>TARDIEU</v>
          </cell>
          <cell r="F133" t="str">
            <v>Gustave</v>
          </cell>
          <cell r="G133">
            <v>1</v>
          </cell>
          <cell r="H133">
            <v>0</v>
          </cell>
          <cell r="I133">
            <v>1</v>
          </cell>
          <cell r="J133">
            <v>42917</v>
          </cell>
          <cell r="K133" t="str">
            <v>1 an(s) 10 mois et 17 jour(s)</v>
          </cell>
          <cell r="L133" t="str">
            <v>Chateaubernard</v>
          </cell>
          <cell r="M133" t="str">
            <v>Cognac</v>
          </cell>
          <cell r="N133">
            <v>0</v>
          </cell>
        </row>
        <row r="134">
          <cell r="C134" t="str">
            <v>AM1-11</v>
          </cell>
          <cell r="D134" t="str">
            <v>COZIC</v>
          </cell>
          <cell r="E134" t="str">
            <v xml:space="preserve">VEZIN </v>
          </cell>
          <cell r="F134" t="str">
            <v>Paulin</v>
          </cell>
          <cell r="G134">
            <v>1</v>
          </cell>
          <cell r="H134">
            <v>0</v>
          </cell>
          <cell r="I134">
            <v>1</v>
          </cell>
          <cell r="J134">
            <v>43055</v>
          </cell>
          <cell r="K134" t="str">
            <v>1 an(s) 6 mois et 2 jour(s)</v>
          </cell>
          <cell r="L134" t="str">
            <v>Chateaubernard</v>
          </cell>
          <cell r="M134" t="str">
            <v>Cognac</v>
          </cell>
          <cell r="N134">
            <v>0</v>
          </cell>
        </row>
        <row r="135">
          <cell r="C135" t="str">
            <v>AM1-12</v>
          </cell>
          <cell r="D135" t="str">
            <v>COZIC</v>
          </cell>
          <cell r="E135" t="str">
            <v>FALAT</v>
          </cell>
          <cell r="F135" t="str">
            <v>Adam</v>
          </cell>
          <cell r="G135">
            <v>1</v>
          </cell>
          <cell r="H135">
            <v>0</v>
          </cell>
          <cell r="I135">
            <v>1</v>
          </cell>
          <cell r="J135">
            <v>42361</v>
          </cell>
          <cell r="K135" t="str">
            <v>3 an(s) 4 mois et 25 jour(s)</v>
          </cell>
          <cell r="L135" t="str">
            <v>Chateaubernard</v>
          </cell>
          <cell r="M135" t="str">
            <v>Cognac</v>
          </cell>
          <cell r="N135">
            <v>0</v>
          </cell>
        </row>
        <row r="136">
          <cell r="C136" t="str">
            <v>AM1-13</v>
          </cell>
          <cell r="D136" t="str">
            <v>COZIC</v>
          </cell>
          <cell r="E136" t="str">
            <v>BARAUD</v>
          </cell>
          <cell r="F136" t="str">
            <v>Théo</v>
          </cell>
          <cell r="G136">
            <v>1</v>
          </cell>
          <cell r="H136">
            <v>0</v>
          </cell>
          <cell r="I136">
            <v>1</v>
          </cell>
          <cell r="J136">
            <v>43016</v>
          </cell>
          <cell r="K136" t="str">
            <v>1 an(s) 7 mois et 10 jour(s)</v>
          </cell>
          <cell r="L136" t="str">
            <v>Chateaubernard</v>
          </cell>
          <cell r="M136" t="str">
            <v>Cognac</v>
          </cell>
          <cell r="N136">
            <v>0</v>
          </cell>
        </row>
        <row r="137">
          <cell r="C137" t="str">
            <v>AM1-2</v>
          </cell>
          <cell r="D137" t="str">
            <v>COZIC</v>
          </cell>
          <cell r="E137" t="str">
            <v>FRAISSINET</v>
          </cell>
          <cell r="F137" t="str">
            <v>Cyril</v>
          </cell>
          <cell r="G137">
            <v>1</v>
          </cell>
          <cell r="H137">
            <v>0</v>
          </cell>
          <cell r="I137">
            <v>1</v>
          </cell>
          <cell r="J137">
            <v>29649</v>
          </cell>
          <cell r="K137" t="str">
            <v>38 an(s) 2 mois et 14 jour(s)</v>
          </cell>
          <cell r="L137" t="str">
            <v>Chateaubernard</v>
          </cell>
          <cell r="M137" t="str">
            <v>Cognac</v>
          </cell>
          <cell r="N137">
            <v>0</v>
          </cell>
        </row>
        <row r="138">
          <cell r="C138" t="str">
            <v>AM1-6</v>
          </cell>
          <cell r="D138" t="str">
            <v>COZIC</v>
          </cell>
          <cell r="E138" t="str">
            <v>FRAISSINET COZIC</v>
          </cell>
          <cell r="F138" t="str">
            <v>Kathleen</v>
          </cell>
          <cell r="G138">
            <v>1</v>
          </cell>
          <cell r="H138">
            <v>1</v>
          </cell>
          <cell r="I138">
            <v>0</v>
          </cell>
          <cell r="J138">
            <v>39909</v>
          </cell>
          <cell r="K138" t="str">
            <v>10 an(s) 1 mois et 12 jour(s)</v>
          </cell>
          <cell r="L138" t="str">
            <v>Chateaubernard</v>
          </cell>
          <cell r="M138" t="str">
            <v>Cognac</v>
          </cell>
          <cell r="N138">
            <v>0</v>
          </cell>
        </row>
        <row r="139">
          <cell r="C139" t="str">
            <v>AM1-7</v>
          </cell>
          <cell r="D139" t="str">
            <v>COZIC</v>
          </cell>
          <cell r="E139" t="str">
            <v>FRAISSINET COZIC</v>
          </cell>
          <cell r="F139" t="str">
            <v>Kendall</v>
          </cell>
          <cell r="G139">
            <v>1</v>
          </cell>
          <cell r="H139">
            <v>0</v>
          </cell>
          <cell r="I139">
            <v>1</v>
          </cell>
          <cell r="J139">
            <v>40770</v>
          </cell>
          <cell r="K139" t="str">
            <v>7 an(s) 9 mois et 3 jour(s)</v>
          </cell>
          <cell r="L139" t="str">
            <v>Chateaubernard</v>
          </cell>
          <cell r="M139" t="str">
            <v>Cognac</v>
          </cell>
          <cell r="N139">
            <v>0</v>
          </cell>
        </row>
        <row r="140">
          <cell r="C140" t="str">
            <v>AM1-8</v>
          </cell>
          <cell r="D140" t="str">
            <v>COZIC</v>
          </cell>
          <cell r="E140" t="str">
            <v>PARTAUD</v>
          </cell>
          <cell r="F140" t="str">
            <v>Jannah</v>
          </cell>
          <cell r="G140">
            <v>1</v>
          </cell>
          <cell r="H140">
            <v>1</v>
          </cell>
          <cell r="I140">
            <v>0</v>
          </cell>
          <cell r="J140">
            <v>41395</v>
          </cell>
          <cell r="K140" t="str">
            <v>6 an(s) 0 mois et 17 jour(s)</v>
          </cell>
          <cell r="L140" t="str">
            <v>Chateaubernard</v>
          </cell>
          <cell r="M140" t="str">
            <v>Cognac</v>
          </cell>
          <cell r="N140">
            <v>0</v>
          </cell>
        </row>
        <row r="141">
          <cell r="C141" t="str">
            <v>AM6-1</v>
          </cell>
          <cell r="D141" t="str">
            <v>DEGRIS</v>
          </cell>
          <cell r="E141" t="str">
            <v>DEGRIS</v>
          </cell>
          <cell r="F141" t="str">
            <v>Laura</v>
          </cell>
          <cell r="G141">
            <v>1</v>
          </cell>
          <cell r="H141">
            <v>1</v>
          </cell>
          <cell r="I141">
            <v>0</v>
          </cell>
          <cell r="J141">
            <v>32556</v>
          </cell>
          <cell r="K141" t="str">
            <v>30 an(s) 3 mois et 1 jour(s)</v>
          </cell>
          <cell r="L141" t="str">
            <v>SALLES D'ANGLES</v>
          </cell>
          <cell r="M141" t="str">
            <v>Champagne</v>
          </cell>
          <cell r="N141" t="str">
            <v>laura866@hotmail.fr</v>
          </cell>
        </row>
        <row r="142">
          <cell r="C142" t="str">
            <v>AM6-10</v>
          </cell>
          <cell r="D142" t="str">
            <v>DEGRIS</v>
          </cell>
          <cell r="E142" t="str">
            <v>Enfant gardé</v>
          </cell>
          <cell r="F142" t="str">
            <v>Gabriel</v>
          </cell>
          <cell r="G142">
            <v>1</v>
          </cell>
          <cell r="H142">
            <v>0</v>
          </cell>
          <cell r="I142">
            <v>1</v>
          </cell>
          <cell r="J142">
            <v>43282</v>
          </cell>
          <cell r="K142" t="str">
            <v>0 an(s) 10 mois et 17 jour(s)</v>
          </cell>
          <cell r="L142" t="str">
            <v>SALLES D'ANGLES</v>
          </cell>
          <cell r="M142" t="str">
            <v>Champagne</v>
          </cell>
          <cell r="N142">
            <v>0</v>
          </cell>
        </row>
        <row r="143">
          <cell r="C143" t="str">
            <v>AM6-2</v>
          </cell>
          <cell r="D143" t="str">
            <v>DEGRIS</v>
          </cell>
          <cell r="E143" t="str">
            <v>GUYOT</v>
          </cell>
          <cell r="F143" t="str">
            <v>Anthony</v>
          </cell>
          <cell r="G143">
            <v>1</v>
          </cell>
          <cell r="H143">
            <v>0</v>
          </cell>
          <cell r="I143">
            <v>1</v>
          </cell>
          <cell r="J143">
            <v>32518</v>
          </cell>
          <cell r="K143" t="str">
            <v>30 an(s) 4 mois et 8 jour(s)</v>
          </cell>
          <cell r="L143" t="str">
            <v>SALLES D'ANGLES</v>
          </cell>
          <cell r="M143" t="str">
            <v>Champagne</v>
          </cell>
          <cell r="N143">
            <v>0</v>
          </cell>
        </row>
        <row r="144">
          <cell r="C144" t="str">
            <v>AM6-3</v>
          </cell>
          <cell r="D144" t="str">
            <v>DEGRIS</v>
          </cell>
          <cell r="E144" t="str">
            <v>DEGRIS</v>
          </cell>
          <cell r="F144" t="str">
            <v>Joël</v>
          </cell>
          <cell r="G144">
            <v>1</v>
          </cell>
          <cell r="H144">
            <v>0</v>
          </cell>
          <cell r="I144">
            <v>1</v>
          </cell>
          <cell r="J144">
            <v>21447</v>
          </cell>
          <cell r="K144" t="str">
            <v>60 an(s) 7 mois et 29 jour(s)</v>
          </cell>
          <cell r="L144" t="str">
            <v>SALLES D'ANGLES</v>
          </cell>
          <cell r="M144" t="str">
            <v>Champagne</v>
          </cell>
          <cell r="N144">
            <v>0</v>
          </cell>
        </row>
        <row r="145">
          <cell r="C145" t="str">
            <v>AM6-4</v>
          </cell>
          <cell r="D145" t="str">
            <v>DEGRIS</v>
          </cell>
          <cell r="E145" t="str">
            <v>GUYOT</v>
          </cell>
          <cell r="F145" t="str">
            <v>Léanne</v>
          </cell>
          <cell r="G145">
            <v>1</v>
          </cell>
          <cell r="H145">
            <v>1</v>
          </cell>
          <cell r="I145">
            <v>0</v>
          </cell>
          <cell r="J145">
            <v>41202</v>
          </cell>
          <cell r="K145" t="str">
            <v>6 an(s) 6 mois et 28 jour(s)</v>
          </cell>
          <cell r="L145" t="str">
            <v>SALLES D'ANGLES</v>
          </cell>
          <cell r="M145" t="str">
            <v>Champagne</v>
          </cell>
          <cell r="N145">
            <v>0</v>
          </cell>
        </row>
        <row r="146">
          <cell r="C146" t="str">
            <v>AM6-5</v>
          </cell>
          <cell r="D146" t="str">
            <v>DEGRIS</v>
          </cell>
          <cell r="E146" t="str">
            <v>GUYOT</v>
          </cell>
          <cell r="F146" t="str">
            <v>Nathan</v>
          </cell>
          <cell r="G146">
            <v>1</v>
          </cell>
          <cell r="H146">
            <v>0</v>
          </cell>
          <cell r="I146">
            <v>1</v>
          </cell>
          <cell r="J146">
            <v>42354</v>
          </cell>
          <cell r="K146" t="str">
            <v>3 an(s) 5 mois et 2 jour(s)</v>
          </cell>
          <cell r="L146" t="str">
            <v>SALLES D'ANGLES</v>
          </cell>
          <cell r="M146" t="str">
            <v>Champagne</v>
          </cell>
          <cell r="N146">
            <v>0</v>
          </cell>
        </row>
        <row r="147">
          <cell r="C147" t="str">
            <v>AM6-6</v>
          </cell>
          <cell r="D147" t="str">
            <v>DEGRIS</v>
          </cell>
          <cell r="E147" t="str">
            <v>GABORIT TRIJOL</v>
          </cell>
          <cell r="F147" t="str">
            <v>Marceau</v>
          </cell>
          <cell r="G147">
            <v>1</v>
          </cell>
          <cell r="H147">
            <v>0</v>
          </cell>
          <cell r="I147">
            <v>1</v>
          </cell>
          <cell r="J147">
            <v>43002</v>
          </cell>
          <cell r="K147" t="str">
            <v>1 an(s) 7 mois et 24 jour(s)</v>
          </cell>
          <cell r="L147" t="str">
            <v>SALLES D'ANGLES</v>
          </cell>
          <cell r="M147" t="str">
            <v>Champagne</v>
          </cell>
          <cell r="N147">
            <v>0</v>
          </cell>
        </row>
        <row r="148">
          <cell r="C148" t="str">
            <v>AM6-7</v>
          </cell>
          <cell r="D148" t="str">
            <v>DEGRIS</v>
          </cell>
          <cell r="E148" t="str">
            <v>JOSSE ANDRE</v>
          </cell>
          <cell r="F148" t="str">
            <v>Simon</v>
          </cell>
          <cell r="G148">
            <v>1</v>
          </cell>
          <cell r="H148">
            <v>0</v>
          </cell>
          <cell r="I148">
            <v>1</v>
          </cell>
          <cell r="J148">
            <v>43045</v>
          </cell>
          <cell r="K148" t="str">
            <v>1 an(s) 6 mois et 12 jour(s)</v>
          </cell>
          <cell r="L148" t="str">
            <v>SALLES D'ANGLES</v>
          </cell>
          <cell r="M148" t="str">
            <v>Champagne</v>
          </cell>
          <cell r="N148">
            <v>0</v>
          </cell>
        </row>
        <row r="149">
          <cell r="C149" t="str">
            <v>AM6-8</v>
          </cell>
          <cell r="D149" t="str">
            <v>DEGRIS</v>
          </cell>
          <cell r="E149" t="str">
            <v>JOSEPH</v>
          </cell>
          <cell r="F149" t="str">
            <v>Louise</v>
          </cell>
          <cell r="G149">
            <v>1</v>
          </cell>
          <cell r="H149">
            <v>1</v>
          </cell>
          <cell r="I149">
            <v>0</v>
          </cell>
          <cell r="J149">
            <v>41708</v>
          </cell>
          <cell r="K149" t="str">
            <v>5 an(s) 2 mois et 8 jour(s)</v>
          </cell>
          <cell r="L149" t="str">
            <v>SALLES D'ANGLES</v>
          </cell>
          <cell r="M149" t="str">
            <v>Champagne</v>
          </cell>
          <cell r="N149">
            <v>0</v>
          </cell>
        </row>
        <row r="150">
          <cell r="C150" t="str">
            <v>AM6-9</v>
          </cell>
          <cell r="D150" t="str">
            <v>DEGRIS</v>
          </cell>
          <cell r="E150" t="str">
            <v>Enfant gardé</v>
          </cell>
          <cell r="F150" t="str">
            <v>Aëlynn</v>
          </cell>
          <cell r="G150">
            <v>1</v>
          </cell>
          <cell r="H150">
            <v>1</v>
          </cell>
          <cell r="I150">
            <v>0</v>
          </cell>
          <cell r="J150">
            <v>43313</v>
          </cell>
          <cell r="K150" t="str">
            <v>0 an(s) 9 mois et 17 jour(s)</v>
          </cell>
          <cell r="L150" t="str">
            <v>SALLES D'ANGLES</v>
          </cell>
          <cell r="M150" t="str">
            <v>Champagne</v>
          </cell>
          <cell r="N150">
            <v>0</v>
          </cell>
        </row>
        <row r="151">
          <cell r="C151" t="str">
            <v>AM10-1</v>
          </cell>
          <cell r="D151" t="str">
            <v>DEPLANCHE</v>
          </cell>
          <cell r="E151" t="str">
            <v>DEPLANCHE</v>
          </cell>
          <cell r="F151" t="str">
            <v>Sandrine</v>
          </cell>
          <cell r="G151">
            <v>1</v>
          </cell>
          <cell r="H151">
            <v>1</v>
          </cell>
          <cell r="I151">
            <v>0</v>
          </cell>
          <cell r="J151">
            <v>24593</v>
          </cell>
          <cell r="K151" t="str">
            <v>52 an(s) 0 mois et 17 jour(s)</v>
          </cell>
          <cell r="L151" t="str">
            <v>Mainxe</v>
          </cell>
          <cell r="M151" t="str">
            <v>Jarnac</v>
          </cell>
          <cell r="N151">
            <v>0</v>
          </cell>
        </row>
        <row r="152">
          <cell r="C152" t="str">
            <v>AM10-2</v>
          </cell>
          <cell r="D152" t="str">
            <v>DEPLANCHE</v>
          </cell>
          <cell r="E152" t="str">
            <v>PELVOIZIN</v>
          </cell>
          <cell r="F152" t="str">
            <v>Mathéïs</v>
          </cell>
          <cell r="G152">
            <v>1</v>
          </cell>
          <cell r="H152">
            <v>0</v>
          </cell>
          <cell r="I152">
            <v>1</v>
          </cell>
          <cell r="J152">
            <v>42664</v>
          </cell>
          <cell r="K152" t="str">
            <v>2 an(s) 6 mois et 27 jour(s)</v>
          </cell>
          <cell r="L152" t="str">
            <v>Mainxe</v>
          </cell>
          <cell r="M152" t="str">
            <v>Jarnac</v>
          </cell>
          <cell r="N152">
            <v>0</v>
          </cell>
        </row>
        <row r="153">
          <cell r="C153" t="str">
            <v>AM10-3</v>
          </cell>
          <cell r="D153" t="str">
            <v>DEPLANCHE</v>
          </cell>
          <cell r="E153" t="str">
            <v>MARTIN</v>
          </cell>
          <cell r="F153" t="str">
            <v>Julia</v>
          </cell>
          <cell r="G153">
            <v>1</v>
          </cell>
          <cell r="H153">
            <v>1</v>
          </cell>
          <cell r="I153">
            <v>0</v>
          </cell>
          <cell r="J153">
            <v>42938</v>
          </cell>
          <cell r="K153" t="str">
            <v>1 an(s) 9 mois et 26 jour(s)</v>
          </cell>
          <cell r="L153" t="str">
            <v>Mainxe</v>
          </cell>
          <cell r="M153" t="str">
            <v>Jarnac</v>
          </cell>
          <cell r="N153">
            <v>0</v>
          </cell>
        </row>
        <row r="154">
          <cell r="C154" t="str">
            <v>AM10-4</v>
          </cell>
          <cell r="D154" t="str">
            <v>DEPLANCHE</v>
          </cell>
          <cell r="E154" t="str">
            <v>CAM</v>
          </cell>
          <cell r="F154" t="str">
            <v>Nolan</v>
          </cell>
          <cell r="G154">
            <v>1</v>
          </cell>
          <cell r="H154">
            <v>0</v>
          </cell>
          <cell r="I154">
            <v>1</v>
          </cell>
          <cell r="J154">
            <v>42936</v>
          </cell>
          <cell r="K154" t="str">
            <v>1 an(s) 9 mois et 28 jour(s)</v>
          </cell>
          <cell r="L154" t="str">
            <v>Mainxe</v>
          </cell>
          <cell r="M154" t="str">
            <v>Jarnac</v>
          </cell>
          <cell r="N154">
            <v>0</v>
          </cell>
        </row>
        <row r="155">
          <cell r="C155" t="str">
            <v>AM10-5</v>
          </cell>
          <cell r="D155" t="str">
            <v>DEPLANCHE</v>
          </cell>
          <cell r="E155" t="str">
            <v>MILLION-MESNARD</v>
          </cell>
          <cell r="F155" t="str">
            <v>Chloé</v>
          </cell>
          <cell r="G155">
            <v>1</v>
          </cell>
          <cell r="H155">
            <v>1</v>
          </cell>
          <cell r="I155">
            <v>0</v>
          </cell>
          <cell r="J155">
            <v>43069</v>
          </cell>
          <cell r="K155" t="str">
            <v>1 an(s) 5 mois et 18 jour(s)</v>
          </cell>
          <cell r="L155" t="str">
            <v>Mainxe</v>
          </cell>
          <cell r="M155" t="str">
            <v>Jarnac</v>
          </cell>
          <cell r="N155">
            <v>0</v>
          </cell>
        </row>
        <row r="156">
          <cell r="C156" t="str">
            <v>AM9-1</v>
          </cell>
          <cell r="D156" t="str">
            <v>GOIS</v>
          </cell>
          <cell r="E156" t="str">
            <v>GOIS</v>
          </cell>
          <cell r="F156" t="str">
            <v>Aline</v>
          </cell>
          <cell r="G156">
            <v>1</v>
          </cell>
          <cell r="H156">
            <v>1</v>
          </cell>
          <cell r="I156">
            <v>0</v>
          </cell>
          <cell r="J156">
            <v>29293</v>
          </cell>
          <cell r="K156" t="str">
            <v>39 an(s) 2 mois et 5 jour(s)</v>
          </cell>
          <cell r="L156" t="str">
            <v>Saint Fort</v>
          </cell>
          <cell r="M156" t="str">
            <v>Champagne</v>
          </cell>
          <cell r="N156" t="str">
            <v>cyrille.gois@wanadoo.fr</v>
          </cell>
        </row>
        <row r="157">
          <cell r="C157" t="str">
            <v>AM9-2</v>
          </cell>
          <cell r="D157" t="str">
            <v>GOIS</v>
          </cell>
          <cell r="E157" t="str">
            <v>GOIS</v>
          </cell>
          <cell r="F157" t="str">
            <v>Cyril</v>
          </cell>
          <cell r="G157">
            <v>1</v>
          </cell>
          <cell r="H157">
            <v>0</v>
          </cell>
          <cell r="I157">
            <v>1</v>
          </cell>
          <cell r="J157">
            <v>27577</v>
          </cell>
          <cell r="K157" t="str">
            <v>43 an(s) 10 mois et 16 jour(s)</v>
          </cell>
          <cell r="L157" t="str">
            <v>Saint Fort</v>
          </cell>
          <cell r="M157" t="str">
            <v>Champagne</v>
          </cell>
          <cell r="N157">
            <v>0</v>
          </cell>
        </row>
        <row r="158">
          <cell r="C158" t="str">
            <v>AM9-3</v>
          </cell>
          <cell r="D158" t="str">
            <v>GOIS</v>
          </cell>
          <cell r="E158" t="str">
            <v>GOIS</v>
          </cell>
          <cell r="F158" t="str">
            <v>Nathan</v>
          </cell>
          <cell r="G158">
            <v>1</v>
          </cell>
          <cell r="H158">
            <v>0</v>
          </cell>
          <cell r="I158">
            <v>1</v>
          </cell>
          <cell r="J158">
            <v>39702</v>
          </cell>
          <cell r="K158" t="str">
            <v>10 an(s) 8 mois et 7 jour(s)</v>
          </cell>
          <cell r="L158" t="str">
            <v>Saint Fort</v>
          </cell>
          <cell r="M158" t="str">
            <v>Champagne</v>
          </cell>
          <cell r="N158">
            <v>0</v>
          </cell>
        </row>
        <row r="159">
          <cell r="C159" t="str">
            <v>AM9-4</v>
          </cell>
          <cell r="D159" t="str">
            <v>GOIS</v>
          </cell>
          <cell r="E159" t="str">
            <v>Sicard</v>
          </cell>
          <cell r="F159" t="str">
            <v>Léa</v>
          </cell>
          <cell r="G159">
            <v>1</v>
          </cell>
          <cell r="H159">
            <v>1</v>
          </cell>
          <cell r="I159">
            <v>0</v>
          </cell>
          <cell r="J159">
            <v>42751</v>
          </cell>
          <cell r="K159" t="str">
            <v>2 an(s) 4 mois et 2 jour(s)</v>
          </cell>
          <cell r="L159" t="str">
            <v>Saint Fort</v>
          </cell>
          <cell r="M159" t="str">
            <v>Champagne</v>
          </cell>
          <cell r="N159">
            <v>0</v>
          </cell>
        </row>
        <row r="160">
          <cell r="C160" t="str">
            <v>AM9-5</v>
          </cell>
          <cell r="D160" t="str">
            <v>GOIS</v>
          </cell>
          <cell r="E160" t="str">
            <v>REANT</v>
          </cell>
          <cell r="F160" t="str">
            <v>Laly</v>
          </cell>
          <cell r="G160">
            <v>1</v>
          </cell>
          <cell r="H160">
            <v>1</v>
          </cell>
          <cell r="I160">
            <v>0</v>
          </cell>
          <cell r="J160">
            <v>42869</v>
          </cell>
          <cell r="K160" t="str">
            <v>2 an(s) 0 mois et 4 jour(s)</v>
          </cell>
          <cell r="L160" t="str">
            <v>Saint Fort</v>
          </cell>
          <cell r="M160" t="str">
            <v>Champagne</v>
          </cell>
          <cell r="N160">
            <v>0</v>
          </cell>
        </row>
        <row r="161">
          <cell r="C161" t="str">
            <v>AM9-6</v>
          </cell>
          <cell r="D161" t="str">
            <v>GOIS</v>
          </cell>
          <cell r="E161" t="str">
            <v>ELIS</v>
          </cell>
          <cell r="F161" t="str">
            <v>Eloïse</v>
          </cell>
          <cell r="G161">
            <v>1</v>
          </cell>
          <cell r="H161">
            <v>1</v>
          </cell>
          <cell r="I161">
            <v>0</v>
          </cell>
          <cell r="J161">
            <v>42816</v>
          </cell>
          <cell r="K161" t="str">
            <v>2 an(s) 1 mois et 26 jour(s)</v>
          </cell>
          <cell r="L161" t="str">
            <v>Saint Fort</v>
          </cell>
          <cell r="M161" t="str">
            <v>Champagne</v>
          </cell>
          <cell r="N161">
            <v>0</v>
          </cell>
        </row>
        <row r="162">
          <cell r="C162" t="str">
            <v>AM2-1</v>
          </cell>
          <cell r="D162" t="str">
            <v>GUYOT</v>
          </cell>
          <cell r="E162" t="str">
            <v>GUYOT</v>
          </cell>
          <cell r="F162" t="str">
            <v>Virginie</v>
          </cell>
          <cell r="G162">
            <v>1</v>
          </cell>
          <cell r="H162">
            <v>1</v>
          </cell>
          <cell r="I162">
            <v>0</v>
          </cell>
          <cell r="J162">
            <v>30012</v>
          </cell>
          <cell r="K162" t="str">
            <v>37 an(s) 2 mois et 16 jour(s)</v>
          </cell>
          <cell r="L162" t="str">
            <v>Chateaubernard</v>
          </cell>
          <cell r="M162" t="str">
            <v>Cognac</v>
          </cell>
          <cell r="N162" t="str">
            <v>flo.guyot@hotmail.fr</v>
          </cell>
        </row>
        <row r="163">
          <cell r="C163" t="str">
            <v>AM2-10</v>
          </cell>
          <cell r="D163" t="str">
            <v>GUYOT</v>
          </cell>
          <cell r="E163" t="str">
            <v>FORGEARD</v>
          </cell>
          <cell r="F163" t="str">
            <v>Yanis</v>
          </cell>
          <cell r="G163">
            <v>1</v>
          </cell>
          <cell r="H163">
            <v>0</v>
          </cell>
          <cell r="I163">
            <v>1</v>
          </cell>
          <cell r="J163">
            <v>43315</v>
          </cell>
          <cell r="K163" t="str">
            <v>0 an(s) 9 mois et 15 jour(s)</v>
          </cell>
          <cell r="L163" t="str">
            <v>Chateaubernard</v>
          </cell>
          <cell r="M163" t="str">
            <v>Cognac</v>
          </cell>
          <cell r="N163">
            <v>0</v>
          </cell>
        </row>
        <row r="164">
          <cell r="C164" t="str">
            <v>AM2-11</v>
          </cell>
          <cell r="D164" t="str">
            <v>GUYOT</v>
          </cell>
          <cell r="E164" t="str">
            <v>FRIOUX-GARCIA</v>
          </cell>
          <cell r="F164" t="str">
            <v>Marius</v>
          </cell>
          <cell r="G164">
            <v>1</v>
          </cell>
          <cell r="H164">
            <v>0</v>
          </cell>
          <cell r="I164">
            <v>1</v>
          </cell>
          <cell r="J164">
            <v>43395</v>
          </cell>
          <cell r="K164" t="str">
            <v>0 an(s) 6 mois et 26 jour(s)</v>
          </cell>
          <cell r="L164" t="str">
            <v>Chateaubernard</v>
          </cell>
          <cell r="M164" t="str">
            <v>Cognac</v>
          </cell>
          <cell r="N164">
            <v>0</v>
          </cell>
        </row>
        <row r="165">
          <cell r="C165" t="str">
            <v>AM2-7</v>
          </cell>
          <cell r="D165" t="str">
            <v>GUYOT</v>
          </cell>
          <cell r="E165" t="str">
            <v>ZIDI</v>
          </cell>
          <cell r="F165" t="str">
            <v>Driss</v>
          </cell>
          <cell r="G165">
            <v>1</v>
          </cell>
          <cell r="H165">
            <v>0</v>
          </cell>
          <cell r="I165">
            <v>1</v>
          </cell>
          <cell r="J165">
            <v>42935</v>
          </cell>
          <cell r="K165" t="str">
            <v>1 an(s) 9 mois et 29 jour(s)</v>
          </cell>
          <cell r="L165" t="str">
            <v>Chateaubernard</v>
          </cell>
          <cell r="M165" t="str">
            <v>Cognac</v>
          </cell>
          <cell r="N165">
            <v>0</v>
          </cell>
        </row>
        <row r="166">
          <cell r="C166" t="str">
            <v>AM2-8</v>
          </cell>
          <cell r="D166" t="str">
            <v>GUYOT</v>
          </cell>
          <cell r="E166" t="str">
            <v>FARCY</v>
          </cell>
          <cell r="F166" t="str">
            <v>Sacha</v>
          </cell>
          <cell r="G166">
            <v>1</v>
          </cell>
          <cell r="H166">
            <v>0</v>
          </cell>
          <cell r="I166">
            <v>1</v>
          </cell>
          <cell r="J166">
            <v>43040</v>
          </cell>
          <cell r="K166" t="str">
            <v>1 an(s) 6 mois et 17 jour(s)</v>
          </cell>
          <cell r="L166" t="str">
            <v>Chateaubernard</v>
          </cell>
          <cell r="M166" t="str">
            <v>Cognac</v>
          </cell>
          <cell r="N166">
            <v>0</v>
          </cell>
        </row>
        <row r="167">
          <cell r="C167" t="str">
            <v>AM7-1</v>
          </cell>
          <cell r="D167" t="str">
            <v>LACROIX-PERRIN</v>
          </cell>
          <cell r="E167" t="str">
            <v>LACROIX-PERRIN</v>
          </cell>
          <cell r="F167" t="str">
            <v>Alexandre</v>
          </cell>
          <cell r="G167">
            <v>1</v>
          </cell>
          <cell r="H167">
            <v>0</v>
          </cell>
          <cell r="I167">
            <v>1</v>
          </cell>
          <cell r="J167">
            <v>31798</v>
          </cell>
          <cell r="K167" t="str">
            <v>32 an(s) 3 mois et 27 jour(s)</v>
          </cell>
          <cell r="L167" t="str">
            <v>SALLES D'ANGLES</v>
          </cell>
          <cell r="M167" t="str">
            <v>Champagne</v>
          </cell>
          <cell r="N167" t="str">
            <v>alacroixperrin@gmail.com</v>
          </cell>
        </row>
        <row r="168">
          <cell r="C168" t="str">
            <v>AM7-2</v>
          </cell>
          <cell r="D168" t="str">
            <v>LACROIX-PERRIN</v>
          </cell>
          <cell r="E168" t="str">
            <v>VIGNE</v>
          </cell>
          <cell r="F168" t="str">
            <v>Raphaël</v>
          </cell>
          <cell r="G168">
            <v>1</v>
          </cell>
          <cell r="H168">
            <v>0</v>
          </cell>
          <cell r="I168">
            <v>1</v>
          </cell>
          <cell r="J168">
            <v>42550</v>
          </cell>
          <cell r="K168" t="str">
            <v>2 an(s) 10 mois et 19 jour(s)</v>
          </cell>
          <cell r="L168" t="str">
            <v>SALLES D'ANGLES</v>
          </cell>
          <cell r="M168" t="str">
            <v>Champagne</v>
          </cell>
          <cell r="N168">
            <v>0</v>
          </cell>
        </row>
        <row r="169">
          <cell r="C169" t="str">
            <v>AM7-3</v>
          </cell>
          <cell r="D169" t="str">
            <v>LACROIX-PERRIN</v>
          </cell>
          <cell r="E169" t="str">
            <v>CAROLINI</v>
          </cell>
          <cell r="F169" t="str">
            <v>Nino</v>
          </cell>
          <cell r="G169">
            <v>1</v>
          </cell>
          <cell r="H169">
            <v>0</v>
          </cell>
          <cell r="I169">
            <v>1</v>
          </cell>
          <cell r="J169">
            <v>42784</v>
          </cell>
          <cell r="K169" t="str">
            <v>2 an(s) 3 mois et 0 jour(s)</v>
          </cell>
          <cell r="L169" t="str">
            <v>SALLES D'ANGLES</v>
          </cell>
          <cell r="M169" t="str">
            <v>Champagne</v>
          </cell>
          <cell r="N169">
            <v>0</v>
          </cell>
        </row>
        <row r="170">
          <cell r="C170" t="str">
            <v>AM7-4</v>
          </cell>
          <cell r="D170" t="str">
            <v>LACROIX-PERRIN</v>
          </cell>
          <cell r="E170" t="str">
            <v>PRIOUZEAU</v>
          </cell>
          <cell r="F170" t="str">
            <v>Allan</v>
          </cell>
          <cell r="G170">
            <v>1</v>
          </cell>
          <cell r="H170">
            <v>0</v>
          </cell>
          <cell r="I170">
            <v>1</v>
          </cell>
          <cell r="J170">
            <v>42644</v>
          </cell>
          <cell r="K170" t="str">
            <v>2 an(s) 7 mois et 17 jour(s)</v>
          </cell>
          <cell r="L170" t="str">
            <v>SALLES D'ANGLES</v>
          </cell>
          <cell r="M170" t="str">
            <v>Champagne</v>
          </cell>
          <cell r="N170">
            <v>0</v>
          </cell>
        </row>
        <row r="171">
          <cell r="C171" t="str">
            <v>AM7-5</v>
          </cell>
          <cell r="D171" t="str">
            <v>LACROIX-PERRIN</v>
          </cell>
          <cell r="E171" t="str">
            <v>ANTOINE</v>
          </cell>
          <cell r="F171" t="str">
            <v>Ethan</v>
          </cell>
          <cell r="G171">
            <v>1</v>
          </cell>
          <cell r="H171">
            <v>0</v>
          </cell>
          <cell r="I171">
            <v>1</v>
          </cell>
          <cell r="J171">
            <v>42583</v>
          </cell>
          <cell r="K171" t="str">
            <v>2 an(s) 9 mois et 17 jour(s)</v>
          </cell>
          <cell r="L171" t="str">
            <v>SALLES D'ANGLES</v>
          </cell>
          <cell r="M171" t="str">
            <v>Champagne</v>
          </cell>
          <cell r="N171">
            <v>0</v>
          </cell>
        </row>
        <row r="172">
          <cell r="C172" t="str">
            <v>AM7-6</v>
          </cell>
          <cell r="D172" t="str">
            <v>LACROIX-PERRIN</v>
          </cell>
          <cell r="E172" t="str">
            <v>GARABOEUF</v>
          </cell>
          <cell r="F172" t="str">
            <v>Mathias</v>
          </cell>
          <cell r="G172">
            <v>1</v>
          </cell>
          <cell r="H172">
            <v>0</v>
          </cell>
          <cell r="I172">
            <v>0</v>
          </cell>
          <cell r="J172">
            <v>36163</v>
          </cell>
          <cell r="K172" t="str">
            <v>20 an(s) 4 mois et 15 jour(s)</v>
          </cell>
          <cell r="L172" t="str">
            <v>SALLES D'ANGLES</v>
          </cell>
          <cell r="M172" t="str">
            <v>Champagne</v>
          </cell>
          <cell r="N172">
            <v>0</v>
          </cell>
        </row>
        <row r="173">
          <cell r="C173" t="str">
            <v>AM4-1</v>
          </cell>
          <cell r="D173" t="str">
            <v>RÉGNIER</v>
          </cell>
          <cell r="E173" t="str">
            <v>RÉGNIER</v>
          </cell>
          <cell r="F173" t="str">
            <v>Laëtitia</v>
          </cell>
          <cell r="G173">
            <v>1</v>
          </cell>
          <cell r="H173">
            <v>1</v>
          </cell>
          <cell r="I173">
            <v>0</v>
          </cell>
          <cell r="J173">
            <v>29180</v>
          </cell>
          <cell r="K173" t="str">
            <v>39 an(s) 5 mois et 27 jour(s)</v>
          </cell>
          <cell r="L173" t="str">
            <v>COGNAC</v>
          </cell>
          <cell r="M173" t="str">
            <v>Cognac</v>
          </cell>
          <cell r="N173" t="str">
            <v>laetitia.regnier@hotmail.fr</v>
          </cell>
        </row>
        <row r="174">
          <cell r="C174" t="str">
            <v>AM4-10</v>
          </cell>
          <cell r="D174" t="str">
            <v>RÉGNIER</v>
          </cell>
          <cell r="E174">
            <v>0</v>
          </cell>
          <cell r="F174" t="str">
            <v>Noa</v>
          </cell>
          <cell r="G174">
            <v>1</v>
          </cell>
          <cell r="H174">
            <v>1</v>
          </cell>
          <cell r="I174">
            <v>0</v>
          </cell>
          <cell r="J174">
            <v>42979</v>
          </cell>
          <cell r="K174" t="str">
            <v>1 an(s) 8 mois et 17 jour(s)</v>
          </cell>
          <cell r="L174" t="str">
            <v>COGNAC</v>
          </cell>
          <cell r="M174" t="str">
            <v>Cognac</v>
          </cell>
          <cell r="N174">
            <v>0</v>
          </cell>
        </row>
        <row r="175">
          <cell r="C175" t="str">
            <v>AM4-2</v>
          </cell>
          <cell r="D175" t="str">
            <v>RÉGNIER</v>
          </cell>
          <cell r="E175" t="str">
            <v>PRIET</v>
          </cell>
          <cell r="F175" t="str">
            <v>Gaël</v>
          </cell>
          <cell r="G175">
            <v>1</v>
          </cell>
          <cell r="H175">
            <v>0</v>
          </cell>
          <cell r="I175">
            <v>1</v>
          </cell>
          <cell r="J175">
            <v>27663</v>
          </cell>
          <cell r="K175" t="str">
            <v>43 an(s) 7 mois et 22 jour(s)</v>
          </cell>
          <cell r="L175" t="str">
            <v>COGNAC</v>
          </cell>
          <cell r="M175" t="str">
            <v>Cognac</v>
          </cell>
          <cell r="N175">
            <v>0</v>
          </cell>
        </row>
        <row r="176">
          <cell r="C176" t="str">
            <v>AM4-3</v>
          </cell>
          <cell r="D176" t="str">
            <v>RÉGNIER</v>
          </cell>
          <cell r="E176" t="str">
            <v>PRIET-RÉGNIER</v>
          </cell>
          <cell r="F176" t="str">
            <v>Raphaël</v>
          </cell>
          <cell r="G176">
            <v>1</v>
          </cell>
          <cell r="H176">
            <v>0</v>
          </cell>
          <cell r="I176">
            <v>1</v>
          </cell>
          <cell r="J176">
            <v>40032</v>
          </cell>
          <cell r="K176" t="str">
            <v>9 an(s) 9 mois et 11 jour(s)</v>
          </cell>
          <cell r="L176" t="str">
            <v>COGNAC</v>
          </cell>
          <cell r="M176" t="str">
            <v>Cognac</v>
          </cell>
          <cell r="N176">
            <v>0</v>
          </cell>
        </row>
        <row r="177">
          <cell r="C177" t="str">
            <v>AM4-7</v>
          </cell>
          <cell r="D177" t="str">
            <v>RÉGNIER</v>
          </cell>
          <cell r="E177" t="str">
            <v>VANDER-JENGT</v>
          </cell>
          <cell r="F177" t="str">
            <v>Kilauéa</v>
          </cell>
          <cell r="G177">
            <v>1</v>
          </cell>
          <cell r="H177">
            <v>0</v>
          </cell>
          <cell r="I177">
            <v>1</v>
          </cell>
          <cell r="J177">
            <v>42655</v>
          </cell>
          <cell r="K177" t="str">
            <v>2 an(s) 7 mois et 6 jour(s)</v>
          </cell>
          <cell r="L177" t="str">
            <v>COGNAC</v>
          </cell>
          <cell r="M177" t="str">
            <v>Cognac</v>
          </cell>
          <cell r="N177">
            <v>0</v>
          </cell>
        </row>
        <row r="178">
          <cell r="C178" t="str">
            <v>AM4-9</v>
          </cell>
          <cell r="D178" t="str">
            <v>RÉGNIER</v>
          </cell>
          <cell r="E178">
            <v>0</v>
          </cell>
          <cell r="F178" t="str">
            <v>Léandre</v>
          </cell>
          <cell r="G178">
            <v>1</v>
          </cell>
          <cell r="H178">
            <v>0</v>
          </cell>
          <cell r="I178">
            <v>1</v>
          </cell>
          <cell r="J178">
            <v>42659</v>
          </cell>
          <cell r="K178" t="str">
            <v>2 an(s) 7 mois et 2 jour(s)</v>
          </cell>
          <cell r="L178" t="str">
            <v>COGNAC</v>
          </cell>
          <cell r="M178" t="str">
            <v>Cognac</v>
          </cell>
          <cell r="N178">
            <v>0</v>
          </cell>
        </row>
        <row r="179">
          <cell r="C179" t="str">
            <v>AM1-4</v>
          </cell>
          <cell r="D179" t="str">
            <v>AM1-4</v>
          </cell>
          <cell r="E179" t="str">
            <v>GAUTIER</v>
          </cell>
          <cell r="F179" t="str">
            <v>Maud</v>
          </cell>
          <cell r="G179">
            <v>1</v>
          </cell>
          <cell r="H179">
            <v>1</v>
          </cell>
          <cell r="I179">
            <v>0</v>
          </cell>
          <cell r="J179">
            <v>42248</v>
          </cell>
          <cell r="K179" t="str">
            <v>3 an(s) 8 mois et 17 jour(s)</v>
          </cell>
          <cell r="L179" t="str">
            <v>Chateaubernard</v>
          </cell>
          <cell r="M179" t="str">
            <v>Cognac</v>
          </cell>
          <cell r="N179">
            <v>0</v>
          </cell>
        </row>
        <row r="180">
          <cell r="C180" t="str">
            <v>AM2-2</v>
          </cell>
          <cell r="D180" t="str">
            <v>AM2-2</v>
          </cell>
          <cell r="E180" t="str">
            <v>THIMONET</v>
          </cell>
          <cell r="F180" t="str">
            <v>Mila</v>
          </cell>
          <cell r="G180">
            <v>1</v>
          </cell>
          <cell r="H180">
            <v>1</v>
          </cell>
          <cell r="I180">
            <v>0</v>
          </cell>
          <cell r="J180">
            <v>42103</v>
          </cell>
          <cell r="K180" t="str">
            <v>4 an(s) 1 mois et 9 jour(s)</v>
          </cell>
          <cell r="L180" t="str">
            <v>Chateaubernard</v>
          </cell>
          <cell r="M180" t="str">
            <v>Cognac</v>
          </cell>
          <cell r="N180">
            <v>0</v>
          </cell>
        </row>
        <row r="181">
          <cell r="C181" t="str">
            <v>AM2-4</v>
          </cell>
          <cell r="D181" t="str">
            <v>AM2-4</v>
          </cell>
          <cell r="E181" t="str">
            <v>ZIDI</v>
          </cell>
          <cell r="F181" t="str">
            <v>Yasmine</v>
          </cell>
          <cell r="G181">
            <v>1</v>
          </cell>
          <cell r="H181">
            <v>1</v>
          </cell>
          <cell r="I181">
            <v>0</v>
          </cell>
          <cell r="J181">
            <v>42136</v>
          </cell>
          <cell r="K181" t="str">
            <v>4 an(s) 0 mois et 6 jour(s)</v>
          </cell>
          <cell r="L181" t="str">
            <v>Chateaubernard</v>
          </cell>
          <cell r="M181" t="str">
            <v>Cognac</v>
          </cell>
          <cell r="N181">
            <v>0</v>
          </cell>
        </row>
        <row r="182">
          <cell r="C182" t="str">
            <v>AM2-5</v>
          </cell>
          <cell r="D182" t="str">
            <v>AM2-5</v>
          </cell>
          <cell r="E182" t="str">
            <v>GUYOT</v>
          </cell>
          <cell r="F182" t="str">
            <v>Robin</v>
          </cell>
          <cell r="G182">
            <v>1</v>
          </cell>
          <cell r="H182">
            <v>0</v>
          </cell>
          <cell r="I182">
            <v>1</v>
          </cell>
          <cell r="J182">
            <v>38988</v>
          </cell>
          <cell r="K182" t="str">
            <v>12 an(s) 7 mois et 20 jour(s)</v>
          </cell>
          <cell r="L182" t="str">
            <v>Chateaubernard</v>
          </cell>
          <cell r="M182" t="str">
            <v>Cognac</v>
          </cell>
          <cell r="N182">
            <v>0</v>
          </cell>
        </row>
        <row r="183">
          <cell r="C183" t="str">
            <v>AM2-6</v>
          </cell>
          <cell r="D183" t="str">
            <v>AM2-6</v>
          </cell>
          <cell r="E183" t="str">
            <v>FALAT</v>
          </cell>
          <cell r="F183" t="str">
            <v>Adam</v>
          </cell>
          <cell r="G183">
            <v>1</v>
          </cell>
          <cell r="H183">
            <v>0</v>
          </cell>
          <cell r="I183">
            <v>1</v>
          </cell>
          <cell r="J183">
            <v>42361</v>
          </cell>
          <cell r="K183" t="str">
            <v>3 an(s) 4 mois et 25 jour(s)</v>
          </cell>
          <cell r="L183" t="str">
            <v>Chateaubernard</v>
          </cell>
          <cell r="M183" t="str">
            <v>Cognac</v>
          </cell>
          <cell r="N183">
            <v>0</v>
          </cell>
        </row>
        <row r="184">
          <cell r="C184" t="str">
            <v>AM2-9</v>
          </cell>
          <cell r="D184" t="str">
            <v>AM2-9</v>
          </cell>
          <cell r="E184" t="str">
            <v>DAUGUZON</v>
          </cell>
          <cell r="F184" t="str">
            <v>Léa</v>
          </cell>
          <cell r="G184">
            <v>1</v>
          </cell>
          <cell r="H184">
            <v>1</v>
          </cell>
          <cell r="I184">
            <v>0</v>
          </cell>
          <cell r="J184">
            <v>37177</v>
          </cell>
          <cell r="K184" t="str">
            <v>17 an(s) 7 mois et 5 jour(s)</v>
          </cell>
          <cell r="L184" t="str">
            <v>Chateaubernard</v>
          </cell>
          <cell r="M184" t="str">
            <v>Cognac</v>
          </cell>
          <cell r="N184">
            <v>0</v>
          </cell>
        </row>
        <row r="185">
          <cell r="C185" t="str">
            <v>AM4-4</v>
          </cell>
          <cell r="D185" t="str">
            <v>AM4-4</v>
          </cell>
          <cell r="E185" t="str">
            <v>CARPENTIER-PINET</v>
          </cell>
          <cell r="F185" t="str">
            <v>Adélie</v>
          </cell>
          <cell r="G185">
            <v>1</v>
          </cell>
          <cell r="H185">
            <v>1</v>
          </cell>
          <cell r="I185">
            <v>0</v>
          </cell>
          <cell r="J185">
            <v>42472</v>
          </cell>
          <cell r="K185" t="str">
            <v>3 an(s) 1 mois et 6 jour(s)</v>
          </cell>
          <cell r="L185" t="str">
            <v>COGNAC</v>
          </cell>
          <cell r="M185" t="str">
            <v>Cognac</v>
          </cell>
          <cell r="N185">
            <v>0</v>
          </cell>
        </row>
        <row r="186">
          <cell r="C186" t="str">
            <v>AM4-5</v>
          </cell>
          <cell r="D186" t="str">
            <v>AM4-5</v>
          </cell>
          <cell r="E186" t="str">
            <v>FAVREAU</v>
          </cell>
          <cell r="F186" t="str">
            <v>Mathis</v>
          </cell>
          <cell r="G186">
            <v>1</v>
          </cell>
          <cell r="H186">
            <v>0</v>
          </cell>
          <cell r="I186">
            <v>1</v>
          </cell>
          <cell r="J186">
            <v>42231</v>
          </cell>
          <cell r="K186" t="str">
            <v>3 an(s) 9 mois et 3 jour(s)</v>
          </cell>
          <cell r="L186" t="str">
            <v>COGNAC</v>
          </cell>
          <cell r="M186" t="str">
            <v>Cognac</v>
          </cell>
          <cell r="N186">
            <v>0</v>
          </cell>
        </row>
        <row r="187">
          <cell r="C187" t="str">
            <v>AM4-8</v>
          </cell>
          <cell r="D187" t="str">
            <v>AM4-8</v>
          </cell>
          <cell r="E187" t="str">
            <v>ÉTÉ</v>
          </cell>
          <cell r="F187" t="str">
            <v>Séléna</v>
          </cell>
          <cell r="G187">
            <v>1</v>
          </cell>
          <cell r="H187">
            <v>1</v>
          </cell>
          <cell r="I187">
            <v>0</v>
          </cell>
          <cell r="J187">
            <v>42278</v>
          </cell>
          <cell r="K187" t="str">
            <v>3 an(s) 7 mois et 17 jour(s)</v>
          </cell>
          <cell r="L187" t="str">
            <v>COGNAC</v>
          </cell>
          <cell r="M187" t="str">
            <v>Cognac</v>
          </cell>
          <cell r="N187">
            <v>0</v>
          </cell>
        </row>
        <row r="188">
          <cell r="C188" t="str">
            <v>AM3-1</v>
          </cell>
          <cell r="D188" t="str">
            <v>AM3-1</v>
          </cell>
          <cell r="E188" t="str">
            <v>BOIJOUT</v>
          </cell>
          <cell r="F188" t="str">
            <v>Delphine</v>
          </cell>
          <cell r="G188">
            <v>1</v>
          </cell>
          <cell r="H188">
            <v>1</v>
          </cell>
          <cell r="I188">
            <v>0</v>
          </cell>
          <cell r="J188">
            <v>31598</v>
          </cell>
          <cell r="K188" t="str">
            <v>32 an(s) 10 mois et 13 jour(s)</v>
          </cell>
          <cell r="L188" t="str">
            <v>JUILLAC-LE-COQ</v>
          </cell>
          <cell r="M188" t="str">
            <v>Champagne</v>
          </cell>
          <cell r="N188" t="str">
            <v>delphine.boijout16@orange.fr</v>
          </cell>
        </row>
        <row r="189">
          <cell r="C189" t="str">
            <v>F74-1</v>
          </cell>
          <cell r="D189" t="str">
            <v>ALEGRIA-LARREA/PIQUET</v>
          </cell>
          <cell r="E189" t="str">
            <v>ALEGRIA-LARREA</v>
          </cell>
          <cell r="F189" t="str">
            <v>Gabriel</v>
          </cell>
          <cell r="G189">
            <v>0</v>
          </cell>
          <cell r="H189">
            <v>0</v>
          </cell>
          <cell r="I189">
            <v>1</v>
          </cell>
          <cell r="J189">
            <v>32502</v>
          </cell>
          <cell r="K189" t="str">
            <v>30 an(s) 4 mois et 23 jour(s)</v>
          </cell>
          <cell r="L189" t="str">
            <v>SEGONZAC</v>
          </cell>
          <cell r="M189" t="str">
            <v>Champagne</v>
          </cell>
          <cell r="N189">
            <v>0</v>
          </cell>
        </row>
        <row r="190">
          <cell r="C190" t="str">
            <v>F74-2</v>
          </cell>
          <cell r="D190" t="str">
            <v>ALEGRIA-LARREA/PIQUET</v>
          </cell>
          <cell r="E190" t="str">
            <v>PIQUET</v>
          </cell>
          <cell r="F190" t="str">
            <v>Aurélie</v>
          </cell>
          <cell r="G190">
            <v>0</v>
          </cell>
          <cell r="H190">
            <v>1</v>
          </cell>
          <cell r="I190">
            <v>0</v>
          </cell>
          <cell r="J190">
            <v>34495</v>
          </cell>
          <cell r="K190" t="str">
            <v>24 an(s) 11 mois et 8 jour(s)</v>
          </cell>
          <cell r="L190" t="str">
            <v>SEGONZAC</v>
          </cell>
          <cell r="M190" t="str">
            <v>Champagne</v>
          </cell>
          <cell r="N190">
            <v>0</v>
          </cell>
        </row>
        <row r="191">
          <cell r="C191" t="str">
            <v>F74-3</v>
          </cell>
          <cell r="D191" t="str">
            <v>ALEGRIA-LARREA/PIQUET</v>
          </cell>
          <cell r="E191" t="str">
            <v>ALEGRIA-LARREA</v>
          </cell>
          <cell r="F191" t="str">
            <v>Mattéo</v>
          </cell>
          <cell r="G191">
            <v>0</v>
          </cell>
          <cell r="H191">
            <v>0</v>
          </cell>
          <cell r="I191">
            <v>1</v>
          </cell>
          <cell r="J191">
            <v>42548</v>
          </cell>
          <cell r="K191" t="str">
            <v>2 an(s) 10 mois et 21 jour(s)</v>
          </cell>
          <cell r="L191" t="str">
            <v>SEGONZAC</v>
          </cell>
          <cell r="M191" t="str">
            <v>Champagne</v>
          </cell>
          <cell r="N191" t="str">
            <v>fredwak@hotmail.fr</v>
          </cell>
        </row>
        <row r="192">
          <cell r="C192" t="str">
            <v>F74-4</v>
          </cell>
          <cell r="D192" t="str">
            <v>ALEGRIA-LARREA/PIQUET</v>
          </cell>
          <cell r="E192" t="str">
            <v>PIQUET</v>
          </cell>
          <cell r="F192" t="str">
            <v>Mélanie</v>
          </cell>
          <cell r="G192">
            <v>0</v>
          </cell>
          <cell r="H192">
            <v>1</v>
          </cell>
          <cell r="I192">
            <v>0</v>
          </cell>
          <cell r="J192">
            <v>36536</v>
          </cell>
          <cell r="K192" t="str">
            <v>19 an(s) 4 mois et 7 jour(s)</v>
          </cell>
          <cell r="L192" t="str">
            <v>SEGONZAC</v>
          </cell>
          <cell r="M192" t="str">
            <v>Champagne</v>
          </cell>
          <cell r="N192">
            <v>0</v>
          </cell>
        </row>
        <row r="193">
          <cell r="C193" t="str">
            <v>F28-1</v>
          </cell>
          <cell r="D193" t="str">
            <v>AUGAIN/LAHOUATI</v>
          </cell>
          <cell r="E193" t="str">
            <v>AUGAIN</v>
          </cell>
          <cell r="F193" t="str">
            <v>Marilou</v>
          </cell>
          <cell r="G193">
            <v>0</v>
          </cell>
          <cell r="H193">
            <v>1</v>
          </cell>
          <cell r="I193">
            <v>0</v>
          </cell>
          <cell r="J193">
            <v>19514</v>
          </cell>
          <cell r="K193" t="str">
            <v>65 an(s) 11 mois et 14 jour(s)</v>
          </cell>
          <cell r="L193" t="str">
            <v>Juillac</v>
          </cell>
          <cell r="M193" t="str">
            <v>Champagne</v>
          </cell>
          <cell r="N193" t="str">
            <v>augain.patrick@orange.fr</v>
          </cell>
        </row>
        <row r="194">
          <cell r="C194" t="str">
            <v>F28-2</v>
          </cell>
          <cell r="D194" t="str">
            <v>AUGAIN/LAHOUATI</v>
          </cell>
          <cell r="E194" t="str">
            <v>LAHOUATI</v>
          </cell>
          <cell r="F194" t="str">
            <v>Macéo</v>
          </cell>
          <cell r="G194">
            <v>0</v>
          </cell>
          <cell r="H194">
            <v>0</v>
          </cell>
          <cell r="I194">
            <v>1</v>
          </cell>
          <cell r="J194">
            <v>39779</v>
          </cell>
          <cell r="K194" t="str">
            <v>10 an(s) 5 mois et 21 jour(s)</v>
          </cell>
          <cell r="L194" t="str">
            <v>Juillac</v>
          </cell>
          <cell r="M194" t="str">
            <v>Champagne</v>
          </cell>
          <cell r="N194">
            <v>0</v>
          </cell>
        </row>
        <row r="195">
          <cell r="C195" t="str">
            <v>F28-3</v>
          </cell>
          <cell r="D195" t="str">
            <v>AUGAIN/LAHOUATI</v>
          </cell>
          <cell r="E195" t="str">
            <v>LAHOUATI</v>
          </cell>
          <cell r="F195" t="str">
            <v>Marcus</v>
          </cell>
          <cell r="G195">
            <v>0</v>
          </cell>
          <cell r="H195">
            <v>0</v>
          </cell>
          <cell r="I195">
            <v>1</v>
          </cell>
          <cell r="J195">
            <v>40623</v>
          </cell>
          <cell r="K195" t="str">
            <v>8 an(s) 1 mois et 27 jour(s)</v>
          </cell>
          <cell r="L195" t="str">
            <v>Juillac</v>
          </cell>
          <cell r="M195" t="str">
            <v>Champagne</v>
          </cell>
          <cell r="N195">
            <v>0</v>
          </cell>
        </row>
        <row r="196">
          <cell r="C196" t="str">
            <v>F21-2</v>
          </cell>
          <cell r="D196" t="str">
            <v>AUGAIN/MENIER</v>
          </cell>
          <cell r="E196" t="str">
            <v>AUGAIN</v>
          </cell>
          <cell r="F196" t="str">
            <v>Augustin</v>
          </cell>
          <cell r="G196">
            <v>0</v>
          </cell>
          <cell r="H196">
            <v>0</v>
          </cell>
          <cell r="I196">
            <v>1</v>
          </cell>
          <cell r="J196">
            <v>40087</v>
          </cell>
          <cell r="K196" t="str">
            <v>9 an(s) 7 mois et 17 jour(s)</v>
          </cell>
          <cell r="L196" t="str">
            <v>Cognac</v>
          </cell>
          <cell r="M196" t="str">
            <v>Cognac</v>
          </cell>
          <cell r="N196">
            <v>0</v>
          </cell>
        </row>
        <row r="197">
          <cell r="C197" t="str">
            <v>F21-3</v>
          </cell>
          <cell r="D197" t="str">
            <v>AUGAIN/MENIER</v>
          </cell>
          <cell r="E197" t="str">
            <v>AUGAIN</v>
          </cell>
          <cell r="F197" t="str">
            <v>Georges</v>
          </cell>
          <cell r="G197">
            <v>0</v>
          </cell>
          <cell r="H197">
            <v>0</v>
          </cell>
          <cell r="I197">
            <v>1</v>
          </cell>
          <cell r="J197">
            <v>42558</v>
          </cell>
          <cell r="K197" t="str">
            <v>2 an(s) 10 mois et 11 jour(s)</v>
          </cell>
          <cell r="L197" t="str">
            <v>Cognac</v>
          </cell>
          <cell r="M197" t="str">
            <v>Cognac</v>
          </cell>
          <cell r="N197">
            <v>0</v>
          </cell>
        </row>
        <row r="198">
          <cell r="C198" t="str">
            <v>F101-1</v>
          </cell>
          <cell r="D198" t="str">
            <v>BACLE/CHANTOURY</v>
          </cell>
          <cell r="E198" t="str">
            <v>CHANTOURY</v>
          </cell>
          <cell r="F198" t="str">
            <v>Elodie</v>
          </cell>
          <cell r="G198">
            <v>0</v>
          </cell>
          <cell r="H198">
            <v>1</v>
          </cell>
          <cell r="I198">
            <v>0</v>
          </cell>
          <cell r="J198">
            <v>32042</v>
          </cell>
          <cell r="K198" t="str">
            <v>31 an(s) 7 mois et 26 jour(s)</v>
          </cell>
          <cell r="L198" t="str">
            <v>TOUZAC</v>
          </cell>
          <cell r="M198" t="str">
            <v>Hors_CDA</v>
          </cell>
          <cell r="N198" t="str">
            <v>hapiness.16@orange.fr</v>
          </cell>
        </row>
        <row r="199">
          <cell r="C199" t="str">
            <v>F101-2</v>
          </cell>
          <cell r="D199" t="str">
            <v>BACLE/CHANTOURY</v>
          </cell>
          <cell r="E199" t="str">
            <v>BACLE</v>
          </cell>
          <cell r="F199" t="str">
            <v>Lou-Anne</v>
          </cell>
          <cell r="G199">
            <v>0</v>
          </cell>
          <cell r="H199">
            <v>1</v>
          </cell>
          <cell r="I199">
            <v>0</v>
          </cell>
          <cell r="J199">
            <v>42039</v>
          </cell>
          <cell r="K199" t="str">
            <v>4 an(s) 3 mois et 14 jour(s)</v>
          </cell>
          <cell r="L199" t="str">
            <v>TOUZAC</v>
          </cell>
          <cell r="M199" t="str">
            <v>Hors_CDA</v>
          </cell>
          <cell r="N199">
            <v>0</v>
          </cell>
        </row>
        <row r="200">
          <cell r="C200" t="str">
            <v>F109-1</v>
          </cell>
          <cell r="D200" t="str">
            <v>Barett De Coutures</v>
          </cell>
          <cell r="E200" t="str">
            <v>Barett De Coutures</v>
          </cell>
          <cell r="F200" t="str">
            <v>Sophie</v>
          </cell>
          <cell r="G200">
            <v>0</v>
          </cell>
          <cell r="H200">
            <v>1</v>
          </cell>
          <cell r="I200">
            <v>0</v>
          </cell>
          <cell r="J200">
            <v>26736</v>
          </cell>
          <cell r="K200" t="str">
            <v>46 an(s) 2 mois et 5 jour(s)</v>
          </cell>
          <cell r="L200" t="str">
            <v>Bourg Charente</v>
          </cell>
          <cell r="M200" t="str">
            <v>Jarnac</v>
          </cell>
          <cell r="N200">
            <v>0</v>
          </cell>
        </row>
        <row r="201">
          <cell r="C201" t="str">
            <v>F109-2</v>
          </cell>
          <cell r="D201" t="str">
            <v>Barett De Coutures</v>
          </cell>
          <cell r="E201" t="str">
            <v>Barett De Coutures</v>
          </cell>
          <cell r="F201" t="str">
            <v>Louise</v>
          </cell>
          <cell r="G201">
            <v>0</v>
          </cell>
          <cell r="H201">
            <v>1</v>
          </cell>
          <cell r="I201">
            <v>0</v>
          </cell>
          <cell r="J201">
            <v>41504</v>
          </cell>
          <cell r="K201" t="str">
            <v>5 an(s) 9 mois et 0 jour(s)</v>
          </cell>
          <cell r="L201" t="str">
            <v>Bourg Charente</v>
          </cell>
          <cell r="M201" t="str">
            <v>Jarnac</v>
          </cell>
          <cell r="N201">
            <v>0</v>
          </cell>
        </row>
        <row r="202">
          <cell r="C202" t="str">
            <v>F75-1</v>
          </cell>
          <cell r="D202" t="str">
            <v>BETTI JOSEPH</v>
          </cell>
          <cell r="E202" t="str">
            <v>BETTI</v>
          </cell>
          <cell r="F202" t="str">
            <v>Sandra</v>
          </cell>
          <cell r="G202">
            <v>0</v>
          </cell>
          <cell r="H202">
            <v>1</v>
          </cell>
          <cell r="I202">
            <v>0</v>
          </cell>
          <cell r="J202">
            <v>30077</v>
          </cell>
          <cell r="K202" t="str">
            <v>37 an(s) 0 mois et 12 jour(s)</v>
          </cell>
          <cell r="L202" t="str">
            <v>Lagarde sur le Né</v>
          </cell>
          <cell r="M202" t="str">
            <v>Hors_CDA</v>
          </cell>
          <cell r="N202">
            <v>0</v>
          </cell>
        </row>
        <row r="203">
          <cell r="C203" t="str">
            <v>F75-2</v>
          </cell>
          <cell r="D203" t="str">
            <v>BETTI JOSEPH</v>
          </cell>
          <cell r="E203" t="str">
            <v>BETTI JOSEPH</v>
          </cell>
          <cell r="F203" t="str">
            <v>Milan</v>
          </cell>
          <cell r="G203">
            <v>0</v>
          </cell>
          <cell r="H203">
            <v>0</v>
          </cell>
          <cell r="I203">
            <v>1</v>
          </cell>
          <cell r="J203">
            <v>39998</v>
          </cell>
          <cell r="K203" t="str">
            <v>9 an(s) 10 mois et 14 jour(s)</v>
          </cell>
          <cell r="L203" t="str">
            <v>Lagarde sur le Né</v>
          </cell>
          <cell r="M203" t="str">
            <v>Hors_CDA</v>
          </cell>
          <cell r="N203">
            <v>0</v>
          </cell>
        </row>
        <row r="204">
          <cell r="C204" t="str">
            <v>F75-3</v>
          </cell>
          <cell r="D204" t="str">
            <v>BETTI JOSEPH</v>
          </cell>
          <cell r="E204" t="str">
            <v>BETTI JOSEPH</v>
          </cell>
          <cell r="F204" t="str">
            <v>Tilia</v>
          </cell>
          <cell r="G204">
            <v>0</v>
          </cell>
          <cell r="H204">
            <v>1</v>
          </cell>
          <cell r="I204">
            <v>0</v>
          </cell>
          <cell r="J204">
            <v>42247</v>
          </cell>
          <cell r="K204" t="str">
            <v>3 an(s) 8 mois et 17 jour(s)</v>
          </cell>
          <cell r="L204" t="str">
            <v>Lagarde sur le Né</v>
          </cell>
          <cell r="M204" t="str">
            <v>Hors_CDA</v>
          </cell>
          <cell r="N204" t="str">
            <v>valeriesowinski@outlook.com</v>
          </cell>
        </row>
        <row r="205">
          <cell r="C205" t="str">
            <v>F75-4</v>
          </cell>
          <cell r="D205" t="str">
            <v>BETTI JOSEPH</v>
          </cell>
          <cell r="E205" t="str">
            <v>JOSEPH</v>
          </cell>
          <cell r="F205" t="str">
            <v>Frédéric</v>
          </cell>
          <cell r="G205">
            <v>0</v>
          </cell>
          <cell r="H205">
            <v>0</v>
          </cell>
          <cell r="I205">
            <v>1</v>
          </cell>
          <cell r="J205">
            <v>29350</v>
          </cell>
          <cell r="K205" t="str">
            <v>39 an(s) 0 mois et 9 jour(s)</v>
          </cell>
          <cell r="L205" t="str">
            <v>Lagarde sur le Né</v>
          </cell>
          <cell r="M205" t="str">
            <v>Hors_CDA</v>
          </cell>
          <cell r="N205">
            <v>0</v>
          </cell>
        </row>
        <row r="206">
          <cell r="C206" t="str">
            <v>F26-1</v>
          </cell>
          <cell r="D206" t="str">
            <v>BONNORON</v>
          </cell>
          <cell r="E206" t="str">
            <v>BONNORON</v>
          </cell>
          <cell r="F206" t="str">
            <v>Christine</v>
          </cell>
          <cell r="G206">
            <v>0</v>
          </cell>
          <cell r="H206">
            <v>1</v>
          </cell>
          <cell r="I206">
            <v>0</v>
          </cell>
          <cell r="J206">
            <v>21935</v>
          </cell>
          <cell r="K206" t="str">
            <v>59 an(s) 3 mois et 28 jour(s)</v>
          </cell>
          <cell r="L206" t="str">
            <v>SALLES D'ANGLES</v>
          </cell>
          <cell r="M206" t="str">
            <v>Champagne</v>
          </cell>
          <cell r="N206" t="str">
            <v>christine.bonnoron@gmail.com</v>
          </cell>
        </row>
        <row r="207">
          <cell r="C207" t="str">
            <v>F6-1</v>
          </cell>
          <cell r="D207" t="str">
            <v>BOUBEE-SAUNIER</v>
          </cell>
          <cell r="E207" t="str">
            <v>SAUNIER</v>
          </cell>
          <cell r="F207" t="str">
            <v>Amélie</v>
          </cell>
          <cell r="G207">
            <v>0</v>
          </cell>
          <cell r="H207">
            <v>1</v>
          </cell>
          <cell r="I207">
            <v>0</v>
          </cell>
          <cell r="J207">
            <v>31304</v>
          </cell>
          <cell r="K207" t="str">
            <v>33 an(s) 8 mois et 4 jour(s)</v>
          </cell>
          <cell r="L207" t="str">
            <v>SEGONZAC</v>
          </cell>
          <cell r="M207" t="str">
            <v>Champagne</v>
          </cell>
          <cell r="N207" t="str">
            <v>amelie.saunier@hotmail.fr</v>
          </cell>
        </row>
        <row r="208">
          <cell r="C208" t="str">
            <v>F6-2</v>
          </cell>
          <cell r="D208" t="str">
            <v>BOUBEE-SAUNIER</v>
          </cell>
          <cell r="E208" t="str">
            <v>BOUBEE-SAUNIER</v>
          </cell>
          <cell r="F208" t="str">
            <v>Lisa</v>
          </cell>
          <cell r="G208">
            <v>0</v>
          </cell>
          <cell r="H208">
            <v>1</v>
          </cell>
          <cell r="I208">
            <v>0</v>
          </cell>
          <cell r="J208">
            <v>41245</v>
          </cell>
          <cell r="K208" t="str">
            <v>6 an(s) 5 mois et 16 jour(s)</v>
          </cell>
          <cell r="L208" t="str">
            <v>SEGONZAC</v>
          </cell>
          <cell r="M208" t="str">
            <v>Champagne</v>
          </cell>
          <cell r="N208">
            <v>0</v>
          </cell>
        </row>
        <row r="209">
          <cell r="C209" t="str">
            <v>F6-3</v>
          </cell>
          <cell r="D209" t="str">
            <v>BOUBEE-SAUNIER</v>
          </cell>
          <cell r="E209" t="str">
            <v>BOUBEE-SAUNIER</v>
          </cell>
          <cell r="F209" t="str">
            <v>Lucas</v>
          </cell>
          <cell r="G209">
            <v>0</v>
          </cell>
          <cell r="H209">
            <v>0</v>
          </cell>
          <cell r="I209">
            <v>1</v>
          </cell>
          <cell r="J209">
            <v>42216</v>
          </cell>
          <cell r="K209" t="str">
            <v>3 an(s) 9 mois et 17 jour(s)</v>
          </cell>
          <cell r="L209" t="str">
            <v>SEGONZAC</v>
          </cell>
          <cell r="M209" t="str">
            <v>Champagne</v>
          </cell>
          <cell r="N209">
            <v>0</v>
          </cell>
        </row>
        <row r="210">
          <cell r="C210" t="str">
            <v>F61-1</v>
          </cell>
          <cell r="D210" t="str">
            <v>BOURIN</v>
          </cell>
          <cell r="E210" t="str">
            <v>BOURIN</v>
          </cell>
          <cell r="F210" t="str">
            <v>Amélie</v>
          </cell>
          <cell r="G210">
            <v>0</v>
          </cell>
          <cell r="H210">
            <v>1</v>
          </cell>
          <cell r="I210">
            <v>0</v>
          </cell>
          <cell r="J210">
            <v>30611</v>
          </cell>
          <cell r="K210" t="str">
            <v>35 an(s) 6 mois et 26 jour(s)</v>
          </cell>
          <cell r="L210" t="str">
            <v>Mainxe</v>
          </cell>
          <cell r="M210" t="str">
            <v>Jarnac</v>
          </cell>
          <cell r="N210" t="str">
            <v>camamelie@hotmail.fr</v>
          </cell>
        </row>
        <row r="211">
          <cell r="C211" t="str">
            <v>F61-2</v>
          </cell>
          <cell r="D211" t="str">
            <v>BOURIN</v>
          </cell>
          <cell r="E211" t="str">
            <v>BOURIN</v>
          </cell>
          <cell r="F211" t="str">
            <v>Sébastien</v>
          </cell>
          <cell r="G211">
            <v>0</v>
          </cell>
          <cell r="H211">
            <v>0</v>
          </cell>
          <cell r="I211">
            <v>1</v>
          </cell>
          <cell r="J211">
            <v>29921</v>
          </cell>
          <cell r="K211" t="str">
            <v>37 an(s) 5 mois et 17 jour(s)</v>
          </cell>
          <cell r="L211" t="str">
            <v>Mainxe</v>
          </cell>
          <cell r="M211" t="str">
            <v>Jarnac</v>
          </cell>
          <cell r="N211">
            <v>0</v>
          </cell>
        </row>
        <row r="212">
          <cell r="C212" t="str">
            <v>F61-3</v>
          </cell>
          <cell r="D212" t="str">
            <v>BOURIN</v>
          </cell>
          <cell r="E212" t="str">
            <v>BOURIN</v>
          </cell>
          <cell r="F212" t="str">
            <v>Coline</v>
          </cell>
          <cell r="G212">
            <v>0</v>
          </cell>
          <cell r="H212">
            <v>1</v>
          </cell>
          <cell r="I212">
            <v>0</v>
          </cell>
          <cell r="J212">
            <v>41031</v>
          </cell>
          <cell r="K212" t="str">
            <v>7 an(s) 0 mois et 16 jour(s)</v>
          </cell>
          <cell r="L212" t="str">
            <v>Mainxe</v>
          </cell>
          <cell r="M212" t="str">
            <v>Jarnac</v>
          </cell>
          <cell r="N212">
            <v>0</v>
          </cell>
        </row>
        <row r="213">
          <cell r="C213" t="str">
            <v>F61-4</v>
          </cell>
          <cell r="D213" t="str">
            <v>BOURIN</v>
          </cell>
          <cell r="E213" t="str">
            <v>BOURIN</v>
          </cell>
          <cell r="F213" t="str">
            <v>Anna</v>
          </cell>
          <cell r="G213">
            <v>0</v>
          </cell>
          <cell r="H213">
            <v>1</v>
          </cell>
          <cell r="I213">
            <v>0</v>
          </cell>
          <cell r="J213">
            <v>41995</v>
          </cell>
          <cell r="K213" t="str">
            <v>4 an(s) 4 mois et 26 jour(s)</v>
          </cell>
          <cell r="L213" t="str">
            <v>Mainxe</v>
          </cell>
          <cell r="M213" t="str">
            <v>Jarnac</v>
          </cell>
          <cell r="N213">
            <v>0</v>
          </cell>
        </row>
        <row r="214">
          <cell r="C214" t="str">
            <v>F61-5</v>
          </cell>
          <cell r="D214" t="str">
            <v>BOURIN</v>
          </cell>
          <cell r="E214" t="str">
            <v>BOURIN</v>
          </cell>
          <cell r="F214" t="str">
            <v>Nolan</v>
          </cell>
          <cell r="G214">
            <v>0</v>
          </cell>
          <cell r="H214">
            <v>0</v>
          </cell>
          <cell r="I214">
            <v>1</v>
          </cell>
          <cell r="J214">
            <v>42936</v>
          </cell>
          <cell r="K214" t="str">
            <v>1 an(s) 9 mois et 28 jour(s)</v>
          </cell>
          <cell r="L214" t="str">
            <v>Mainxe</v>
          </cell>
          <cell r="M214" t="str">
            <v>Jarnac</v>
          </cell>
          <cell r="N214">
            <v>0</v>
          </cell>
        </row>
        <row r="215">
          <cell r="C215" t="str">
            <v>F117-1</v>
          </cell>
          <cell r="D215" t="str">
            <v>BOUXIN/SOUQUE</v>
          </cell>
          <cell r="E215" t="str">
            <v>BOUXIN</v>
          </cell>
          <cell r="F215" t="str">
            <v>Mathieu</v>
          </cell>
          <cell r="G215">
            <v>0</v>
          </cell>
          <cell r="H215">
            <v>0</v>
          </cell>
          <cell r="I215">
            <v>1</v>
          </cell>
          <cell r="J215">
            <v>27159</v>
          </cell>
          <cell r="K215" t="str">
            <v>45 an(s) 0 mois et 8 jour(s)</v>
          </cell>
          <cell r="L215" t="str">
            <v>SALLES D'ANGLES</v>
          </cell>
          <cell r="M215" t="str">
            <v>Champagne</v>
          </cell>
          <cell r="N215" t="str">
            <v>catherine.souque@gmail.com</v>
          </cell>
        </row>
        <row r="216">
          <cell r="C216" t="str">
            <v>F117-2</v>
          </cell>
          <cell r="D216" t="str">
            <v>BOUXIN/SOUQUE</v>
          </cell>
          <cell r="E216" t="str">
            <v>SOUQUE</v>
          </cell>
          <cell r="F216" t="str">
            <v>Catherine</v>
          </cell>
          <cell r="G216">
            <v>0</v>
          </cell>
          <cell r="H216">
            <v>1</v>
          </cell>
          <cell r="I216">
            <v>0</v>
          </cell>
          <cell r="J216">
            <v>27304</v>
          </cell>
          <cell r="K216" t="str">
            <v>44 an(s) 7 mois et 16 jour(s)</v>
          </cell>
          <cell r="L216" t="str">
            <v>SALLES D'ANGLES</v>
          </cell>
          <cell r="M216" t="str">
            <v>Champagne</v>
          </cell>
          <cell r="N216">
            <v>0</v>
          </cell>
        </row>
        <row r="217">
          <cell r="C217" t="str">
            <v>F125-1</v>
          </cell>
          <cell r="D217" t="str">
            <v>BOYELDIEU/COUREAUD</v>
          </cell>
          <cell r="E217" t="str">
            <v>COUREAUD</v>
          </cell>
          <cell r="F217" t="str">
            <v>Émilie</v>
          </cell>
          <cell r="G217">
            <v>0</v>
          </cell>
          <cell r="H217">
            <v>1</v>
          </cell>
          <cell r="I217">
            <v>0</v>
          </cell>
          <cell r="J217">
            <v>34856</v>
          </cell>
          <cell r="K217" t="str">
            <v>23 an(s) 11 mois et 12 jour(s)</v>
          </cell>
          <cell r="L217" t="str">
            <v>Salignac-sur-Charente</v>
          </cell>
          <cell r="M217" t="str">
            <v>Hors_Charente</v>
          </cell>
          <cell r="N217" t="str">
            <v>emiliecouraud@hotmail.fr</v>
          </cell>
        </row>
        <row r="218">
          <cell r="C218" t="str">
            <v>F125-2</v>
          </cell>
          <cell r="D218" t="str">
            <v>BOYELDIEU/COUREAUD</v>
          </cell>
          <cell r="E218" t="str">
            <v>BOYELDIEU</v>
          </cell>
          <cell r="F218" t="str">
            <v>Timéo</v>
          </cell>
          <cell r="G218">
            <v>0</v>
          </cell>
          <cell r="H218">
            <v>0</v>
          </cell>
          <cell r="I218">
            <v>1</v>
          </cell>
          <cell r="J218">
            <v>43110</v>
          </cell>
          <cell r="K218" t="str">
            <v>1 an(s) 4 mois et 8 jour(s)</v>
          </cell>
          <cell r="L218" t="str">
            <v>Salignac-sur-Charente</v>
          </cell>
          <cell r="M218" t="str">
            <v>Hors_Charente</v>
          </cell>
          <cell r="N218">
            <v>0</v>
          </cell>
        </row>
        <row r="219">
          <cell r="C219" t="str">
            <v>F125-3</v>
          </cell>
          <cell r="D219" t="str">
            <v>BOYELDIEU/COUREAUD</v>
          </cell>
          <cell r="E219" t="str">
            <v>LEYMAT (enfant gardé)</v>
          </cell>
          <cell r="F219" t="str">
            <v>Eden</v>
          </cell>
          <cell r="G219">
            <v>0</v>
          </cell>
          <cell r="H219">
            <v>1</v>
          </cell>
          <cell r="I219">
            <v>0</v>
          </cell>
          <cell r="J219">
            <v>42552</v>
          </cell>
          <cell r="K219" t="str">
            <v>2 an(s) 10 mois et 17 jour(s)</v>
          </cell>
          <cell r="L219" t="str">
            <v>Salignac-sur-Charente</v>
          </cell>
          <cell r="M219" t="str">
            <v>Hors_Charente</v>
          </cell>
          <cell r="N219">
            <v>0</v>
          </cell>
        </row>
        <row r="220">
          <cell r="C220" t="str">
            <v>F125-4</v>
          </cell>
          <cell r="D220" t="str">
            <v>BOYELDIEU/COUREAUD</v>
          </cell>
          <cell r="E220" t="str">
            <v>LEYMAT (enfant gardé)</v>
          </cell>
          <cell r="F220" t="str">
            <v>Ethan</v>
          </cell>
          <cell r="G220">
            <v>0</v>
          </cell>
          <cell r="H220">
            <v>0</v>
          </cell>
          <cell r="I220">
            <v>1</v>
          </cell>
          <cell r="J220">
            <v>43009</v>
          </cell>
          <cell r="K220" t="str">
            <v>1 an(s) 7 mois et 17 jour(s)</v>
          </cell>
          <cell r="L220" t="str">
            <v>Salignac-sur-Charente</v>
          </cell>
          <cell r="M220" t="str">
            <v>Hors_Charente</v>
          </cell>
          <cell r="N220">
            <v>0</v>
          </cell>
        </row>
        <row r="221">
          <cell r="C221" t="str">
            <v>F120-1</v>
          </cell>
          <cell r="D221" t="str">
            <v>BRISSON</v>
          </cell>
          <cell r="E221" t="str">
            <v>BRISSON</v>
          </cell>
          <cell r="F221" t="str">
            <v>Emmanuelle</v>
          </cell>
          <cell r="G221">
            <v>0</v>
          </cell>
          <cell r="H221">
            <v>1</v>
          </cell>
          <cell r="I221">
            <v>0</v>
          </cell>
          <cell r="J221">
            <v>32331</v>
          </cell>
          <cell r="K221" t="str">
            <v>30 an(s) 10 mois et 11 jour(s)</v>
          </cell>
          <cell r="L221" t="str">
            <v>Segonzac</v>
          </cell>
          <cell r="M221" t="str">
            <v>Champagne</v>
          </cell>
          <cell r="N221" t="str">
            <v>emmamaa@hotmail.fr</v>
          </cell>
        </row>
        <row r="222">
          <cell r="C222" t="str">
            <v>F210-2</v>
          </cell>
          <cell r="D222" t="str">
            <v>BRISSON</v>
          </cell>
          <cell r="E222" t="str">
            <v>BRISSON</v>
          </cell>
          <cell r="F222" t="str">
            <v>Martin</v>
          </cell>
          <cell r="G222">
            <v>0</v>
          </cell>
          <cell r="H222">
            <v>0</v>
          </cell>
          <cell r="I222">
            <v>1</v>
          </cell>
          <cell r="J222">
            <v>42856</v>
          </cell>
          <cell r="K222" t="str">
            <v>2 an(s) 0 mois et 17 jour(s)</v>
          </cell>
          <cell r="L222" t="str">
            <v>Segonzac</v>
          </cell>
          <cell r="M222" t="str">
            <v>Champagne</v>
          </cell>
          <cell r="N222">
            <v>0</v>
          </cell>
        </row>
        <row r="223">
          <cell r="C223" t="str">
            <v>F8-1</v>
          </cell>
          <cell r="D223" t="str">
            <v>BURLACU</v>
          </cell>
          <cell r="E223" t="str">
            <v>BURLACU</v>
          </cell>
          <cell r="F223" t="str">
            <v>Elena</v>
          </cell>
          <cell r="G223">
            <v>0</v>
          </cell>
          <cell r="H223">
            <v>1</v>
          </cell>
          <cell r="I223">
            <v>0</v>
          </cell>
          <cell r="J223">
            <v>29925</v>
          </cell>
          <cell r="K223" t="str">
            <v>37 an(s) 5 mois et 13 jour(s)</v>
          </cell>
          <cell r="L223" t="str">
            <v>Lignieres</v>
          </cell>
          <cell r="M223" t="str">
            <v>Champagne</v>
          </cell>
          <cell r="N223">
            <v>0</v>
          </cell>
        </row>
        <row r="224">
          <cell r="C224" t="str">
            <v>F8-2</v>
          </cell>
          <cell r="D224" t="str">
            <v>BURLACU</v>
          </cell>
          <cell r="E224" t="str">
            <v>BURLACU</v>
          </cell>
          <cell r="F224" t="str">
            <v>Ioan</v>
          </cell>
          <cell r="G224">
            <v>0</v>
          </cell>
          <cell r="H224">
            <v>0</v>
          </cell>
          <cell r="I224">
            <v>1</v>
          </cell>
          <cell r="J224">
            <v>39505</v>
          </cell>
          <cell r="K224" t="str">
            <v>11 an(s) 2 mois et 21 jour(s)</v>
          </cell>
          <cell r="L224" t="str">
            <v>Lignieres</v>
          </cell>
          <cell r="M224" t="str">
            <v>Champagne</v>
          </cell>
          <cell r="N224">
            <v>0</v>
          </cell>
        </row>
        <row r="225">
          <cell r="C225" t="str">
            <v>F8-3</v>
          </cell>
          <cell r="D225" t="str">
            <v>BURLACU</v>
          </cell>
          <cell r="E225" t="str">
            <v>BURLACU</v>
          </cell>
          <cell r="F225" t="str">
            <v>Eva</v>
          </cell>
          <cell r="G225">
            <v>0</v>
          </cell>
          <cell r="H225">
            <v>1</v>
          </cell>
          <cell r="I225">
            <v>0</v>
          </cell>
          <cell r="J225">
            <v>40853</v>
          </cell>
          <cell r="K225" t="str">
            <v>7 an(s) 6 mois et 12 jour(s)</v>
          </cell>
          <cell r="L225" t="str">
            <v>Lignieres</v>
          </cell>
          <cell r="M225" t="str">
            <v>Champagne</v>
          </cell>
          <cell r="N225">
            <v>0</v>
          </cell>
        </row>
        <row r="226">
          <cell r="C226" t="str">
            <v>F8-4</v>
          </cell>
          <cell r="D226" t="str">
            <v>BURLACU</v>
          </cell>
          <cell r="E226" t="str">
            <v>BURLACU</v>
          </cell>
          <cell r="F226" t="str">
            <v>Stefan</v>
          </cell>
          <cell r="G226">
            <v>0</v>
          </cell>
          <cell r="H226">
            <v>0</v>
          </cell>
          <cell r="I226">
            <v>1</v>
          </cell>
          <cell r="J226">
            <v>42619</v>
          </cell>
          <cell r="K226" t="str">
            <v>2 an(s) 8 mois et 12 jour(s)</v>
          </cell>
          <cell r="L226" t="str">
            <v>Lignieres</v>
          </cell>
          <cell r="M226" t="str">
            <v>Champagne</v>
          </cell>
          <cell r="N226">
            <v>0</v>
          </cell>
        </row>
        <row r="227">
          <cell r="C227" t="str">
            <v>F90-1</v>
          </cell>
          <cell r="D227" t="str">
            <v>CASTAINGS/LACROIX</v>
          </cell>
          <cell r="E227" t="str">
            <v>LACROIX</v>
          </cell>
          <cell r="F227" t="str">
            <v>Elodie</v>
          </cell>
          <cell r="G227">
            <v>0</v>
          </cell>
          <cell r="H227">
            <v>1</v>
          </cell>
          <cell r="I227">
            <v>0</v>
          </cell>
          <cell r="J227">
            <v>30513</v>
          </cell>
          <cell r="K227" t="str">
            <v>35 an(s) 10 mois et 2 jour(s)</v>
          </cell>
          <cell r="L227" t="str">
            <v>Cognac</v>
          </cell>
          <cell r="M227" t="str">
            <v>Cognac</v>
          </cell>
          <cell r="N227" t="str">
            <v>lacroix.elodie@gmail.com</v>
          </cell>
        </row>
        <row r="228">
          <cell r="C228" t="str">
            <v>F90-2</v>
          </cell>
          <cell r="D228" t="str">
            <v>CASTAINGS/LACROIX</v>
          </cell>
          <cell r="E228" t="str">
            <v>CASTAINGS</v>
          </cell>
          <cell r="F228" t="str">
            <v>Léonard</v>
          </cell>
          <cell r="G228">
            <v>0</v>
          </cell>
          <cell r="H228">
            <v>0</v>
          </cell>
          <cell r="I228">
            <v>1</v>
          </cell>
          <cell r="J228">
            <v>41472</v>
          </cell>
          <cell r="K228" t="str">
            <v>5 an(s) 10 mois et 1 jour(s)</v>
          </cell>
          <cell r="L228" t="str">
            <v>Cognac</v>
          </cell>
          <cell r="M228" t="str">
            <v>Cognac</v>
          </cell>
          <cell r="N228">
            <v>0</v>
          </cell>
        </row>
        <row r="229">
          <cell r="C229" t="str">
            <v>F90-3</v>
          </cell>
          <cell r="D229" t="str">
            <v>CASTAINGS/LACROIX</v>
          </cell>
          <cell r="E229" t="str">
            <v>CASTAINGS</v>
          </cell>
          <cell r="F229" t="str">
            <v>Marilou</v>
          </cell>
          <cell r="G229">
            <v>0</v>
          </cell>
          <cell r="H229">
            <v>1</v>
          </cell>
          <cell r="I229">
            <v>0</v>
          </cell>
          <cell r="J229">
            <v>42277</v>
          </cell>
          <cell r="K229" t="str">
            <v>3 an(s) 7 mois et 18 jour(s)</v>
          </cell>
          <cell r="L229" t="str">
            <v>Cognac</v>
          </cell>
          <cell r="M229" t="str">
            <v>Cognac</v>
          </cell>
          <cell r="N229">
            <v>0</v>
          </cell>
        </row>
        <row r="230">
          <cell r="C230" t="str">
            <v>F110-1</v>
          </cell>
          <cell r="D230" t="str">
            <v>COUSSY/BOIJOUT</v>
          </cell>
          <cell r="E230" t="str">
            <v>BOIJOUT</v>
          </cell>
          <cell r="F230" t="str">
            <v>Delphine</v>
          </cell>
          <cell r="G230">
            <v>0</v>
          </cell>
          <cell r="H230">
            <v>1</v>
          </cell>
          <cell r="I230">
            <v>0</v>
          </cell>
          <cell r="J230">
            <v>31598</v>
          </cell>
          <cell r="K230" t="str">
            <v>32 an(s) 10 mois et 13 jour(s)</v>
          </cell>
          <cell r="L230" t="str">
            <v>JUILLAC-LE-COQ</v>
          </cell>
          <cell r="M230" t="str">
            <v>Champagne</v>
          </cell>
          <cell r="N230" t="str">
            <v>delphine.boijout16@orange.fr</v>
          </cell>
        </row>
        <row r="231">
          <cell r="C231" t="str">
            <v>F110-2</v>
          </cell>
          <cell r="D231" t="str">
            <v>COUSSY/BOIJOUT</v>
          </cell>
          <cell r="E231" t="str">
            <v>COUSSY</v>
          </cell>
          <cell r="F231" t="str">
            <v>Lara</v>
          </cell>
          <cell r="G231">
            <v>0</v>
          </cell>
          <cell r="H231">
            <v>1</v>
          </cell>
          <cell r="I231">
            <v>0</v>
          </cell>
          <cell r="J231">
            <v>39977</v>
          </cell>
          <cell r="K231" t="str">
            <v>9 an(s) 11 mois et 5 jour(s)</v>
          </cell>
          <cell r="L231" t="str">
            <v>JUILLAC-LE-COQ</v>
          </cell>
          <cell r="M231" t="str">
            <v>Champagne</v>
          </cell>
          <cell r="N231">
            <v>0</v>
          </cell>
        </row>
        <row r="232">
          <cell r="C232" t="str">
            <v>F110-3</v>
          </cell>
          <cell r="D232" t="str">
            <v>COUSSY/BOIJOUT</v>
          </cell>
          <cell r="E232" t="str">
            <v>COUSSY</v>
          </cell>
          <cell r="F232" t="str">
            <v>Théo</v>
          </cell>
          <cell r="G232">
            <v>0</v>
          </cell>
          <cell r="H232">
            <v>0</v>
          </cell>
          <cell r="I232">
            <v>1</v>
          </cell>
          <cell r="J232">
            <v>41948</v>
          </cell>
          <cell r="K232" t="str">
            <v>4 an(s) 6 mois et 13 jour(s)</v>
          </cell>
          <cell r="L232" t="str">
            <v>JUILLAC-LE-COQ</v>
          </cell>
          <cell r="M232" t="str">
            <v>Champagne</v>
          </cell>
          <cell r="N232">
            <v>0</v>
          </cell>
        </row>
        <row r="233">
          <cell r="C233" t="str">
            <v>F110-4</v>
          </cell>
          <cell r="D233" t="str">
            <v>COUSSY/BOIJOUT</v>
          </cell>
          <cell r="E233" t="str">
            <v>FILLIOU</v>
          </cell>
          <cell r="F233" t="str">
            <v>Robin</v>
          </cell>
          <cell r="G233">
            <v>0</v>
          </cell>
          <cell r="H233">
            <v>0</v>
          </cell>
          <cell r="I233">
            <v>1</v>
          </cell>
          <cell r="J233">
            <v>42672</v>
          </cell>
          <cell r="K233" t="str">
            <v>2 an(s) 6 mois et 19 jour(s)</v>
          </cell>
          <cell r="L233" t="str">
            <v>JUILLAC-LE-COQ</v>
          </cell>
          <cell r="M233" t="str">
            <v>Champagne</v>
          </cell>
          <cell r="N233">
            <v>0</v>
          </cell>
        </row>
        <row r="234">
          <cell r="C234" t="str">
            <v>F72-1</v>
          </cell>
          <cell r="D234" t="str">
            <v>DEBELLE</v>
          </cell>
          <cell r="E234" t="str">
            <v>DEBELLE</v>
          </cell>
          <cell r="F234" t="str">
            <v>Alexandra</v>
          </cell>
          <cell r="G234">
            <v>0</v>
          </cell>
          <cell r="H234">
            <v>1</v>
          </cell>
          <cell r="I234">
            <v>0</v>
          </cell>
          <cell r="J234">
            <v>30124</v>
          </cell>
          <cell r="K234" t="str">
            <v>36 an(s) 10 mois et 26 jour(s)</v>
          </cell>
          <cell r="L234" t="str">
            <v>Archiac</v>
          </cell>
          <cell r="M234" t="str">
            <v>Hors_Charente</v>
          </cell>
          <cell r="N234" t="str">
            <v>corinnemarc.peyrelade@sfr.fr</v>
          </cell>
        </row>
        <row r="235">
          <cell r="C235" t="str">
            <v>F2-1</v>
          </cell>
          <cell r="D235" t="str">
            <v>DEDEBAN</v>
          </cell>
          <cell r="E235" t="str">
            <v>DEDEBAN</v>
          </cell>
          <cell r="F235" t="str">
            <v>Julie</v>
          </cell>
          <cell r="G235">
            <v>0</v>
          </cell>
          <cell r="H235">
            <v>1</v>
          </cell>
          <cell r="I235">
            <v>0</v>
          </cell>
          <cell r="J235">
            <v>29812</v>
          </cell>
          <cell r="K235" t="str">
            <v>37 an(s) 9 mois et 4 jour(s)</v>
          </cell>
          <cell r="L235" t="str">
            <v>GENTE</v>
          </cell>
          <cell r="M235" t="str">
            <v>Champagne</v>
          </cell>
          <cell r="N235" t="str">
            <v>menard.juju@gmail.com</v>
          </cell>
        </row>
        <row r="236">
          <cell r="C236" t="str">
            <v>F2-2</v>
          </cell>
          <cell r="D236" t="str">
            <v>DEDEBAN</v>
          </cell>
          <cell r="E236" t="str">
            <v>DEDEBAN</v>
          </cell>
          <cell r="F236" t="str">
            <v>Thomas</v>
          </cell>
          <cell r="G236">
            <v>0</v>
          </cell>
          <cell r="H236">
            <v>0</v>
          </cell>
          <cell r="I236">
            <v>1</v>
          </cell>
          <cell r="J236">
            <v>40493</v>
          </cell>
          <cell r="K236" t="str">
            <v>8 an(s) 6 mois et 7 jour(s)</v>
          </cell>
          <cell r="L236" t="str">
            <v>GENTE</v>
          </cell>
          <cell r="M236" t="str">
            <v>Champagne</v>
          </cell>
          <cell r="N236">
            <v>0</v>
          </cell>
        </row>
        <row r="237">
          <cell r="C237" t="str">
            <v>F2-3</v>
          </cell>
          <cell r="D237" t="str">
            <v>DEDEBAN</v>
          </cell>
          <cell r="E237" t="str">
            <v>DEDEBAN</v>
          </cell>
          <cell r="F237" t="str">
            <v>Gabin</v>
          </cell>
          <cell r="G237">
            <v>0</v>
          </cell>
          <cell r="H237">
            <v>0</v>
          </cell>
          <cell r="I237">
            <v>1</v>
          </cell>
          <cell r="J237">
            <v>41761</v>
          </cell>
          <cell r="K237" t="str">
            <v>5 an(s) 0 mois et 16 jour(s)</v>
          </cell>
          <cell r="L237" t="str">
            <v>GENTE</v>
          </cell>
          <cell r="M237" t="str">
            <v>Champagne</v>
          </cell>
          <cell r="N237">
            <v>0</v>
          </cell>
        </row>
        <row r="238">
          <cell r="C238" t="str">
            <v>F70-1</v>
          </cell>
          <cell r="D238" t="str">
            <v>DEFARGE</v>
          </cell>
          <cell r="E238" t="str">
            <v>DEFARGE</v>
          </cell>
          <cell r="F238" t="str">
            <v>Sonia</v>
          </cell>
          <cell r="G238">
            <v>0</v>
          </cell>
          <cell r="H238">
            <v>1</v>
          </cell>
          <cell r="I238">
            <v>0</v>
          </cell>
          <cell r="J238">
            <v>27411</v>
          </cell>
          <cell r="K238" t="str">
            <v>44 an(s) 4 mois et 1 jour(s)</v>
          </cell>
          <cell r="L238" t="str">
            <v>Cognac</v>
          </cell>
          <cell r="M238" t="str">
            <v>Cognac</v>
          </cell>
          <cell r="N238">
            <v>0</v>
          </cell>
        </row>
        <row r="239">
          <cell r="C239" t="str">
            <v>F70-2</v>
          </cell>
          <cell r="D239" t="str">
            <v>DEFARGE</v>
          </cell>
          <cell r="E239" t="str">
            <v>DEFARGE</v>
          </cell>
          <cell r="F239" t="str">
            <v>Maxime</v>
          </cell>
          <cell r="G239">
            <v>0</v>
          </cell>
          <cell r="H239">
            <v>0</v>
          </cell>
          <cell r="I239">
            <v>1</v>
          </cell>
          <cell r="J239">
            <v>39328</v>
          </cell>
          <cell r="K239" t="str">
            <v>11 an(s) 8 mois et 15 jour(s)</v>
          </cell>
          <cell r="L239" t="str">
            <v>Cognac</v>
          </cell>
          <cell r="M239" t="str">
            <v>Cognac</v>
          </cell>
          <cell r="N239">
            <v>0</v>
          </cell>
        </row>
        <row r="240">
          <cell r="C240" t="str">
            <v>F70-3</v>
          </cell>
          <cell r="D240" t="str">
            <v>DEFARGE</v>
          </cell>
          <cell r="E240" t="str">
            <v>DEFARGE</v>
          </cell>
          <cell r="F240" t="str">
            <v>Coraline</v>
          </cell>
          <cell r="G240">
            <v>0</v>
          </cell>
          <cell r="H240">
            <v>1</v>
          </cell>
          <cell r="I240">
            <v>0</v>
          </cell>
          <cell r="J240">
            <v>41450</v>
          </cell>
          <cell r="K240" t="str">
            <v>5 an(s) 10 mois et 23 jour(s)</v>
          </cell>
          <cell r="L240" t="str">
            <v>Cognac</v>
          </cell>
          <cell r="M240" t="str">
            <v>Cognac</v>
          </cell>
          <cell r="N240">
            <v>0</v>
          </cell>
        </row>
        <row r="241">
          <cell r="C241" t="str">
            <v>F70-4</v>
          </cell>
          <cell r="D241" t="str">
            <v>DEFARGE</v>
          </cell>
          <cell r="E241" t="str">
            <v>DEFARGE</v>
          </cell>
          <cell r="F241" t="str">
            <v>Robin</v>
          </cell>
          <cell r="G241">
            <v>0</v>
          </cell>
          <cell r="H241">
            <v>0</v>
          </cell>
          <cell r="I241">
            <v>1</v>
          </cell>
          <cell r="J241">
            <v>42172</v>
          </cell>
          <cell r="K241" t="str">
            <v>3 an(s) 11 mois et 1 jour(s)</v>
          </cell>
          <cell r="L241" t="str">
            <v>Cognac</v>
          </cell>
          <cell r="M241" t="str">
            <v>Cognac</v>
          </cell>
          <cell r="N241" t="str">
            <v>laetitia.b16@hotmail.fr</v>
          </cell>
        </row>
        <row r="242">
          <cell r="C242" t="str">
            <v>F7-1</v>
          </cell>
          <cell r="D242" t="str">
            <v>DELAUNAY</v>
          </cell>
          <cell r="E242" t="str">
            <v>DELAUNAY</v>
          </cell>
          <cell r="F242" t="str">
            <v>Rachel</v>
          </cell>
          <cell r="G242">
            <v>0</v>
          </cell>
          <cell r="H242">
            <v>1</v>
          </cell>
          <cell r="I242">
            <v>0</v>
          </cell>
          <cell r="J242">
            <v>26764</v>
          </cell>
          <cell r="K242" t="str">
            <v>46 an(s) 1 mois et 8 jour(s)</v>
          </cell>
          <cell r="L242" t="str">
            <v>SEGONZAC</v>
          </cell>
          <cell r="M242" t="str">
            <v>Champagne</v>
          </cell>
          <cell r="N242" t="str">
            <v>delaunay.samuel@wanadoo.fr</v>
          </cell>
        </row>
        <row r="243">
          <cell r="C243" t="str">
            <v>F7-3</v>
          </cell>
          <cell r="D243" t="str">
            <v>DELAUNAY</v>
          </cell>
          <cell r="E243" t="str">
            <v>DELAUNAY</v>
          </cell>
          <cell r="F243" t="str">
            <v>Thibaut</v>
          </cell>
          <cell r="G243">
            <v>0</v>
          </cell>
          <cell r="H243">
            <v>0</v>
          </cell>
          <cell r="I243">
            <v>1</v>
          </cell>
          <cell r="J243">
            <v>36915</v>
          </cell>
          <cell r="K243" t="str">
            <v>18 an(s) 3 mois et 24 jour(s)</v>
          </cell>
          <cell r="L243" t="str">
            <v>SEGONZAC</v>
          </cell>
          <cell r="M243" t="str">
            <v>Champagne</v>
          </cell>
          <cell r="N243">
            <v>0</v>
          </cell>
        </row>
        <row r="244">
          <cell r="C244" t="str">
            <v>F7-4</v>
          </cell>
          <cell r="D244" t="str">
            <v>DELAUNAY</v>
          </cell>
          <cell r="E244" t="str">
            <v>DELAUNAY</v>
          </cell>
          <cell r="F244" t="str">
            <v>Alban</v>
          </cell>
          <cell r="G244">
            <v>0</v>
          </cell>
          <cell r="H244">
            <v>0</v>
          </cell>
          <cell r="I244">
            <v>1</v>
          </cell>
          <cell r="J244">
            <v>37886</v>
          </cell>
          <cell r="K244" t="str">
            <v>15 an(s) 7 mois et 26 jour(s)</v>
          </cell>
          <cell r="L244" t="str">
            <v>SEGONZAC</v>
          </cell>
          <cell r="M244" t="str">
            <v>Champagne</v>
          </cell>
          <cell r="N244">
            <v>0</v>
          </cell>
        </row>
        <row r="245">
          <cell r="C245" t="str">
            <v>F7-5</v>
          </cell>
          <cell r="D245" t="str">
            <v>DELAUNAY</v>
          </cell>
          <cell r="E245" t="str">
            <v>DELAUNAY</v>
          </cell>
          <cell r="F245" t="str">
            <v>Titouan</v>
          </cell>
          <cell r="G245">
            <v>0</v>
          </cell>
          <cell r="H245">
            <v>0</v>
          </cell>
          <cell r="I245">
            <v>1</v>
          </cell>
          <cell r="J245">
            <v>39309</v>
          </cell>
          <cell r="K245" t="str">
            <v>11 an(s) 9 mois et 3 jour(s)</v>
          </cell>
          <cell r="L245" t="str">
            <v>SEGONZAC</v>
          </cell>
          <cell r="M245" t="str">
            <v>Champagne</v>
          </cell>
          <cell r="N245">
            <v>0</v>
          </cell>
        </row>
        <row r="246">
          <cell r="C246" t="str">
            <v>F105-1</v>
          </cell>
          <cell r="D246" t="str">
            <v>DERUFFE/FLEURY</v>
          </cell>
          <cell r="E246" t="str">
            <v>FLEURY</v>
          </cell>
          <cell r="F246" t="str">
            <v>Fanny</v>
          </cell>
          <cell r="G246">
            <v>0</v>
          </cell>
          <cell r="H246">
            <v>1</v>
          </cell>
          <cell r="I246">
            <v>0</v>
          </cell>
          <cell r="J246">
            <v>31330</v>
          </cell>
          <cell r="K246" t="str">
            <v>33 an(s) 7 mois et 8 jour(s)</v>
          </cell>
          <cell r="L246" t="str">
            <v>Chateauneuf</v>
          </cell>
          <cell r="M246" t="str">
            <v>Chateauneuf</v>
          </cell>
          <cell r="N246">
            <v>0</v>
          </cell>
        </row>
        <row r="247">
          <cell r="C247" t="str">
            <v>F105-2</v>
          </cell>
          <cell r="D247" t="str">
            <v>DERUFFE/FLEURY</v>
          </cell>
          <cell r="E247" t="str">
            <v>DERUFFE</v>
          </cell>
          <cell r="F247" t="str">
            <v>Johnny</v>
          </cell>
          <cell r="G247">
            <v>0</v>
          </cell>
          <cell r="H247">
            <v>0</v>
          </cell>
          <cell r="I247">
            <v>1</v>
          </cell>
          <cell r="J247">
            <v>27585</v>
          </cell>
          <cell r="K247" t="str">
            <v>43 an(s) 10 mois et 8 jour(s)</v>
          </cell>
          <cell r="L247" t="str">
            <v>Chateauneuf</v>
          </cell>
          <cell r="M247" t="str">
            <v>Chateauneuf</v>
          </cell>
          <cell r="N247">
            <v>0</v>
          </cell>
        </row>
        <row r="248">
          <cell r="C248" t="str">
            <v>F105-3</v>
          </cell>
          <cell r="D248" t="str">
            <v>DERUFFE/FLEURY</v>
          </cell>
          <cell r="E248" t="str">
            <v>DERUFFE</v>
          </cell>
          <cell r="F248" t="str">
            <v>Marilou</v>
          </cell>
          <cell r="G248">
            <v>0</v>
          </cell>
          <cell r="H248">
            <v>1</v>
          </cell>
          <cell r="I248">
            <v>0</v>
          </cell>
          <cell r="J248">
            <v>40532</v>
          </cell>
          <cell r="K248" t="str">
            <v>8 an(s) 4 mois et 28 jour(s)</v>
          </cell>
          <cell r="L248" t="str">
            <v>Chateauneuf</v>
          </cell>
          <cell r="M248" t="str">
            <v>Chateauneuf</v>
          </cell>
          <cell r="N248">
            <v>0</v>
          </cell>
        </row>
        <row r="249">
          <cell r="C249" t="str">
            <v>F105-4</v>
          </cell>
          <cell r="D249" t="str">
            <v>DERUFFE/FLEURY</v>
          </cell>
          <cell r="E249" t="str">
            <v>DERUFFE</v>
          </cell>
          <cell r="F249" t="str">
            <v>Tristan</v>
          </cell>
          <cell r="G249">
            <v>0</v>
          </cell>
          <cell r="H249">
            <v>0</v>
          </cell>
          <cell r="I249">
            <v>1</v>
          </cell>
          <cell r="J249">
            <v>43138</v>
          </cell>
          <cell r="K249" t="str">
            <v>1 an(s) 3 mois et 11 jour(s)</v>
          </cell>
          <cell r="L249" t="str">
            <v>Chateauneuf</v>
          </cell>
          <cell r="M249" t="str">
            <v>Chateauneuf</v>
          </cell>
          <cell r="N249">
            <v>0</v>
          </cell>
        </row>
        <row r="250">
          <cell r="C250" t="str">
            <v>F32-1</v>
          </cell>
          <cell r="D250" t="str">
            <v>DESSET</v>
          </cell>
          <cell r="E250" t="str">
            <v>DESSET</v>
          </cell>
          <cell r="F250" t="str">
            <v>Valeria</v>
          </cell>
          <cell r="G250">
            <v>0</v>
          </cell>
          <cell r="H250">
            <v>1</v>
          </cell>
          <cell r="I250">
            <v>0</v>
          </cell>
          <cell r="J250">
            <v>28507</v>
          </cell>
          <cell r="K250" t="str">
            <v>41 an(s) 4 mois et 1 jour(s)</v>
          </cell>
          <cell r="L250" t="str">
            <v>BOURG-CHARENTE</v>
          </cell>
          <cell r="M250" t="str">
            <v>Jarnac</v>
          </cell>
          <cell r="N250" t="str">
            <v>desset@gmail.com</v>
          </cell>
        </row>
        <row r="251">
          <cell r="C251" t="str">
            <v>F32-2</v>
          </cell>
          <cell r="D251" t="str">
            <v>DESSET</v>
          </cell>
          <cell r="E251" t="str">
            <v>DESSET</v>
          </cell>
          <cell r="F251" t="str">
            <v>Yelena</v>
          </cell>
          <cell r="G251">
            <v>0</v>
          </cell>
          <cell r="H251">
            <v>1</v>
          </cell>
          <cell r="I251">
            <v>0</v>
          </cell>
          <cell r="J251">
            <v>40596</v>
          </cell>
          <cell r="K251" t="str">
            <v>8 an(s) 2 mois et 26 jour(s)</v>
          </cell>
          <cell r="L251" t="str">
            <v>BOURG-CHARENTE</v>
          </cell>
          <cell r="M251" t="str">
            <v>Jarnac</v>
          </cell>
          <cell r="N251">
            <v>0</v>
          </cell>
        </row>
        <row r="252">
          <cell r="C252" t="str">
            <v>F32-3</v>
          </cell>
          <cell r="D252" t="str">
            <v>DESSET</v>
          </cell>
          <cell r="E252" t="str">
            <v>DESSET</v>
          </cell>
          <cell r="F252" t="str">
            <v>Yekaterina</v>
          </cell>
          <cell r="G252">
            <v>0</v>
          </cell>
          <cell r="H252">
            <v>1</v>
          </cell>
          <cell r="I252">
            <v>0</v>
          </cell>
          <cell r="J252">
            <v>41502</v>
          </cell>
          <cell r="K252" t="str">
            <v>5 an(s) 9 mois et 2 jour(s)</v>
          </cell>
          <cell r="L252" t="str">
            <v>BOURG-CHARENTE</v>
          </cell>
          <cell r="M252" t="str">
            <v>Jarnac</v>
          </cell>
          <cell r="N252">
            <v>0</v>
          </cell>
        </row>
        <row r="253">
          <cell r="C253" t="str">
            <v>F32-4</v>
          </cell>
          <cell r="D253" t="str">
            <v>DESSET</v>
          </cell>
          <cell r="E253" t="str">
            <v>MARTINEZ PONCE</v>
          </cell>
          <cell r="F253" t="str">
            <v>Valentina</v>
          </cell>
          <cell r="G253">
            <v>0</v>
          </cell>
          <cell r="H253">
            <v>1</v>
          </cell>
          <cell r="I253">
            <v>0</v>
          </cell>
          <cell r="J253">
            <v>36516</v>
          </cell>
          <cell r="K253" t="str">
            <v>19 an(s) 4 mois et 26 jour(s)</v>
          </cell>
          <cell r="L253" t="str">
            <v>BOURG-CHARENTE</v>
          </cell>
          <cell r="M253" t="str">
            <v>Jarnac</v>
          </cell>
          <cell r="N253">
            <v>0</v>
          </cell>
        </row>
        <row r="254">
          <cell r="C254" t="str">
            <v>F17-1</v>
          </cell>
          <cell r="D254" t="str">
            <v>DROUET/CONTAMINE/FRITSCHY</v>
          </cell>
          <cell r="E254" t="str">
            <v>DROUET</v>
          </cell>
          <cell r="F254" t="str">
            <v>Martine</v>
          </cell>
          <cell r="G254">
            <v>0</v>
          </cell>
          <cell r="H254">
            <v>1</v>
          </cell>
          <cell r="I254">
            <v>0</v>
          </cell>
          <cell r="J254">
            <v>19872</v>
          </cell>
          <cell r="K254" t="str">
            <v>64 an(s) 11 mois et 20 jour(s)</v>
          </cell>
          <cell r="L254" t="str">
            <v>SEGONZAC</v>
          </cell>
          <cell r="M254" t="str">
            <v>Champagne</v>
          </cell>
          <cell r="N254">
            <v>0</v>
          </cell>
        </row>
        <row r="255">
          <cell r="C255" t="str">
            <v>F17-2</v>
          </cell>
          <cell r="D255" t="str">
            <v>DROUET/CONTAMINE/FRITSCHY</v>
          </cell>
          <cell r="E255" t="str">
            <v>CONTAMINE</v>
          </cell>
          <cell r="F255" t="str">
            <v>Virginie</v>
          </cell>
          <cell r="G255">
            <v>0</v>
          </cell>
          <cell r="H255">
            <v>1</v>
          </cell>
          <cell r="I255">
            <v>0</v>
          </cell>
          <cell r="J255">
            <v>28990</v>
          </cell>
          <cell r="K255" t="str">
            <v>40 an(s) 0 mois et 3 jour(s)</v>
          </cell>
          <cell r="L255" t="str">
            <v>SEGONZAC</v>
          </cell>
          <cell r="M255" t="str">
            <v>Champagne</v>
          </cell>
          <cell r="N255">
            <v>0</v>
          </cell>
        </row>
        <row r="256">
          <cell r="C256" t="str">
            <v>F17-3</v>
          </cell>
          <cell r="D256" t="str">
            <v>DROUET/CONTAMINE/FRITSCHY</v>
          </cell>
          <cell r="E256" t="str">
            <v>CONTAMINE</v>
          </cell>
          <cell r="F256" t="str">
            <v>Arthur</v>
          </cell>
          <cell r="G256">
            <v>0</v>
          </cell>
          <cell r="H256">
            <v>0</v>
          </cell>
          <cell r="I256">
            <v>1</v>
          </cell>
          <cell r="J256">
            <v>39471</v>
          </cell>
          <cell r="K256" t="str">
            <v>11 an(s) 3 mois et 24 jour(s)</v>
          </cell>
          <cell r="L256" t="str">
            <v>SEGONZAC</v>
          </cell>
          <cell r="M256" t="str">
            <v>Champagne</v>
          </cell>
          <cell r="N256">
            <v>0</v>
          </cell>
        </row>
        <row r="257">
          <cell r="C257" t="str">
            <v>F17-4</v>
          </cell>
          <cell r="D257" t="str">
            <v>DROUET/CONTAMINE/FRITSCHY</v>
          </cell>
          <cell r="E257" t="str">
            <v>CONTAMINE</v>
          </cell>
          <cell r="F257" t="str">
            <v>Maxime</v>
          </cell>
          <cell r="G257">
            <v>0</v>
          </cell>
          <cell r="H257">
            <v>0</v>
          </cell>
          <cell r="I257">
            <v>1</v>
          </cell>
          <cell r="J257">
            <v>40310</v>
          </cell>
          <cell r="K257" t="str">
            <v>9 an(s) 0 mois et 6 jour(s)</v>
          </cell>
          <cell r="L257" t="str">
            <v>SEGONZAC</v>
          </cell>
          <cell r="M257" t="str">
            <v>Champagne</v>
          </cell>
          <cell r="N257">
            <v>0</v>
          </cell>
        </row>
        <row r="258">
          <cell r="C258" t="str">
            <v>F17-5</v>
          </cell>
          <cell r="D258" t="str">
            <v>DROUET/CONTAMINE/FRITSCHY</v>
          </cell>
          <cell r="E258" t="str">
            <v>FRITSCHY</v>
          </cell>
          <cell r="F258" t="str">
            <v>Axelle</v>
          </cell>
          <cell r="G258">
            <v>0</v>
          </cell>
          <cell r="H258">
            <v>1</v>
          </cell>
          <cell r="I258">
            <v>0</v>
          </cell>
          <cell r="J258">
            <v>40841</v>
          </cell>
          <cell r="K258" t="str">
            <v>7 an(s) 6 mois et 23 jour(s)</v>
          </cell>
          <cell r="L258" t="str">
            <v>SEGONZAC</v>
          </cell>
          <cell r="M258" t="str">
            <v>Champagne</v>
          </cell>
          <cell r="N258">
            <v>0</v>
          </cell>
        </row>
        <row r="259">
          <cell r="C259" t="str">
            <v>F17-6</v>
          </cell>
          <cell r="D259" t="str">
            <v>DROUET/CONTAMINE/FRITSCHY</v>
          </cell>
          <cell r="E259" t="str">
            <v>FRITSCHY</v>
          </cell>
          <cell r="F259" t="str">
            <v>Gabin</v>
          </cell>
          <cell r="G259">
            <v>0</v>
          </cell>
          <cell r="H259">
            <v>0</v>
          </cell>
          <cell r="I259">
            <v>1</v>
          </cell>
          <cell r="J259">
            <v>41591</v>
          </cell>
          <cell r="K259" t="str">
            <v>5 an(s) 6 mois et 5 jour(s)</v>
          </cell>
          <cell r="L259" t="str">
            <v>SEGONZAC</v>
          </cell>
          <cell r="M259" t="str">
            <v>Champagne</v>
          </cell>
          <cell r="N259">
            <v>0</v>
          </cell>
        </row>
        <row r="260">
          <cell r="C260" t="str">
            <v>F17-7</v>
          </cell>
          <cell r="D260" t="str">
            <v>DROUET/CONTAMINE/FRITSCHY</v>
          </cell>
          <cell r="E260" t="str">
            <v>FRITSCHY</v>
          </cell>
          <cell r="F260" t="str">
            <v>Jules</v>
          </cell>
          <cell r="G260">
            <v>0</v>
          </cell>
          <cell r="H260">
            <v>0</v>
          </cell>
          <cell r="I260">
            <v>1</v>
          </cell>
          <cell r="J260">
            <v>42796</v>
          </cell>
          <cell r="K260" t="str">
            <v>2 an(s) 2 mois et 16 jour(s)</v>
          </cell>
          <cell r="L260" t="str">
            <v>SEGONZAC</v>
          </cell>
          <cell r="M260" t="str">
            <v>Champagne</v>
          </cell>
          <cell r="N260">
            <v>0</v>
          </cell>
        </row>
        <row r="261">
          <cell r="C261" t="str">
            <v>F17-8</v>
          </cell>
          <cell r="D261" t="str">
            <v>DROUET/CONTAMINE/FRITSCHY</v>
          </cell>
          <cell r="E261" t="str">
            <v>FRITSCHY</v>
          </cell>
          <cell r="F261" t="str">
            <v>Mylène</v>
          </cell>
          <cell r="G261">
            <v>0</v>
          </cell>
          <cell r="H261">
            <v>1</v>
          </cell>
          <cell r="I261">
            <v>0</v>
          </cell>
          <cell r="J261">
            <v>30373</v>
          </cell>
          <cell r="K261" t="str">
            <v>36 an(s) 2 mois et 22 jour(s)</v>
          </cell>
          <cell r="L261" t="str">
            <v>SEGONZAC</v>
          </cell>
          <cell r="M261" t="str">
            <v>Champagne</v>
          </cell>
          <cell r="N261">
            <v>0</v>
          </cell>
        </row>
        <row r="262">
          <cell r="C262" t="str">
            <v>F19-1</v>
          </cell>
          <cell r="D262" t="str">
            <v>DUFFAU_LAGAROSSE</v>
          </cell>
          <cell r="E262" t="str">
            <v>GARCIA</v>
          </cell>
          <cell r="F262" t="str">
            <v>Stéphanie</v>
          </cell>
          <cell r="G262">
            <v>0</v>
          </cell>
          <cell r="H262">
            <v>1</v>
          </cell>
          <cell r="I262">
            <v>0</v>
          </cell>
          <cell r="J262">
            <v>30715</v>
          </cell>
          <cell r="K262" t="str">
            <v>35 an(s) 3 mois et 15 jour(s)</v>
          </cell>
          <cell r="L262" t="str">
            <v>GENSAC LA PALLUE</v>
          </cell>
          <cell r="M262" t="str">
            <v>Champagne</v>
          </cell>
          <cell r="N262" t="str">
            <v>s.marina.garcia@gmail.com</v>
          </cell>
        </row>
        <row r="263">
          <cell r="C263" t="str">
            <v>F19-2</v>
          </cell>
          <cell r="D263" t="str">
            <v>DUFFAU_LAGAROSSE</v>
          </cell>
          <cell r="E263" t="str">
            <v>DUFFAU_LAGAROSSE</v>
          </cell>
          <cell r="F263" t="str">
            <v>Jean</v>
          </cell>
          <cell r="G263">
            <v>0</v>
          </cell>
          <cell r="H263">
            <v>0</v>
          </cell>
          <cell r="I263">
            <v>1</v>
          </cell>
          <cell r="J263">
            <v>41861</v>
          </cell>
          <cell r="K263" t="str">
            <v>4 an(s) 9 mois et 8 jour(s)</v>
          </cell>
          <cell r="L263" t="str">
            <v>GENSAC LA PALLUE</v>
          </cell>
          <cell r="M263" t="str">
            <v>Champagne</v>
          </cell>
          <cell r="N263">
            <v>0</v>
          </cell>
        </row>
        <row r="264">
          <cell r="C264" t="str">
            <v>F19-3</v>
          </cell>
          <cell r="D264" t="str">
            <v>DUFFAU_LAGAROSSE</v>
          </cell>
          <cell r="E264" t="str">
            <v>DUFFAU_LAGAROSSE</v>
          </cell>
          <cell r="F264" t="str">
            <v>Clovis</v>
          </cell>
          <cell r="G264">
            <v>0</v>
          </cell>
          <cell r="H264">
            <v>0</v>
          </cell>
          <cell r="I264">
            <v>1</v>
          </cell>
          <cell r="J264">
            <v>42693</v>
          </cell>
          <cell r="K264" t="str">
            <v>2 an(s) 5 mois et 29 jour(s)</v>
          </cell>
          <cell r="L264" t="str">
            <v>GENSAC LA PALLUE</v>
          </cell>
          <cell r="M264" t="str">
            <v>Champagne</v>
          </cell>
          <cell r="N264">
            <v>0</v>
          </cell>
        </row>
        <row r="265">
          <cell r="C265" t="str">
            <v>F126-1</v>
          </cell>
          <cell r="D265" t="str">
            <v>DUMONS</v>
          </cell>
          <cell r="E265" t="str">
            <v>DUMONS</v>
          </cell>
          <cell r="F265" t="str">
            <v>Emilie</v>
          </cell>
          <cell r="G265">
            <v>0</v>
          </cell>
          <cell r="H265">
            <v>1</v>
          </cell>
          <cell r="I265">
            <v>0</v>
          </cell>
          <cell r="J265">
            <v>31302</v>
          </cell>
          <cell r="K265" t="str">
            <v>33 an(s) 8 mois et 6 jour(s)</v>
          </cell>
          <cell r="L265" t="str">
            <v>Juillac</v>
          </cell>
          <cell r="M265" t="str">
            <v>Champagne</v>
          </cell>
          <cell r="N265" t="str">
            <v>emilie0715@gmail.com</v>
          </cell>
        </row>
        <row r="266">
          <cell r="C266" t="str">
            <v>F126-2</v>
          </cell>
          <cell r="D266" t="str">
            <v>DUMONS</v>
          </cell>
          <cell r="E266" t="str">
            <v>DUMONS</v>
          </cell>
          <cell r="F266" t="str">
            <v>Maé</v>
          </cell>
          <cell r="G266">
            <v>0</v>
          </cell>
          <cell r="H266">
            <v>0</v>
          </cell>
          <cell r="I266">
            <v>1</v>
          </cell>
          <cell r="J266">
            <v>40305</v>
          </cell>
          <cell r="K266" t="str">
            <v>9 an(s) 0 mois et 11 jour(s)</v>
          </cell>
          <cell r="L266" t="str">
            <v>Juillac</v>
          </cell>
          <cell r="M266" t="str">
            <v>Champagne</v>
          </cell>
          <cell r="N266">
            <v>0</v>
          </cell>
        </row>
        <row r="267">
          <cell r="C267" t="str">
            <v>F126-3</v>
          </cell>
          <cell r="D267" t="str">
            <v>DUMONS</v>
          </cell>
          <cell r="E267" t="str">
            <v>DUMONS</v>
          </cell>
          <cell r="F267" t="str">
            <v>Nolan</v>
          </cell>
          <cell r="G267">
            <v>0</v>
          </cell>
          <cell r="H267">
            <v>0</v>
          </cell>
          <cell r="I267">
            <v>1</v>
          </cell>
          <cell r="J267">
            <v>40998</v>
          </cell>
          <cell r="K267" t="str">
            <v>7 an(s) 1 mois et 18 jour(s)</v>
          </cell>
          <cell r="L267" t="str">
            <v>Juillac</v>
          </cell>
          <cell r="M267" t="str">
            <v>Champagne</v>
          </cell>
          <cell r="N267">
            <v>0</v>
          </cell>
        </row>
        <row r="268">
          <cell r="C268" t="str">
            <v>F48-1</v>
          </cell>
          <cell r="D268" t="str">
            <v>DUMONT/MALICHIER</v>
          </cell>
          <cell r="E268" t="str">
            <v>MALICHIER</v>
          </cell>
          <cell r="F268" t="str">
            <v>Karen</v>
          </cell>
          <cell r="G268">
            <v>0</v>
          </cell>
          <cell r="H268">
            <v>1</v>
          </cell>
          <cell r="I268">
            <v>0</v>
          </cell>
          <cell r="J268">
            <v>28243</v>
          </cell>
          <cell r="K268" t="str">
            <v>42 an(s) 0 mois et 20 jour(s)</v>
          </cell>
          <cell r="L268" t="str">
            <v>SEGONZAC</v>
          </cell>
          <cell r="M268" t="str">
            <v>Champagne</v>
          </cell>
          <cell r="N268" t="str">
            <v>k.malichier@free.fr</v>
          </cell>
        </row>
        <row r="269">
          <cell r="C269" t="str">
            <v>F48-2</v>
          </cell>
          <cell r="D269" t="str">
            <v>DUMONT/MALICHIER</v>
          </cell>
          <cell r="E269" t="str">
            <v>DUMONT</v>
          </cell>
          <cell r="F269" t="str">
            <v>Alban</v>
          </cell>
          <cell r="G269">
            <v>0</v>
          </cell>
          <cell r="H269">
            <v>0</v>
          </cell>
          <cell r="I269">
            <v>1</v>
          </cell>
          <cell r="J269">
            <v>41125</v>
          </cell>
          <cell r="K269" t="str">
            <v>6 an(s) 9 mois et 14 jour(s)</v>
          </cell>
          <cell r="L269" t="str">
            <v>SEGONZAC</v>
          </cell>
          <cell r="M269" t="str">
            <v>Champagne</v>
          </cell>
          <cell r="N269">
            <v>0</v>
          </cell>
        </row>
        <row r="270">
          <cell r="C270" t="str">
            <v>F48-3</v>
          </cell>
          <cell r="D270" t="str">
            <v>DUMONT/MALICHIER</v>
          </cell>
          <cell r="E270" t="str">
            <v>DUMONT</v>
          </cell>
          <cell r="F270" t="str">
            <v>Christophe</v>
          </cell>
          <cell r="G270">
            <v>0</v>
          </cell>
          <cell r="H270">
            <v>0</v>
          </cell>
          <cell r="I270">
            <v>1</v>
          </cell>
          <cell r="J270">
            <v>27433</v>
          </cell>
          <cell r="K270" t="str">
            <v>44 an(s) 3 mois et 10 jour(s)</v>
          </cell>
          <cell r="L270" t="str">
            <v>SEGONZAC</v>
          </cell>
          <cell r="M270" t="str">
            <v>Champagne</v>
          </cell>
          <cell r="N270">
            <v>0</v>
          </cell>
        </row>
        <row r="271">
          <cell r="C271" t="str">
            <v>F34-1</v>
          </cell>
          <cell r="D271" t="str">
            <v>EYMARD/LEHOUX</v>
          </cell>
          <cell r="E271" t="str">
            <v>EYMARD</v>
          </cell>
          <cell r="F271" t="str">
            <v>Paul</v>
          </cell>
          <cell r="G271">
            <v>0</v>
          </cell>
          <cell r="H271">
            <v>0</v>
          </cell>
          <cell r="I271">
            <v>1</v>
          </cell>
          <cell r="J271">
            <v>30171</v>
          </cell>
          <cell r="K271" t="str">
            <v>36 an(s) 9 mois et 10 jour(s)</v>
          </cell>
          <cell r="L271" t="str">
            <v>SEGONZAC</v>
          </cell>
          <cell r="M271" t="str">
            <v>Champagne</v>
          </cell>
          <cell r="N271" t="str">
            <v>pauloazur@hotmail.fr</v>
          </cell>
        </row>
        <row r="272">
          <cell r="C272" t="str">
            <v>F34-2</v>
          </cell>
          <cell r="D272" t="str">
            <v>EYMARD/LEHOUX</v>
          </cell>
          <cell r="E272" t="str">
            <v>LEHOUX</v>
          </cell>
          <cell r="F272" t="str">
            <v>Mélanie</v>
          </cell>
          <cell r="G272">
            <v>0</v>
          </cell>
          <cell r="H272">
            <v>1</v>
          </cell>
          <cell r="I272">
            <v>0</v>
          </cell>
          <cell r="J272">
            <v>29361</v>
          </cell>
          <cell r="K272" t="str">
            <v>38 an(s) 11 mois et 28 jour(s)</v>
          </cell>
          <cell r="L272" t="str">
            <v>SEGONZAC</v>
          </cell>
          <cell r="M272" t="str">
            <v>Champagne</v>
          </cell>
          <cell r="N272">
            <v>0</v>
          </cell>
        </row>
        <row r="273">
          <cell r="C273" t="str">
            <v>F34-3</v>
          </cell>
          <cell r="D273" t="str">
            <v>EYMARD/LEHOUX</v>
          </cell>
          <cell r="E273" t="str">
            <v>EYMARD</v>
          </cell>
          <cell r="F273" t="str">
            <v>Léo</v>
          </cell>
          <cell r="G273">
            <v>0</v>
          </cell>
          <cell r="H273">
            <v>0</v>
          </cell>
          <cell r="I273">
            <v>1</v>
          </cell>
          <cell r="J273">
            <v>41196</v>
          </cell>
          <cell r="K273" t="str">
            <v>6 an(s) 7 mois et 4 jour(s)</v>
          </cell>
          <cell r="L273" t="str">
            <v>SEGONZAC</v>
          </cell>
          <cell r="M273" t="str">
            <v>Champagne</v>
          </cell>
          <cell r="N273">
            <v>0</v>
          </cell>
        </row>
        <row r="274">
          <cell r="C274" t="str">
            <v>F34-4</v>
          </cell>
          <cell r="D274" t="str">
            <v>EYMARD/LEHOUX</v>
          </cell>
          <cell r="E274" t="str">
            <v>EYMARD</v>
          </cell>
          <cell r="F274" t="str">
            <v>Victoire</v>
          </cell>
          <cell r="G274">
            <v>0</v>
          </cell>
          <cell r="H274">
            <v>1</v>
          </cell>
          <cell r="I274">
            <v>0</v>
          </cell>
          <cell r="J274">
            <v>41603</v>
          </cell>
          <cell r="K274" t="str">
            <v>5 an(s) 5 mois et 23 jour(s)</v>
          </cell>
          <cell r="L274" t="str">
            <v>SEGONZAC</v>
          </cell>
          <cell r="M274" t="str">
            <v>Champagne</v>
          </cell>
          <cell r="N274">
            <v>0</v>
          </cell>
        </row>
        <row r="275">
          <cell r="C275" t="str">
            <v>F34-5</v>
          </cell>
          <cell r="D275" t="str">
            <v>EYMARD/LEHOUX</v>
          </cell>
          <cell r="E275" t="str">
            <v>EYMARD</v>
          </cell>
          <cell r="F275" t="str">
            <v>Chantal</v>
          </cell>
          <cell r="G275">
            <v>0</v>
          </cell>
          <cell r="H275">
            <v>1</v>
          </cell>
          <cell r="I275">
            <v>0</v>
          </cell>
          <cell r="J275">
            <v>21285</v>
          </cell>
          <cell r="K275" t="str">
            <v>61 an(s) 1 mois et 8 jour(s)</v>
          </cell>
          <cell r="L275" t="str">
            <v>SEGONZAC</v>
          </cell>
          <cell r="M275" t="str">
            <v>Champagne</v>
          </cell>
          <cell r="N275">
            <v>0</v>
          </cell>
        </row>
        <row r="276">
          <cell r="C276" t="str">
            <v>F34-6</v>
          </cell>
          <cell r="D276" t="str">
            <v>EYMARD/LEHOUX</v>
          </cell>
          <cell r="E276" t="str">
            <v>EYMARD</v>
          </cell>
          <cell r="F276" t="str">
            <v>Marius</v>
          </cell>
          <cell r="G276">
            <v>0</v>
          </cell>
          <cell r="H276">
            <v>0</v>
          </cell>
          <cell r="I276">
            <v>1</v>
          </cell>
          <cell r="J276">
            <v>43320</v>
          </cell>
          <cell r="K276" t="str">
            <v>0 an(s) 9 mois et 10 jour(s)</v>
          </cell>
          <cell r="L276" t="str">
            <v>SEGONZAC</v>
          </cell>
          <cell r="M276" t="str">
            <v>Champagne</v>
          </cell>
          <cell r="N276">
            <v>0</v>
          </cell>
        </row>
        <row r="277">
          <cell r="C277" t="str">
            <v>F1-2</v>
          </cell>
          <cell r="D277" t="str">
            <v>FORSANS</v>
          </cell>
          <cell r="E277" t="str">
            <v>FORSANS</v>
          </cell>
          <cell r="F277" t="str">
            <v>Bastien</v>
          </cell>
          <cell r="G277">
            <v>0</v>
          </cell>
          <cell r="H277">
            <v>0</v>
          </cell>
          <cell r="I277">
            <v>1</v>
          </cell>
          <cell r="J277">
            <v>30707</v>
          </cell>
          <cell r="K277" t="str">
            <v>35 an(s) 3 mois et 22 jour(s)</v>
          </cell>
          <cell r="L277" t="str">
            <v>ST-meme</v>
          </cell>
          <cell r="M277" t="str">
            <v>Jarnac</v>
          </cell>
          <cell r="N277">
            <v>0</v>
          </cell>
        </row>
        <row r="278">
          <cell r="C278" t="str">
            <v>F1-1</v>
          </cell>
          <cell r="D278" t="str">
            <v>FORSANS/MICHENAUD</v>
          </cell>
          <cell r="E278" t="str">
            <v>MICHENAUD</v>
          </cell>
          <cell r="F278" t="str">
            <v>Gaelle</v>
          </cell>
          <cell r="G278">
            <v>0</v>
          </cell>
          <cell r="H278">
            <v>1</v>
          </cell>
          <cell r="I278">
            <v>0</v>
          </cell>
          <cell r="J278">
            <v>31372</v>
          </cell>
          <cell r="K278" t="str">
            <v>33 an(s) 5 mois et 27 jour(s)</v>
          </cell>
          <cell r="L278" t="str">
            <v>ST-meme</v>
          </cell>
          <cell r="M278" t="str">
            <v>Jarnac</v>
          </cell>
          <cell r="N278" t="str">
            <v>michenaud.gaelle@gmail.com</v>
          </cell>
        </row>
        <row r="279">
          <cell r="C279" t="str">
            <v>F1-3</v>
          </cell>
          <cell r="D279" t="str">
            <v>FORSANS/MICHENAUD</v>
          </cell>
          <cell r="E279" t="str">
            <v>FORSANS</v>
          </cell>
          <cell r="F279" t="str">
            <v>Fanny</v>
          </cell>
          <cell r="G279">
            <v>0</v>
          </cell>
          <cell r="H279">
            <v>1</v>
          </cell>
          <cell r="I279">
            <v>0</v>
          </cell>
          <cell r="J279">
            <v>41216</v>
          </cell>
          <cell r="K279" t="str">
            <v>6 an(s) 6 mois et 15 jour(s)</v>
          </cell>
          <cell r="L279" t="str">
            <v>ST-meme</v>
          </cell>
          <cell r="M279" t="str">
            <v>Jarnac</v>
          </cell>
          <cell r="N279">
            <v>0</v>
          </cell>
        </row>
        <row r="280">
          <cell r="C280" t="str">
            <v>F113-1</v>
          </cell>
          <cell r="D280" t="str">
            <v>GABORIT-TRIJOL</v>
          </cell>
          <cell r="E280" t="str">
            <v>TRIJOL</v>
          </cell>
          <cell r="F280" t="str">
            <v>Alexandra</v>
          </cell>
          <cell r="G280">
            <v>0</v>
          </cell>
          <cell r="H280">
            <v>1</v>
          </cell>
          <cell r="I280">
            <v>0</v>
          </cell>
          <cell r="J280">
            <v>30766</v>
          </cell>
          <cell r="K280" t="str">
            <v>35 an(s) 1 mois et 23 jour(s)</v>
          </cell>
          <cell r="L280" t="str">
            <v>Mainxe</v>
          </cell>
          <cell r="M280" t="str">
            <v>Jarnac</v>
          </cell>
          <cell r="N280" t="str">
            <v>trijolalexandra@yahoo.fr</v>
          </cell>
        </row>
        <row r="281">
          <cell r="C281" t="str">
            <v>F113-2</v>
          </cell>
          <cell r="D281" t="str">
            <v>GABORIT-TRIJOL</v>
          </cell>
          <cell r="E281" t="str">
            <v>GABORIT</v>
          </cell>
          <cell r="F281" t="str">
            <v>Sylvain</v>
          </cell>
          <cell r="G281">
            <v>0</v>
          </cell>
          <cell r="H281">
            <v>0</v>
          </cell>
          <cell r="I281">
            <v>1</v>
          </cell>
          <cell r="J281">
            <v>31045</v>
          </cell>
          <cell r="K281" t="str">
            <v>34 an(s) 4 mois et 19 jour(s)</v>
          </cell>
          <cell r="L281" t="str">
            <v>Mainxe</v>
          </cell>
          <cell r="M281" t="str">
            <v>Jarnac</v>
          </cell>
          <cell r="N281">
            <v>0</v>
          </cell>
        </row>
        <row r="282">
          <cell r="C282" t="str">
            <v>F113-3</v>
          </cell>
          <cell r="D282" t="str">
            <v>GABORIT-TRIJOL</v>
          </cell>
          <cell r="E282" t="str">
            <v>GABORIT-TRIJOL</v>
          </cell>
          <cell r="F282" t="str">
            <v>Marceau</v>
          </cell>
          <cell r="G282">
            <v>0</v>
          </cell>
          <cell r="H282">
            <v>0</v>
          </cell>
          <cell r="I282">
            <v>1</v>
          </cell>
          <cell r="J282">
            <v>43002</v>
          </cell>
          <cell r="K282" t="str">
            <v>1 an(s) 7 mois et 24 jour(s)</v>
          </cell>
          <cell r="L282" t="str">
            <v>Mainxe</v>
          </cell>
          <cell r="M282" t="str">
            <v>Jarnac</v>
          </cell>
          <cell r="N282">
            <v>0</v>
          </cell>
        </row>
        <row r="283">
          <cell r="C283" t="str">
            <v>F113-4</v>
          </cell>
          <cell r="D283" t="str">
            <v>GABORIT-TRIJOL</v>
          </cell>
          <cell r="E283" t="str">
            <v>GABORIT ROBREAU</v>
          </cell>
          <cell r="F283" t="str">
            <v>Sylvie</v>
          </cell>
          <cell r="G283">
            <v>0</v>
          </cell>
          <cell r="H283">
            <v>1</v>
          </cell>
          <cell r="I283">
            <v>0</v>
          </cell>
          <cell r="J283">
            <v>20290</v>
          </cell>
          <cell r="K283" t="str">
            <v>63 an(s) 9 mois et 28 jour(s)</v>
          </cell>
          <cell r="L283" t="str">
            <v>Mainxe</v>
          </cell>
          <cell r="M283" t="str">
            <v>Jarnac</v>
          </cell>
          <cell r="N283">
            <v>0</v>
          </cell>
        </row>
        <row r="284">
          <cell r="C284" t="str">
            <v>F113-5</v>
          </cell>
          <cell r="D284" t="str">
            <v>GABORIT-TRIJOL</v>
          </cell>
          <cell r="E284" t="str">
            <v>Trijol</v>
          </cell>
          <cell r="F284" t="str">
            <v>Isabelle</v>
          </cell>
          <cell r="G284">
            <v>0</v>
          </cell>
          <cell r="H284">
            <v>1</v>
          </cell>
          <cell r="I284">
            <v>0</v>
          </cell>
          <cell r="J284">
            <v>19911</v>
          </cell>
          <cell r="K284" t="str">
            <v>64 an(s) 10 mois et 12 jour(s)</v>
          </cell>
          <cell r="L284" t="str">
            <v>Mainxe</v>
          </cell>
          <cell r="M284" t="str">
            <v>Jarnac</v>
          </cell>
          <cell r="N284">
            <v>0</v>
          </cell>
        </row>
        <row r="285">
          <cell r="C285" t="str">
            <v>F129-1</v>
          </cell>
          <cell r="D285" t="str">
            <v>GAY-PARTOUCHE</v>
          </cell>
          <cell r="E285" t="str">
            <v>GAY</v>
          </cell>
          <cell r="F285" t="str">
            <v>Joséphine</v>
          </cell>
          <cell r="G285">
            <v>0</v>
          </cell>
          <cell r="H285">
            <v>1</v>
          </cell>
          <cell r="I285">
            <v>0</v>
          </cell>
          <cell r="J285">
            <v>33106</v>
          </cell>
          <cell r="K285" t="str">
            <v>28 an(s) 8 mois et 27 jour(s)</v>
          </cell>
          <cell r="L285">
            <v>0</v>
          </cell>
          <cell r="M285" t="str">
            <v>Cognac</v>
          </cell>
          <cell r="N285" t="str">
            <v>josephine.gay@hotmail.fr</v>
          </cell>
        </row>
        <row r="286">
          <cell r="C286" t="str">
            <v>F129-2</v>
          </cell>
          <cell r="D286" t="str">
            <v>GAY-PARTOUCHE</v>
          </cell>
          <cell r="E286" t="str">
            <v>PARTOUCHE</v>
          </cell>
          <cell r="F286" t="str">
            <v>Pascal</v>
          </cell>
          <cell r="G286">
            <v>0</v>
          </cell>
          <cell r="H286">
            <v>0</v>
          </cell>
          <cell r="I286">
            <v>1</v>
          </cell>
          <cell r="J286">
            <v>32225</v>
          </cell>
          <cell r="K286" t="str">
            <v>31 an(s) 1 mois et 25 jour(s)</v>
          </cell>
          <cell r="L286">
            <v>0</v>
          </cell>
          <cell r="M286" t="str">
            <v>Cognac</v>
          </cell>
          <cell r="N286">
            <v>0</v>
          </cell>
        </row>
        <row r="287">
          <cell r="C287" t="str">
            <v>F129-3</v>
          </cell>
          <cell r="D287" t="str">
            <v>GAY-PARTOUCHE</v>
          </cell>
          <cell r="E287" t="str">
            <v>GAY-PARTOUCHE</v>
          </cell>
          <cell r="F287" t="str">
            <v>Lilas</v>
          </cell>
          <cell r="G287">
            <v>0</v>
          </cell>
          <cell r="H287">
            <v>1</v>
          </cell>
          <cell r="I287">
            <v>0</v>
          </cell>
          <cell r="J287">
            <v>42847</v>
          </cell>
          <cell r="K287" t="str">
            <v>2 an(s) 0 mois et 26 jour(s)</v>
          </cell>
          <cell r="L287">
            <v>0</v>
          </cell>
          <cell r="M287" t="str">
            <v>Cognac</v>
          </cell>
          <cell r="N287">
            <v>0</v>
          </cell>
        </row>
        <row r="288">
          <cell r="C288" t="str">
            <v>F68-1</v>
          </cell>
          <cell r="D288" t="str">
            <v>GUERARD/REDEUIL</v>
          </cell>
          <cell r="E288" t="str">
            <v>REDEUIL</v>
          </cell>
          <cell r="F288" t="str">
            <v>Florence</v>
          </cell>
          <cell r="G288">
            <v>0</v>
          </cell>
          <cell r="H288">
            <v>1</v>
          </cell>
          <cell r="I288">
            <v>0</v>
          </cell>
          <cell r="J288">
            <v>23515</v>
          </cell>
          <cell r="K288" t="str">
            <v>55 an(s) 0 mois et 0 jour(s)</v>
          </cell>
          <cell r="L288" t="str">
            <v>SEGONZAC</v>
          </cell>
          <cell r="M288" t="str">
            <v>Champagne</v>
          </cell>
          <cell r="N288" t="str">
            <v>florencerepallaredeuil@orange.fr</v>
          </cell>
        </row>
        <row r="289">
          <cell r="C289" t="str">
            <v>F68-2</v>
          </cell>
          <cell r="D289" t="str">
            <v>GUERARD/REDEUIL</v>
          </cell>
          <cell r="E289" t="str">
            <v>GUERARD</v>
          </cell>
          <cell r="F289" t="str">
            <v>Madeleine</v>
          </cell>
          <cell r="G289">
            <v>0</v>
          </cell>
          <cell r="H289">
            <v>1</v>
          </cell>
          <cell r="I289">
            <v>0</v>
          </cell>
          <cell r="J289">
            <v>42882</v>
          </cell>
          <cell r="K289" t="str">
            <v>1 an(s) 11 mois et 21 jour(s)</v>
          </cell>
          <cell r="L289" t="str">
            <v>SEGONZAC</v>
          </cell>
          <cell r="M289" t="str">
            <v>Champagne</v>
          </cell>
          <cell r="N289">
            <v>0</v>
          </cell>
        </row>
        <row r="290">
          <cell r="C290" t="str">
            <v>F95-1</v>
          </cell>
          <cell r="D290" t="str">
            <v>GUIGNOUARD/JOLY</v>
          </cell>
          <cell r="E290" t="str">
            <v>JOLY</v>
          </cell>
          <cell r="F290" t="str">
            <v>Marthe</v>
          </cell>
          <cell r="G290">
            <v>0</v>
          </cell>
          <cell r="H290">
            <v>1</v>
          </cell>
          <cell r="I290">
            <v>0</v>
          </cell>
          <cell r="J290">
            <v>30519</v>
          </cell>
          <cell r="K290" t="str">
            <v>35 an(s) 9 mois et 26 jour(s)</v>
          </cell>
          <cell r="L290" t="str">
            <v>Genté</v>
          </cell>
          <cell r="M290" t="str">
            <v>Champagne</v>
          </cell>
          <cell r="N290" t="str">
            <v>jolymarthe16@gmail.com</v>
          </cell>
        </row>
        <row r="291">
          <cell r="C291" t="str">
            <v>F95-2</v>
          </cell>
          <cell r="D291" t="str">
            <v>GUIGNOUARD/JOLY</v>
          </cell>
          <cell r="E291" t="str">
            <v>GUIGNOUARD</v>
          </cell>
          <cell r="F291" t="str">
            <v>Augustin</v>
          </cell>
          <cell r="G291">
            <v>0</v>
          </cell>
          <cell r="H291">
            <v>0</v>
          </cell>
          <cell r="I291">
            <v>1</v>
          </cell>
          <cell r="J291">
            <v>41916</v>
          </cell>
          <cell r="K291" t="str">
            <v>4 an(s) 7 mois et 14 jour(s)</v>
          </cell>
          <cell r="L291" t="str">
            <v>Genté</v>
          </cell>
          <cell r="M291" t="str">
            <v>Champagne</v>
          </cell>
          <cell r="N291">
            <v>0</v>
          </cell>
        </row>
        <row r="292">
          <cell r="C292" t="str">
            <v>F95-3</v>
          </cell>
          <cell r="D292" t="str">
            <v>GUIGNOUARD/JOLY</v>
          </cell>
          <cell r="E292" t="str">
            <v>GUIGNOUARD</v>
          </cell>
          <cell r="F292" t="str">
            <v>Eglantine</v>
          </cell>
          <cell r="G292">
            <v>0</v>
          </cell>
          <cell r="H292">
            <v>1</v>
          </cell>
          <cell r="I292">
            <v>0</v>
          </cell>
          <cell r="J292">
            <v>42738</v>
          </cell>
          <cell r="K292" t="str">
            <v>2 an(s) 4 mois et 15 jour(s)</v>
          </cell>
          <cell r="L292" t="str">
            <v>Genté</v>
          </cell>
          <cell r="M292" t="str">
            <v>Champagne</v>
          </cell>
          <cell r="N292">
            <v>0</v>
          </cell>
        </row>
        <row r="293">
          <cell r="C293" t="str">
            <v>F118-1</v>
          </cell>
          <cell r="D293" t="str">
            <v>HERVE MATHIOT</v>
          </cell>
          <cell r="E293" t="str">
            <v>MATHIOT</v>
          </cell>
          <cell r="F293" t="str">
            <v>Aude</v>
          </cell>
          <cell r="G293">
            <v>0</v>
          </cell>
          <cell r="H293">
            <v>1</v>
          </cell>
          <cell r="I293">
            <v>0</v>
          </cell>
          <cell r="J293">
            <v>31802</v>
          </cell>
          <cell r="K293" t="str">
            <v>32 an(s) 3 mois et 23 jour(s)</v>
          </cell>
          <cell r="L293" t="str">
            <v>Bourg Charente</v>
          </cell>
          <cell r="M293" t="str">
            <v>Jarnac</v>
          </cell>
          <cell r="N293" t="str">
            <v>aude.mathiot@hotmail.fr</v>
          </cell>
        </row>
        <row r="294">
          <cell r="C294" t="str">
            <v>F118-2</v>
          </cell>
          <cell r="D294" t="str">
            <v>HERVE MATHIOT</v>
          </cell>
          <cell r="E294" t="str">
            <v>HERVE</v>
          </cell>
          <cell r="F294" t="str">
            <v>Nicolas</v>
          </cell>
          <cell r="G294">
            <v>0</v>
          </cell>
          <cell r="H294">
            <v>0</v>
          </cell>
          <cell r="I294">
            <v>1</v>
          </cell>
          <cell r="J294">
            <v>31525</v>
          </cell>
          <cell r="K294" t="str">
            <v>33 an(s) 0 mois et 25 jour(s)</v>
          </cell>
          <cell r="L294" t="str">
            <v>Bourg Charente</v>
          </cell>
          <cell r="M294" t="str">
            <v>Jarnac</v>
          </cell>
          <cell r="N294">
            <v>0</v>
          </cell>
        </row>
        <row r="295">
          <cell r="C295" t="str">
            <v>F118-3</v>
          </cell>
          <cell r="D295" t="str">
            <v>HERVE MATHIOT</v>
          </cell>
          <cell r="E295" t="str">
            <v>HERVE MATHIOT</v>
          </cell>
          <cell r="F295" t="str">
            <v>Eloïse</v>
          </cell>
          <cell r="G295">
            <v>0</v>
          </cell>
          <cell r="H295">
            <v>1</v>
          </cell>
          <cell r="I295">
            <v>0</v>
          </cell>
          <cell r="J295">
            <v>42296</v>
          </cell>
          <cell r="K295" t="str">
            <v>3 an(s) 6 mois et 29 jour(s)</v>
          </cell>
          <cell r="L295" t="str">
            <v>Bourg Charente</v>
          </cell>
          <cell r="M295" t="str">
            <v>Jarnac</v>
          </cell>
          <cell r="N295">
            <v>0</v>
          </cell>
        </row>
        <row r="296">
          <cell r="C296" t="str">
            <v>F118-4</v>
          </cell>
          <cell r="D296" t="str">
            <v>HERVE MATHIOT</v>
          </cell>
          <cell r="E296" t="str">
            <v>HERVE MATHIOT</v>
          </cell>
          <cell r="F296" t="str">
            <v>Agathe</v>
          </cell>
          <cell r="G296">
            <v>0</v>
          </cell>
          <cell r="H296">
            <v>1</v>
          </cell>
          <cell r="I296">
            <v>0</v>
          </cell>
          <cell r="J296">
            <v>43398</v>
          </cell>
          <cell r="K296" t="str">
            <v>0 an(s) 6 mois et 23 jour(s)</v>
          </cell>
          <cell r="L296" t="str">
            <v>Bourg Charente</v>
          </cell>
          <cell r="M296" t="str">
            <v>Jarnac</v>
          </cell>
          <cell r="N296">
            <v>0</v>
          </cell>
        </row>
        <row r="297">
          <cell r="C297" t="str">
            <v>F107-1</v>
          </cell>
          <cell r="D297" t="str">
            <v>JAMIN/BRUZAC</v>
          </cell>
          <cell r="E297" t="str">
            <v>BRUZAC</v>
          </cell>
          <cell r="F297" t="str">
            <v>Cindy</v>
          </cell>
          <cell r="G297">
            <v>0</v>
          </cell>
          <cell r="H297">
            <v>1</v>
          </cell>
          <cell r="I297">
            <v>0</v>
          </cell>
          <cell r="J297">
            <v>31236</v>
          </cell>
          <cell r="K297" t="str">
            <v>33 an(s) 10 mois et 10 jour(s)</v>
          </cell>
          <cell r="L297" t="str">
            <v>COGNAC</v>
          </cell>
          <cell r="M297" t="str">
            <v>Cognac</v>
          </cell>
          <cell r="N297">
            <v>0</v>
          </cell>
        </row>
        <row r="298">
          <cell r="C298" t="str">
            <v>F107-2</v>
          </cell>
          <cell r="D298" t="str">
            <v>JAMIN/BRUZAC</v>
          </cell>
          <cell r="E298" t="str">
            <v>JAMIN</v>
          </cell>
          <cell r="F298" t="str">
            <v>Lana</v>
          </cell>
          <cell r="G298">
            <v>0</v>
          </cell>
          <cell r="H298">
            <v>1</v>
          </cell>
          <cell r="I298">
            <v>0</v>
          </cell>
          <cell r="J298">
            <v>42170</v>
          </cell>
          <cell r="K298" t="str">
            <v>3 an(s) 11 mois et 3 jour(s)</v>
          </cell>
          <cell r="L298" t="str">
            <v>COGNAC</v>
          </cell>
          <cell r="M298" t="str">
            <v>Cognac</v>
          </cell>
          <cell r="N298">
            <v>0</v>
          </cell>
        </row>
        <row r="299">
          <cell r="C299" t="str">
            <v>F107-3</v>
          </cell>
          <cell r="D299" t="str">
            <v>JAMIN/BRUZAC</v>
          </cell>
          <cell r="E299" t="str">
            <v>JAMIN</v>
          </cell>
          <cell r="F299" t="str">
            <v>Naëlle</v>
          </cell>
          <cell r="G299">
            <v>0</v>
          </cell>
          <cell r="H299">
            <v>1</v>
          </cell>
          <cell r="I299">
            <v>0</v>
          </cell>
          <cell r="J299">
            <v>42905</v>
          </cell>
          <cell r="K299" t="str">
            <v>1 an(s) 10 mois et 29 jour(s)</v>
          </cell>
          <cell r="L299" t="str">
            <v>COGNAC</v>
          </cell>
          <cell r="M299" t="str">
            <v>Cognac</v>
          </cell>
          <cell r="N299">
            <v>0</v>
          </cell>
        </row>
        <row r="300">
          <cell r="C300" t="str">
            <v>F123-1</v>
          </cell>
          <cell r="D300" t="str">
            <v>LACHAUME/MERCIER</v>
          </cell>
          <cell r="E300" t="str">
            <v>MERCIER</v>
          </cell>
          <cell r="F300" t="str">
            <v>Sylvain</v>
          </cell>
          <cell r="G300">
            <v>0</v>
          </cell>
          <cell r="H300">
            <v>0</v>
          </cell>
          <cell r="I300">
            <v>1</v>
          </cell>
          <cell r="J300">
            <v>31957</v>
          </cell>
          <cell r="K300" t="str">
            <v>31 an(s) 10 mois et 19 jour(s)</v>
          </cell>
          <cell r="L300" t="str">
            <v>Boutiers</v>
          </cell>
          <cell r="M300" t="str">
            <v>Cognac</v>
          </cell>
          <cell r="N300" t="str">
            <v>charlinelachaume@gmail.com</v>
          </cell>
        </row>
        <row r="301">
          <cell r="C301" t="str">
            <v>F123-2</v>
          </cell>
          <cell r="D301" t="str">
            <v>LACHAUME/MERCIER</v>
          </cell>
          <cell r="E301" t="str">
            <v>LACHAUME</v>
          </cell>
          <cell r="F301" t="str">
            <v>Charline</v>
          </cell>
          <cell r="G301">
            <v>0</v>
          </cell>
          <cell r="H301">
            <v>1</v>
          </cell>
          <cell r="I301">
            <v>0</v>
          </cell>
          <cell r="J301">
            <v>32066</v>
          </cell>
          <cell r="K301" t="str">
            <v>31 an(s) 7 mois et 2 jour(s)</v>
          </cell>
          <cell r="L301" t="str">
            <v>Boutiers</v>
          </cell>
          <cell r="M301" t="str">
            <v>Cognac</v>
          </cell>
          <cell r="N301">
            <v>0</v>
          </cell>
        </row>
        <row r="302">
          <cell r="C302" t="str">
            <v>F123-3</v>
          </cell>
          <cell r="D302" t="str">
            <v>LACHAUME/MERCIER</v>
          </cell>
          <cell r="E302" t="str">
            <v>LACHAUME</v>
          </cell>
          <cell r="F302" t="str">
            <v>Valentin</v>
          </cell>
          <cell r="G302">
            <v>0</v>
          </cell>
          <cell r="H302">
            <v>0</v>
          </cell>
          <cell r="I302">
            <v>1</v>
          </cell>
          <cell r="J302">
            <v>42403</v>
          </cell>
          <cell r="K302" t="str">
            <v>3 an(s) 3 mois et 15 jour(s)</v>
          </cell>
          <cell r="L302" t="str">
            <v>Boutiers</v>
          </cell>
          <cell r="M302" t="str">
            <v>Cognac</v>
          </cell>
          <cell r="N302">
            <v>0</v>
          </cell>
        </row>
        <row r="303">
          <cell r="C303" t="str">
            <v>F102-1</v>
          </cell>
          <cell r="D303" t="str">
            <v>LAMAZIERE LASSAIGNE</v>
          </cell>
          <cell r="E303" t="str">
            <v>LAMAZIERE LASSAIGNE</v>
          </cell>
          <cell r="F303" t="str">
            <v>Simon</v>
          </cell>
          <cell r="G303">
            <v>0</v>
          </cell>
          <cell r="H303">
            <v>0</v>
          </cell>
          <cell r="I303">
            <v>1</v>
          </cell>
          <cell r="J303">
            <v>39101</v>
          </cell>
          <cell r="K303" t="str">
            <v>12 an(s) 3 mois et 29 jour(s)</v>
          </cell>
          <cell r="L303" t="str">
            <v>SEGONZAC</v>
          </cell>
          <cell r="M303" t="str">
            <v>Champagne</v>
          </cell>
          <cell r="N303" t="str">
            <v>philippelamaziere@gmail.com</v>
          </cell>
        </row>
        <row r="304">
          <cell r="C304" t="str">
            <v>F116-1</v>
          </cell>
          <cell r="D304" t="str">
            <v>LAMOUREUX</v>
          </cell>
          <cell r="E304" t="str">
            <v>LAMOUREUX</v>
          </cell>
          <cell r="F304" t="str">
            <v>Béatrice</v>
          </cell>
          <cell r="G304">
            <v>0</v>
          </cell>
          <cell r="H304">
            <v>1</v>
          </cell>
          <cell r="I304">
            <v>0</v>
          </cell>
          <cell r="J304">
            <v>22775</v>
          </cell>
          <cell r="K304" t="str">
            <v>57 an(s) 0 mois et 9 jour(s)</v>
          </cell>
          <cell r="L304" t="str">
            <v>GENSAC LA PALLUE</v>
          </cell>
          <cell r="M304" t="str">
            <v>Champagne</v>
          </cell>
          <cell r="N304">
            <v>0</v>
          </cell>
        </row>
        <row r="305">
          <cell r="C305" t="str">
            <v>F116-2</v>
          </cell>
          <cell r="D305" t="str">
            <v>LAMOUREUX</v>
          </cell>
          <cell r="E305" t="str">
            <v>BELLET</v>
          </cell>
          <cell r="F305" t="str">
            <v>Cécilia</v>
          </cell>
          <cell r="G305">
            <v>0</v>
          </cell>
          <cell r="H305">
            <v>1</v>
          </cell>
          <cell r="I305">
            <v>0</v>
          </cell>
          <cell r="J305">
            <v>31335</v>
          </cell>
          <cell r="K305" t="str">
            <v>33 an(s) 7 mois et 3 jour(s)</v>
          </cell>
          <cell r="L305" t="str">
            <v>GENSAC LA PALLUE</v>
          </cell>
          <cell r="M305" t="str">
            <v>Champagne</v>
          </cell>
          <cell r="N305">
            <v>0</v>
          </cell>
        </row>
        <row r="306">
          <cell r="C306" t="str">
            <v>F116-3</v>
          </cell>
          <cell r="D306" t="str">
            <v>LAMOUREUX</v>
          </cell>
          <cell r="E306" t="str">
            <v>LAMOUREUX</v>
          </cell>
          <cell r="F306" t="str">
            <v>Arthur</v>
          </cell>
          <cell r="G306">
            <v>0</v>
          </cell>
          <cell r="H306">
            <v>0</v>
          </cell>
          <cell r="I306">
            <v>1</v>
          </cell>
          <cell r="J306">
            <v>43022</v>
          </cell>
          <cell r="K306" t="str">
            <v>1 an(s) 7 mois et 4 jour(s)</v>
          </cell>
          <cell r="L306" t="str">
            <v>GENSAC LA PALLUE</v>
          </cell>
          <cell r="M306" t="str">
            <v>Champagne</v>
          </cell>
          <cell r="N306">
            <v>0</v>
          </cell>
        </row>
        <row r="307">
          <cell r="C307" t="str">
            <v>F12-1</v>
          </cell>
          <cell r="D307" t="str">
            <v>LANNE</v>
          </cell>
          <cell r="E307" t="str">
            <v>LANNE</v>
          </cell>
          <cell r="F307" t="str">
            <v>Jeanne</v>
          </cell>
          <cell r="G307">
            <v>0</v>
          </cell>
          <cell r="H307">
            <v>1</v>
          </cell>
          <cell r="I307">
            <v>0</v>
          </cell>
          <cell r="J307">
            <v>31775</v>
          </cell>
          <cell r="K307" t="str">
            <v>32 an(s) 4 mois et 19 jour(s)</v>
          </cell>
          <cell r="L307" t="str">
            <v>SEGONZAC</v>
          </cell>
          <cell r="M307" t="str">
            <v>Champagne</v>
          </cell>
          <cell r="N307" t="str">
            <v>jeannebaq@hotmail.com</v>
          </cell>
        </row>
        <row r="308">
          <cell r="C308" t="str">
            <v>F12-2</v>
          </cell>
          <cell r="D308" t="str">
            <v>LANNE</v>
          </cell>
          <cell r="E308" t="str">
            <v>LANNE</v>
          </cell>
          <cell r="F308" t="str">
            <v>Raphaël</v>
          </cell>
          <cell r="G308">
            <v>0</v>
          </cell>
          <cell r="H308">
            <v>0</v>
          </cell>
          <cell r="I308">
            <v>1</v>
          </cell>
          <cell r="J308">
            <v>41156</v>
          </cell>
          <cell r="K308" t="str">
            <v>6 an(s) 8 mois et 14 jour(s)</v>
          </cell>
          <cell r="L308" t="str">
            <v>SEGONZAC</v>
          </cell>
          <cell r="M308" t="str">
            <v>Champagne</v>
          </cell>
          <cell r="N308">
            <v>0</v>
          </cell>
        </row>
        <row r="309">
          <cell r="C309" t="str">
            <v>F121-1</v>
          </cell>
          <cell r="D309" t="str">
            <v>LAUTIER/PASQUET</v>
          </cell>
          <cell r="E309" t="str">
            <v>PASQUET</v>
          </cell>
          <cell r="F309" t="str">
            <v>Virginie</v>
          </cell>
          <cell r="G309">
            <v>0</v>
          </cell>
          <cell r="H309">
            <v>1</v>
          </cell>
          <cell r="I309">
            <v>0</v>
          </cell>
          <cell r="J309">
            <v>30217</v>
          </cell>
          <cell r="K309" t="str">
            <v>36 an(s) 7 mois et 25 jour(s)</v>
          </cell>
          <cell r="L309" t="str">
            <v>Cognac</v>
          </cell>
          <cell r="M309" t="str">
            <v>Cognac</v>
          </cell>
          <cell r="N309" t="str">
            <v>virginie.pasquet@wanadoo.fr</v>
          </cell>
        </row>
        <row r="310">
          <cell r="C310" t="str">
            <v>F121-2</v>
          </cell>
          <cell r="D310" t="str">
            <v>LAUTIER/PASQUET</v>
          </cell>
          <cell r="E310" t="str">
            <v>LAUTIER</v>
          </cell>
          <cell r="F310" t="str">
            <v>Coline</v>
          </cell>
          <cell r="G310">
            <v>0</v>
          </cell>
          <cell r="H310">
            <v>0</v>
          </cell>
          <cell r="I310">
            <v>1</v>
          </cell>
          <cell r="J310">
            <v>41624</v>
          </cell>
          <cell r="K310" t="str">
            <v>5 an(s) 5 mois et 2 jour(s)</v>
          </cell>
          <cell r="L310" t="str">
            <v>Cognac</v>
          </cell>
          <cell r="M310" t="str">
            <v>Cognac</v>
          </cell>
          <cell r="N310">
            <v>0</v>
          </cell>
        </row>
        <row r="311">
          <cell r="C311" t="str">
            <v>F121-3</v>
          </cell>
          <cell r="D311" t="str">
            <v>LAUTIER/PASQUET</v>
          </cell>
          <cell r="E311" t="str">
            <v>LAUTIER</v>
          </cell>
          <cell r="F311" t="str">
            <v>Justin</v>
          </cell>
          <cell r="G311">
            <v>0</v>
          </cell>
          <cell r="H311">
            <v>0</v>
          </cell>
          <cell r="I311">
            <v>1</v>
          </cell>
          <cell r="J311">
            <v>43401</v>
          </cell>
          <cell r="K311" t="str">
            <v>0 an(s) 6 mois et 20 jour(s)</v>
          </cell>
          <cell r="L311" t="str">
            <v>Cognac</v>
          </cell>
          <cell r="M311" t="str">
            <v>Cognac</v>
          </cell>
          <cell r="N311">
            <v>0</v>
          </cell>
        </row>
        <row r="312">
          <cell r="C312" t="str">
            <v>F111-1</v>
          </cell>
          <cell r="D312" t="str">
            <v>LIENART DELABEYE</v>
          </cell>
          <cell r="E312" t="str">
            <v>LIENART DELABEYE</v>
          </cell>
          <cell r="F312" t="str">
            <v>Brigitte</v>
          </cell>
          <cell r="G312">
            <v>0</v>
          </cell>
          <cell r="H312">
            <v>1</v>
          </cell>
          <cell r="I312">
            <v>0</v>
          </cell>
          <cell r="J312">
            <v>20885</v>
          </cell>
          <cell r="K312" t="str">
            <v>62 an(s) 2 mois et 12 jour(s)</v>
          </cell>
          <cell r="L312" t="str">
            <v>ANGEAC CHAMPAGNE</v>
          </cell>
          <cell r="M312" t="str">
            <v>Champagne</v>
          </cell>
          <cell r="N312" t="str">
            <v>bri.delabeye@orange.fr</v>
          </cell>
        </row>
        <row r="313">
          <cell r="C313" t="str">
            <v>F111-2</v>
          </cell>
          <cell r="D313" t="str">
            <v>LIENART DELABEYE</v>
          </cell>
          <cell r="E313" t="str">
            <v>LIENART</v>
          </cell>
          <cell r="F313" t="str">
            <v>Séverine</v>
          </cell>
          <cell r="G313">
            <v>0</v>
          </cell>
          <cell r="H313">
            <v>1</v>
          </cell>
          <cell r="I313">
            <v>0</v>
          </cell>
          <cell r="J313">
            <v>31438</v>
          </cell>
          <cell r="K313" t="str">
            <v>33 an(s) 3 mois et 22 jour(s)</v>
          </cell>
          <cell r="L313" t="str">
            <v>ANGEAC CHAMPAGNE</v>
          </cell>
          <cell r="M313" t="str">
            <v>Champagne</v>
          </cell>
          <cell r="N313">
            <v>0</v>
          </cell>
        </row>
        <row r="314">
          <cell r="C314" t="str">
            <v>F111-4</v>
          </cell>
          <cell r="D314" t="str">
            <v>LIENART DELABEYE</v>
          </cell>
          <cell r="E314" t="str">
            <v>LIENART</v>
          </cell>
          <cell r="F314" t="str">
            <v>Arnaud</v>
          </cell>
          <cell r="G314">
            <v>0</v>
          </cell>
          <cell r="H314">
            <v>0</v>
          </cell>
          <cell r="I314">
            <v>1</v>
          </cell>
          <cell r="J314">
            <v>32253</v>
          </cell>
          <cell r="K314" t="str">
            <v>31 an(s) 0 mois et 28 jour(s)</v>
          </cell>
          <cell r="L314" t="str">
            <v>ANGEAC CHAMPAGNE</v>
          </cell>
          <cell r="M314" t="str">
            <v>Champagne</v>
          </cell>
          <cell r="N314">
            <v>0</v>
          </cell>
        </row>
        <row r="315">
          <cell r="C315" t="str">
            <v>F111-3</v>
          </cell>
          <cell r="D315" t="str">
            <v>LIENART DELABEYE</v>
          </cell>
          <cell r="E315" t="str">
            <v>LIENART</v>
          </cell>
          <cell r="F315" t="str">
            <v>Sacha</v>
          </cell>
          <cell r="G315">
            <v>0</v>
          </cell>
          <cell r="H315">
            <v>0</v>
          </cell>
          <cell r="I315">
            <v>1</v>
          </cell>
          <cell r="J315">
            <v>42830</v>
          </cell>
          <cell r="K315" t="str">
            <v>2 an(s) 1 mois et 13 jour(s)</v>
          </cell>
          <cell r="L315" t="str">
            <v>ANGEAC CHAMPAGNE</v>
          </cell>
          <cell r="M315" t="str">
            <v>Champagne</v>
          </cell>
          <cell r="N315">
            <v>0</v>
          </cell>
        </row>
        <row r="316">
          <cell r="C316" t="str">
            <v>F77-2</v>
          </cell>
          <cell r="D316" t="str">
            <v>LIENART/HULIN</v>
          </cell>
          <cell r="E316" t="str">
            <v>LIENART</v>
          </cell>
          <cell r="F316" t="str">
            <v>Elison</v>
          </cell>
          <cell r="G316">
            <v>0</v>
          </cell>
          <cell r="H316">
            <v>0</v>
          </cell>
          <cell r="I316">
            <v>1</v>
          </cell>
          <cell r="J316">
            <v>41912</v>
          </cell>
          <cell r="K316" t="str">
            <v>4 an(s) 7 mois et 18 jour(s)</v>
          </cell>
          <cell r="L316" t="str">
            <v>ANGEAC CHAMPAGNE</v>
          </cell>
          <cell r="M316" t="str">
            <v>Champagne</v>
          </cell>
          <cell r="N316" t="str">
            <v>mathiaskarine@hotmail.com</v>
          </cell>
        </row>
        <row r="317">
          <cell r="C317" t="str">
            <v>F77-3</v>
          </cell>
          <cell r="D317" t="str">
            <v>LIENART/HULIN</v>
          </cell>
          <cell r="E317" t="str">
            <v>LIENART</v>
          </cell>
          <cell r="F317" t="str">
            <v>Raphaël</v>
          </cell>
          <cell r="G317">
            <v>0</v>
          </cell>
          <cell r="H317">
            <v>0</v>
          </cell>
          <cell r="I317">
            <v>1</v>
          </cell>
          <cell r="J317">
            <v>43000</v>
          </cell>
          <cell r="K317" t="str">
            <v>1 an(s) 7 mois et 26 jour(s)</v>
          </cell>
          <cell r="L317" t="str">
            <v>ANGEAC CHAMPAGNE</v>
          </cell>
          <cell r="M317" t="str">
            <v>Champagne</v>
          </cell>
          <cell r="N317">
            <v>0</v>
          </cell>
        </row>
        <row r="318">
          <cell r="C318" t="str">
            <v>F77-4</v>
          </cell>
          <cell r="D318" t="str">
            <v>LIENART/HULIN</v>
          </cell>
          <cell r="E318" t="str">
            <v>LIENART</v>
          </cell>
          <cell r="F318" t="str">
            <v>Lionel</v>
          </cell>
          <cell r="G318">
            <v>0</v>
          </cell>
          <cell r="H318">
            <v>0</v>
          </cell>
          <cell r="I318">
            <v>1</v>
          </cell>
          <cell r="J318">
            <v>30966</v>
          </cell>
          <cell r="K318" t="str">
            <v>34 an(s) 7 mois et 7 jour(s)</v>
          </cell>
          <cell r="L318" t="str">
            <v>ANGEAC CHAMPAGNE</v>
          </cell>
          <cell r="M318" t="str">
            <v>Champagne</v>
          </cell>
          <cell r="N318">
            <v>0</v>
          </cell>
        </row>
        <row r="319">
          <cell r="C319" t="str">
            <v>F77-1</v>
          </cell>
          <cell r="D319" t="str">
            <v>LIENART/HULIN</v>
          </cell>
          <cell r="E319" t="str">
            <v>HULIN</v>
          </cell>
          <cell r="F319" t="str">
            <v>Anaïs</v>
          </cell>
          <cell r="G319">
            <v>0</v>
          </cell>
          <cell r="H319">
            <v>1</v>
          </cell>
          <cell r="I319">
            <v>0</v>
          </cell>
          <cell r="J319">
            <v>31150</v>
          </cell>
          <cell r="K319" t="str">
            <v>34 an(s) 1 mois et 5 jour(s)</v>
          </cell>
          <cell r="L319" t="str">
            <v>ANGEAC CHAMPAGNE</v>
          </cell>
          <cell r="M319" t="str">
            <v>Champagne</v>
          </cell>
          <cell r="N319">
            <v>0</v>
          </cell>
        </row>
        <row r="320">
          <cell r="C320" t="str">
            <v>F77-4</v>
          </cell>
          <cell r="D320" t="str">
            <v>LIENART/HULIN</v>
          </cell>
          <cell r="E320" t="str">
            <v>LIENART</v>
          </cell>
          <cell r="F320" t="str">
            <v>Lionel</v>
          </cell>
          <cell r="G320">
            <v>0</v>
          </cell>
          <cell r="H320">
            <v>0</v>
          </cell>
          <cell r="I320">
            <v>1</v>
          </cell>
          <cell r="J320">
            <v>30966</v>
          </cell>
          <cell r="K320" t="str">
            <v>34 an(s) 7 mois et 7 jour(s)</v>
          </cell>
          <cell r="L320" t="str">
            <v>ANGEAC CHAMPAGNE</v>
          </cell>
          <cell r="M320">
            <v>0</v>
          </cell>
          <cell r="N320">
            <v>0</v>
          </cell>
        </row>
        <row r="321">
          <cell r="C321" t="str">
            <v>F35-1</v>
          </cell>
          <cell r="D321" t="str">
            <v>LOISEL/ROY</v>
          </cell>
          <cell r="E321" t="str">
            <v>ROY</v>
          </cell>
          <cell r="F321" t="str">
            <v>Stéphanie</v>
          </cell>
          <cell r="G321">
            <v>0</v>
          </cell>
          <cell r="H321">
            <v>1</v>
          </cell>
          <cell r="I321">
            <v>0</v>
          </cell>
          <cell r="J321">
            <v>29222</v>
          </cell>
          <cell r="K321" t="str">
            <v>39 an(s) 4 mois et 16 jour(s)</v>
          </cell>
          <cell r="L321" t="str">
            <v>GENTE</v>
          </cell>
          <cell r="M321" t="str">
            <v>Champagne</v>
          </cell>
          <cell r="N321" t="str">
            <v>romfany@hotmail.fr</v>
          </cell>
        </row>
        <row r="322">
          <cell r="C322" t="str">
            <v>F35-2</v>
          </cell>
          <cell r="D322" t="str">
            <v>LOISEL/ROY</v>
          </cell>
          <cell r="E322" t="str">
            <v>LOISEL</v>
          </cell>
          <cell r="F322" t="str">
            <v>Romain</v>
          </cell>
          <cell r="G322">
            <v>0</v>
          </cell>
          <cell r="H322">
            <v>0</v>
          </cell>
          <cell r="I322">
            <v>1</v>
          </cell>
          <cell r="J322">
            <v>29789</v>
          </cell>
          <cell r="K322" t="str">
            <v>37 an(s) 9 mois et 26 jour(s)</v>
          </cell>
          <cell r="L322" t="str">
            <v>GENTE</v>
          </cell>
          <cell r="M322" t="str">
            <v>Champagne</v>
          </cell>
          <cell r="N322">
            <v>0</v>
          </cell>
        </row>
        <row r="323">
          <cell r="C323" t="str">
            <v>F35-3</v>
          </cell>
          <cell r="D323" t="str">
            <v>LOISEL/ROY</v>
          </cell>
          <cell r="E323" t="str">
            <v>LOISEL</v>
          </cell>
          <cell r="F323" t="str">
            <v>Timaël</v>
          </cell>
          <cell r="G323">
            <v>0</v>
          </cell>
          <cell r="H323">
            <v>0</v>
          </cell>
          <cell r="I323">
            <v>1</v>
          </cell>
          <cell r="J323">
            <v>40591</v>
          </cell>
          <cell r="K323" t="str">
            <v>8 an(s) 3 mois et 1 jour(s)</v>
          </cell>
          <cell r="L323" t="str">
            <v>GENTE</v>
          </cell>
          <cell r="M323" t="str">
            <v>Champagne</v>
          </cell>
          <cell r="N323">
            <v>0</v>
          </cell>
        </row>
        <row r="324">
          <cell r="C324" t="str">
            <v>F35-4</v>
          </cell>
          <cell r="D324" t="str">
            <v>LOISEL/ROY</v>
          </cell>
          <cell r="E324" t="str">
            <v>LOISEL</v>
          </cell>
          <cell r="F324" t="str">
            <v>Manoé</v>
          </cell>
          <cell r="G324">
            <v>0</v>
          </cell>
          <cell r="H324">
            <v>0</v>
          </cell>
          <cell r="I324">
            <v>1</v>
          </cell>
          <cell r="J324">
            <v>42124</v>
          </cell>
          <cell r="K324" t="str">
            <v>4 an(s) 0 mois et 18 jour(s)</v>
          </cell>
          <cell r="L324" t="str">
            <v>GENTE</v>
          </cell>
          <cell r="M324" t="str">
            <v>Champagne</v>
          </cell>
          <cell r="N324">
            <v>0</v>
          </cell>
        </row>
        <row r="325">
          <cell r="C325" t="str">
            <v>F36-1</v>
          </cell>
          <cell r="D325" t="str">
            <v>LOUVET</v>
          </cell>
          <cell r="E325" t="str">
            <v>LOUVET</v>
          </cell>
          <cell r="F325" t="str">
            <v>Anne-Sophie</v>
          </cell>
          <cell r="G325">
            <v>0</v>
          </cell>
          <cell r="H325">
            <v>1</v>
          </cell>
          <cell r="I325">
            <v>0</v>
          </cell>
          <cell r="J325">
            <v>21832</v>
          </cell>
          <cell r="K325" t="str">
            <v>59 an(s) 7 mois et 9 jour(s)</v>
          </cell>
          <cell r="L325" t="str">
            <v>SEGONZAC</v>
          </cell>
          <cell r="M325" t="str">
            <v>Champagne</v>
          </cell>
          <cell r="N325" t="str">
            <v>asolouvet@gmail.com</v>
          </cell>
        </row>
        <row r="326">
          <cell r="C326" t="str">
            <v>F36-2</v>
          </cell>
          <cell r="D326" t="str">
            <v>LOUVET</v>
          </cell>
          <cell r="E326" t="str">
            <v>FREDES</v>
          </cell>
          <cell r="F326" t="str">
            <v>Fausto</v>
          </cell>
          <cell r="G326">
            <v>0</v>
          </cell>
          <cell r="H326">
            <v>0</v>
          </cell>
          <cell r="I326">
            <v>1</v>
          </cell>
          <cell r="J326">
            <v>40080</v>
          </cell>
          <cell r="K326" t="str">
            <v>9 an(s) 7 mois et 24 jour(s)</v>
          </cell>
          <cell r="L326" t="str">
            <v>SEGONZAC</v>
          </cell>
          <cell r="M326" t="str">
            <v>Champagne</v>
          </cell>
          <cell r="N326">
            <v>0</v>
          </cell>
        </row>
        <row r="327">
          <cell r="C327" t="str">
            <v>F36-3</v>
          </cell>
          <cell r="D327" t="str">
            <v>LOUVET</v>
          </cell>
          <cell r="E327" t="str">
            <v>LOUVET</v>
          </cell>
          <cell r="F327" t="str">
            <v>Isia</v>
          </cell>
          <cell r="G327">
            <v>0</v>
          </cell>
          <cell r="H327">
            <v>1</v>
          </cell>
          <cell r="I327">
            <v>0</v>
          </cell>
          <cell r="J327">
            <v>41521</v>
          </cell>
          <cell r="K327" t="str">
            <v>5 an(s) 8 mois et 14 jour(s)</v>
          </cell>
          <cell r="L327" t="str">
            <v>SEGONZAC</v>
          </cell>
          <cell r="M327" t="str">
            <v>Champagne</v>
          </cell>
          <cell r="N327">
            <v>0</v>
          </cell>
        </row>
        <row r="328">
          <cell r="C328" t="str">
            <v>F36-4</v>
          </cell>
          <cell r="D328" t="str">
            <v>LOUVET</v>
          </cell>
          <cell r="E328" t="str">
            <v>LOUVET</v>
          </cell>
          <cell r="F328" t="str">
            <v>Elliot</v>
          </cell>
          <cell r="G328">
            <v>0</v>
          </cell>
          <cell r="H328">
            <v>0</v>
          </cell>
          <cell r="I328">
            <v>1</v>
          </cell>
          <cell r="J328">
            <v>42542</v>
          </cell>
          <cell r="K328" t="str">
            <v>2 an(s) 10 mois et 27 jour(s)</v>
          </cell>
          <cell r="L328" t="str">
            <v>SEGONZAC</v>
          </cell>
          <cell r="M328" t="str">
            <v>Champagne</v>
          </cell>
          <cell r="N328">
            <v>0</v>
          </cell>
        </row>
        <row r="329">
          <cell r="C329" t="str">
            <v>F36-5</v>
          </cell>
          <cell r="D329" t="str">
            <v>LOUVET</v>
          </cell>
          <cell r="E329" t="str">
            <v>LOUVET</v>
          </cell>
          <cell r="F329" t="str">
            <v>Olivia</v>
          </cell>
          <cell r="G329">
            <v>0</v>
          </cell>
          <cell r="H329">
            <v>1</v>
          </cell>
          <cell r="I329">
            <v>0</v>
          </cell>
          <cell r="J329">
            <v>43214</v>
          </cell>
          <cell r="K329" t="str">
            <v>1 an(s) 0 mois et 24 jour(s)</v>
          </cell>
          <cell r="L329" t="str">
            <v>SEGONZAC</v>
          </cell>
          <cell r="M329" t="str">
            <v>Champagne</v>
          </cell>
          <cell r="N329">
            <v>0</v>
          </cell>
        </row>
        <row r="330">
          <cell r="C330" t="str">
            <v>F79-1</v>
          </cell>
          <cell r="D330" t="str">
            <v>MARY/SYLVESTRE</v>
          </cell>
          <cell r="E330" t="str">
            <v>SILVESTRE</v>
          </cell>
          <cell r="F330" t="str">
            <v>Aurélie</v>
          </cell>
          <cell r="G330">
            <v>0</v>
          </cell>
          <cell r="H330">
            <v>1</v>
          </cell>
          <cell r="I330">
            <v>0</v>
          </cell>
          <cell r="J330">
            <v>30890</v>
          </cell>
          <cell r="K330" t="str">
            <v>34 an(s) 9 mois et 21 jour(s)</v>
          </cell>
          <cell r="L330" t="str">
            <v>Juillac</v>
          </cell>
          <cell r="M330" t="str">
            <v>Champagne</v>
          </cell>
          <cell r="N330">
            <v>0</v>
          </cell>
        </row>
        <row r="331">
          <cell r="C331" t="str">
            <v>F79-2</v>
          </cell>
          <cell r="D331" t="str">
            <v>MARY/SYLVESTRE</v>
          </cell>
          <cell r="E331" t="str">
            <v>MARY</v>
          </cell>
          <cell r="F331" t="str">
            <v>Elouan</v>
          </cell>
          <cell r="G331">
            <v>0</v>
          </cell>
          <cell r="H331">
            <v>0</v>
          </cell>
          <cell r="I331">
            <v>1</v>
          </cell>
          <cell r="J331">
            <v>39466</v>
          </cell>
          <cell r="K331" t="str">
            <v>11 an(s) 3 mois et 29 jour(s)</v>
          </cell>
          <cell r="L331" t="str">
            <v>Juillac</v>
          </cell>
          <cell r="M331" t="str">
            <v>Champagne</v>
          </cell>
          <cell r="N331">
            <v>0</v>
          </cell>
        </row>
        <row r="332">
          <cell r="C332" t="str">
            <v>F79-3</v>
          </cell>
          <cell r="D332" t="str">
            <v>MARY/SYLVESTRE</v>
          </cell>
          <cell r="E332" t="str">
            <v>MARY</v>
          </cell>
          <cell r="F332" t="str">
            <v>Jules</v>
          </cell>
          <cell r="G332">
            <v>0</v>
          </cell>
          <cell r="H332">
            <v>0</v>
          </cell>
          <cell r="I332">
            <v>1</v>
          </cell>
          <cell r="J332">
            <v>40806</v>
          </cell>
          <cell r="K332" t="str">
            <v>7 an(s) 7 mois et 28 jour(s)</v>
          </cell>
          <cell r="L332" t="str">
            <v>Juillac</v>
          </cell>
          <cell r="M332" t="str">
            <v>Champagne</v>
          </cell>
          <cell r="N332" t="str">
            <v>castin-athenais@hotmail.fr</v>
          </cell>
        </row>
        <row r="333">
          <cell r="C333" t="str">
            <v>F99-1</v>
          </cell>
          <cell r="D333" t="str">
            <v>MENON</v>
          </cell>
          <cell r="E333" t="str">
            <v>MENON</v>
          </cell>
          <cell r="F333" t="str">
            <v>Caroline</v>
          </cell>
          <cell r="G333">
            <v>0</v>
          </cell>
          <cell r="H333">
            <v>1</v>
          </cell>
          <cell r="I333">
            <v>0</v>
          </cell>
          <cell r="J333">
            <v>29713</v>
          </cell>
          <cell r="K333" t="str">
            <v>38 an(s) 0 mois et 11 jour(s)</v>
          </cell>
          <cell r="L333" t="str">
            <v>Genté</v>
          </cell>
          <cell r="M333" t="str">
            <v>Champagne</v>
          </cell>
          <cell r="N333" t="str">
            <v>caroline.mmg.hubert@gmail.com</v>
          </cell>
        </row>
        <row r="334">
          <cell r="C334" t="str">
            <v>F99-2</v>
          </cell>
          <cell r="D334" t="str">
            <v>MENON</v>
          </cell>
          <cell r="E334" t="str">
            <v>MENON</v>
          </cell>
          <cell r="F334" t="str">
            <v>Victor</v>
          </cell>
          <cell r="G334">
            <v>0</v>
          </cell>
          <cell r="H334">
            <v>0</v>
          </cell>
          <cell r="I334">
            <v>1</v>
          </cell>
          <cell r="J334">
            <v>40687</v>
          </cell>
          <cell r="K334" t="str">
            <v>7 an(s) 11 mois et 24 jour(s)</v>
          </cell>
          <cell r="L334" t="str">
            <v>Genté</v>
          </cell>
          <cell r="M334" t="str">
            <v>Champagne</v>
          </cell>
          <cell r="N334">
            <v>0</v>
          </cell>
        </row>
        <row r="335">
          <cell r="C335" t="str">
            <v>F99-3</v>
          </cell>
          <cell r="D335" t="str">
            <v>MENON</v>
          </cell>
          <cell r="E335" t="str">
            <v>MENON</v>
          </cell>
          <cell r="F335" t="str">
            <v>Alienor</v>
          </cell>
          <cell r="G335">
            <v>0</v>
          </cell>
          <cell r="H335">
            <v>1</v>
          </cell>
          <cell r="I335">
            <v>0</v>
          </cell>
          <cell r="J335">
            <v>38973</v>
          </cell>
          <cell r="K335" t="str">
            <v>12 an(s) 8 mois et 5 jour(s)</v>
          </cell>
          <cell r="L335" t="str">
            <v>Genté</v>
          </cell>
          <cell r="M335" t="str">
            <v>Champagne</v>
          </cell>
          <cell r="N335">
            <v>0</v>
          </cell>
        </row>
        <row r="336">
          <cell r="C336" t="str">
            <v>F99-4</v>
          </cell>
          <cell r="D336" t="str">
            <v>MENON</v>
          </cell>
          <cell r="E336" t="str">
            <v>MENON</v>
          </cell>
          <cell r="F336" t="str">
            <v>Florian</v>
          </cell>
          <cell r="G336">
            <v>0</v>
          </cell>
          <cell r="H336">
            <v>0</v>
          </cell>
          <cell r="I336">
            <v>1</v>
          </cell>
          <cell r="J336">
            <v>40185</v>
          </cell>
          <cell r="K336" t="str">
            <v>9 an(s) 4 mois et 11 jour(s)</v>
          </cell>
          <cell r="L336" t="str">
            <v>Genté</v>
          </cell>
          <cell r="M336" t="str">
            <v>Champagne</v>
          </cell>
          <cell r="N336">
            <v>0</v>
          </cell>
        </row>
        <row r="337">
          <cell r="C337" t="str">
            <v>F103-1</v>
          </cell>
          <cell r="D337" t="str">
            <v>MONTGOMERY</v>
          </cell>
          <cell r="E337" t="str">
            <v>MONTGOMERY</v>
          </cell>
          <cell r="F337" t="str">
            <v>Rebecca</v>
          </cell>
          <cell r="G337">
            <v>0</v>
          </cell>
          <cell r="H337">
            <v>1</v>
          </cell>
          <cell r="I337">
            <v>0</v>
          </cell>
          <cell r="J337">
            <v>26339</v>
          </cell>
          <cell r="K337" t="str">
            <v>47 an(s) 3 mois et 8 jour(s)</v>
          </cell>
          <cell r="L337" t="str">
            <v>SEGONZAC</v>
          </cell>
          <cell r="M337" t="str">
            <v>Champagne</v>
          </cell>
          <cell r="N337" t="str">
            <v>r.e.montgomery@hotmail.com</v>
          </cell>
        </row>
        <row r="338">
          <cell r="C338" t="str">
            <v>F103-2</v>
          </cell>
          <cell r="D338" t="str">
            <v>MONTGOMERY</v>
          </cell>
          <cell r="E338" t="str">
            <v>MONTGOMERY</v>
          </cell>
          <cell r="F338" t="str">
            <v>William</v>
          </cell>
          <cell r="G338">
            <v>0</v>
          </cell>
          <cell r="H338">
            <v>0</v>
          </cell>
          <cell r="I338">
            <v>1</v>
          </cell>
          <cell r="J338">
            <v>40227</v>
          </cell>
          <cell r="K338" t="str">
            <v>9 an(s) 3 mois et 0 jour(s)</v>
          </cell>
          <cell r="L338" t="str">
            <v>SEGONZAC</v>
          </cell>
          <cell r="M338" t="str">
            <v>Champagne</v>
          </cell>
          <cell r="N338">
            <v>0</v>
          </cell>
        </row>
        <row r="339">
          <cell r="C339" t="str">
            <v>F51-1</v>
          </cell>
          <cell r="D339" t="str">
            <v>MOREAU</v>
          </cell>
          <cell r="E339" t="str">
            <v>MOREAU</v>
          </cell>
          <cell r="F339" t="str">
            <v>Caroline</v>
          </cell>
          <cell r="G339">
            <v>0</v>
          </cell>
          <cell r="H339">
            <v>1</v>
          </cell>
          <cell r="I339">
            <v>0</v>
          </cell>
          <cell r="J339">
            <v>29123</v>
          </cell>
          <cell r="K339" t="str">
            <v>39 an(s) 7 mois et 23 jour(s)</v>
          </cell>
          <cell r="L339" t="str">
            <v>SEGONZAC</v>
          </cell>
          <cell r="M339" t="str">
            <v>Champagne</v>
          </cell>
          <cell r="N339" t="str">
            <v>carolus155@hotmail.com</v>
          </cell>
        </row>
        <row r="340">
          <cell r="C340" t="str">
            <v>F51-2</v>
          </cell>
          <cell r="D340" t="str">
            <v>MOREAU</v>
          </cell>
          <cell r="E340" t="str">
            <v>MOREAU</v>
          </cell>
          <cell r="F340" t="str">
            <v>David</v>
          </cell>
          <cell r="G340">
            <v>0</v>
          </cell>
          <cell r="H340">
            <v>0</v>
          </cell>
          <cell r="I340">
            <v>1</v>
          </cell>
          <cell r="J340">
            <v>29414</v>
          </cell>
          <cell r="K340" t="str">
            <v>38 an(s) 10 mois et 6 jour(s)</v>
          </cell>
          <cell r="L340" t="str">
            <v>SEGONZAC</v>
          </cell>
          <cell r="M340" t="str">
            <v>Champagne</v>
          </cell>
          <cell r="N340">
            <v>0</v>
          </cell>
        </row>
        <row r="341">
          <cell r="C341" t="str">
            <v>F51-3</v>
          </cell>
          <cell r="D341" t="str">
            <v>MOREAU</v>
          </cell>
          <cell r="E341" t="str">
            <v>MOREAU</v>
          </cell>
          <cell r="F341" t="str">
            <v>Eliot</v>
          </cell>
          <cell r="G341">
            <v>0</v>
          </cell>
          <cell r="H341">
            <v>0</v>
          </cell>
          <cell r="I341">
            <v>1</v>
          </cell>
          <cell r="J341">
            <v>40452</v>
          </cell>
          <cell r="K341" t="str">
            <v>8 an(s) 7 mois et 17 jour(s)</v>
          </cell>
          <cell r="L341" t="str">
            <v>SEGONZAC</v>
          </cell>
          <cell r="M341" t="str">
            <v>Champagne</v>
          </cell>
          <cell r="N341">
            <v>0</v>
          </cell>
        </row>
        <row r="342">
          <cell r="C342" t="str">
            <v>F51-4</v>
          </cell>
          <cell r="D342" t="str">
            <v>MOREAU</v>
          </cell>
          <cell r="E342" t="str">
            <v>MOREAU</v>
          </cell>
          <cell r="F342" t="str">
            <v>Lily</v>
          </cell>
          <cell r="G342">
            <v>0</v>
          </cell>
          <cell r="H342">
            <v>1</v>
          </cell>
          <cell r="I342">
            <v>0</v>
          </cell>
          <cell r="J342">
            <v>41223</v>
          </cell>
          <cell r="K342" t="str">
            <v>6 an(s) 6 mois et 8 jour(s)</v>
          </cell>
          <cell r="L342" t="str">
            <v>SEGONZAC</v>
          </cell>
          <cell r="M342" t="str">
            <v>Champagne</v>
          </cell>
          <cell r="N342">
            <v>0</v>
          </cell>
        </row>
        <row r="343">
          <cell r="C343" t="str">
            <v>F114-1</v>
          </cell>
          <cell r="D343" t="str">
            <v>NADAL</v>
          </cell>
          <cell r="E343" t="str">
            <v>NADAL</v>
          </cell>
          <cell r="F343" t="str">
            <v>Stéphanie</v>
          </cell>
          <cell r="G343">
            <v>0</v>
          </cell>
          <cell r="H343">
            <v>1</v>
          </cell>
          <cell r="I343">
            <v>0</v>
          </cell>
          <cell r="J343">
            <v>31160</v>
          </cell>
          <cell r="K343" t="str">
            <v>34 an(s) 0 mois et 25 jour(s)</v>
          </cell>
          <cell r="L343" t="str">
            <v>Saint Même Les Carrières</v>
          </cell>
          <cell r="M343" t="str">
            <v>Jarnac</v>
          </cell>
          <cell r="N343" t="str">
            <v>stefnadal@orange.fr</v>
          </cell>
        </row>
        <row r="344">
          <cell r="C344" t="str">
            <v>F114-2</v>
          </cell>
          <cell r="D344" t="str">
            <v>NADAL</v>
          </cell>
          <cell r="E344" t="str">
            <v>NADAL</v>
          </cell>
          <cell r="F344" t="str">
            <v>Nicolas</v>
          </cell>
          <cell r="G344">
            <v>0</v>
          </cell>
          <cell r="H344">
            <v>0</v>
          </cell>
          <cell r="I344">
            <v>1</v>
          </cell>
          <cell r="J344">
            <v>30526</v>
          </cell>
          <cell r="K344" t="str">
            <v>35 an(s) 9 mois et 19 jour(s)</v>
          </cell>
          <cell r="L344" t="str">
            <v>Saint Même Les Carrières</v>
          </cell>
          <cell r="M344" t="str">
            <v>Jarnac</v>
          </cell>
          <cell r="N344">
            <v>0</v>
          </cell>
        </row>
        <row r="345">
          <cell r="C345" t="str">
            <v>F114-3</v>
          </cell>
          <cell r="D345" t="str">
            <v>NADAL</v>
          </cell>
          <cell r="E345" t="str">
            <v>NADAL</v>
          </cell>
          <cell r="F345" t="str">
            <v>Alice</v>
          </cell>
          <cell r="G345">
            <v>0</v>
          </cell>
          <cell r="H345">
            <v>1</v>
          </cell>
          <cell r="I345">
            <v>0</v>
          </cell>
          <cell r="J345">
            <v>43230</v>
          </cell>
          <cell r="K345" t="str">
            <v>1 an(s) 0 mois et 8 jour(s)</v>
          </cell>
          <cell r="L345" t="str">
            <v>Saint Même Les Carrières</v>
          </cell>
          <cell r="M345" t="str">
            <v>Jarnac</v>
          </cell>
          <cell r="N345">
            <v>0</v>
          </cell>
        </row>
        <row r="346">
          <cell r="C346" t="str">
            <v>F122-1</v>
          </cell>
          <cell r="D346" t="str">
            <v>OUVRARD/PORTEJOIE</v>
          </cell>
          <cell r="E346" t="str">
            <v>PORTEJOIE</v>
          </cell>
          <cell r="F346" t="str">
            <v>Perrine</v>
          </cell>
          <cell r="G346">
            <v>0</v>
          </cell>
          <cell r="H346">
            <v>1</v>
          </cell>
          <cell r="I346">
            <v>0</v>
          </cell>
          <cell r="J346">
            <v>31812</v>
          </cell>
          <cell r="K346" t="str">
            <v>32 an(s) 3 mois et 14 jour(s)</v>
          </cell>
          <cell r="L346" t="str">
            <v>Mainxe</v>
          </cell>
          <cell r="M346" t="str">
            <v>Jarnac</v>
          </cell>
          <cell r="N346">
            <v>0</v>
          </cell>
        </row>
        <row r="347">
          <cell r="C347" t="str">
            <v>F122-2</v>
          </cell>
          <cell r="D347" t="str">
            <v>OUVRARD/PORTEJOIE</v>
          </cell>
          <cell r="E347" t="str">
            <v>OUVRARD</v>
          </cell>
          <cell r="F347" t="str">
            <v>Nathan</v>
          </cell>
          <cell r="G347">
            <v>0</v>
          </cell>
          <cell r="H347">
            <v>0</v>
          </cell>
          <cell r="I347">
            <v>1</v>
          </cell>
          <cell r="J347">
            <v>41066</v>
          </cell>
          <cell r="K347" t="str">
            <v>6 an(s) 11 mois et 12 jour(s)</v>
          </cell>
          <cell r="L347" t="str">
            <v>Mainxe</v>
          </cell>
          <cell r="M347" t="str">
            <v>Jarnac</v>
          </cell>
          <cell r="N347">
            <v>0</v>
          </cell>
        </row>
        <row r="348">
          <cell r="C348" t="str">
            <v>F119-1</v>
          </cell>
          <cell r="D348" t="str">
            <v>OUVRIER-BONNAZ</v>
          </cell>
          <cell r="E348" t="str">
            <v>OUVRIER-BONNAZ</v>
          </cell>
          <cell r="F348" t="str">
            <v>Viviane</v>
          </cell>
          <cell r="G348">
            <v>0</v>
          </cell>
          <cell r="H348">
            <v>1</v>
          </cell>
          <cell r="I348">
            <v>0</v>
          </cell>
          <cell r="J348">
            <v>30396</v>
          </cell>
          <cell r="K348" t="str">
            <v>36 an(s) 1 mois et 27 jour(s)</v>
          </cell>
          <cell r="L348" t="str">
            <v>Cierzac</v>
          </cell>
          <cell r="M348" t="str">
            <v>Hors_Charente</v>
          </cell>
          <cell r="N348" t="str">
            <v>vivianebenoit@yahoo.fr</v>
          </cell>
        </row>
        <row r="349">
          <cell r="C349" t="str">
            <v>F119-2</v>
          </cell>
          <cell r="D349" t="str">
            <v>OUVRIER-BONNAZ</v>
          </cell>
          <cell r="E349" t="str">
            <v>OUVRIER-BONNAZ</v>
          </cell>
          <cell r="F349" t="str">
            <v>Bertrand</v>
          </cell>
          <cell r="G349">
            <v>0</v>
          </cell>
          <cell r="H349">
            <v>0</v>
          </cell>
          <cell r="I349">
            <v>1</v>
          </cell>
          <cell r="J349">
            <v>29559</v>
          </cell>
          <cell r="K349" t="str">
            <v>38 an(s) 5 mois et 14 jour(s)</v>
          </cell>
          <cell r="L349" t="str">
            <v>Cierzac</v>
          </cell>
          <cell r="M349" t="str">
            <v>Hors_Charente</v>
          </cell>
          <cell r="N349">
            <v>0</v>
          </cell>
        </row>
        <row r="350">
          <cell r="C350" t="str">
            <v>F119-3</v>
          </cell>
          <cell r="D350" t="str">
            <v>OUVRIER-BONNAZ</v>
          </cell>
          <cell r="E350" t="str">
            <v>OUVRIER-BONNAZ</v>
          </cell>
          <cell r="F350" t="str">
            <v>Ethan</v>
          </cell>
          <cell r="G350">
            <v>0</v>
          </cell>
          <cell r="H350">
            <v>0</v>
          </cell>
          <cell r="I350">
            <v>1</v>
          </cell>
          <cell r="J350">
            <v>42512</v>
          </cell>
          <cell r="K350" t="str">
            <v>2 an(s) 11 mois et 26 jour(s)</v>
          </cell>
          <cell r="L350" t="str">
            <v>Cierzac</v>
          </cell>
          <cell r="M350" t="str">
            <v>Hors_Charente</v>
          </cell>
          <cell r="N350">
            <v>0</v>
          </cell>
        </row>
        <row r="351">
          <cell r="C351" t="str">
            <v>F119-4</v>
          </cell>
          <cell r="D351" t="str">
            <v>OUVRIER-BONNAZ</v>
          </cell>
          <cell r="E351" t="str">
            <v>OUVRIER-BONNAZ</v>
          </cell>
          <cell r="F351" t="str">
            <v>Lily</v>
          </cell>
          <cell r="G351">
            <v>0</v>
          </cell>
          <cell r="H351">
            <v>1</v>
          </cell>
          <cell r="I351">
            <v>0</v>
          </cell>
          <cell r="J351">
            <v>43225</v>
          </cell>
          <cell r="K351" t="str">
            <v>1 an(s) 0 mois et 13 jour(s)</v>
          </cell>
          <cell r="L351" t="str">
            <v>Cierzac</v>
          </cell>
          <cell r="M351" t="str">
            <v>Hors_Charente</v>
          </cell>
          <cell r="N351">
            <v>0</v>
          </cell>
        </row>
        <row r="352">
          <cell r="C352" t="str">
            <v>F119-5</v>
          </cell>
          <cell r="D352" t="str">
            <v>OUVRIER-BONNAZ</v>
          </cell>
          <cell r="E352" t="str">
            <v>OUVRIER-BONNAZ</v>
          </cell>
          <cell r="F352" t="str">
            <v>Emma</v>
          </cell>
          <cell r="G352">
            <v>0</v>
          </cell>
          <cell r="H352">
            <v>1</v>
          </cell>
          <cell r="I352">
            <v>0</v>
          </cell>
          <cell r="J352">
            <v>43225</v>
          </cell>
          <cell r="K352" t="str">
            <v>1 an(s) 0 mois et 13 jour(s)</v>
          </cell>
          <cell r="L352" t="str">
            <v>Cierzac</v>
          </cell>
          <cell r="M352" t="str">
            <v>Hors_Charente</v>
          </cell>
          <cell r="N352">
            <v>0</v>
          </cell>
        </row>
        <row r="353">
          <cell r="C353" t="str">
            <v>F58-1</v>
          </cell>
          <cell r="D353" t="str">
            <v>OZANNE</v>
          </cell>
          <cell r="E353" t="str">
            <v>OZANNE</v>
          </cell>
          <cell r="F353" t="str">
            <v>Hortense</v>
          </cell>
          <cell r="G353">
            <v>0</v>
          </cell>
          <cell r="H353">
            <v>1</v>
          </cell>
          <cell r="I353">
            <v>0</v>
          </cell>
          <cell r="J353">
            <v>30312</v>
          </cell>
          <cell r="K353" t="str">
            <v>36 an(s) 4 mois et 21 jour(s)</v>
          </cell>
          <cell r="L353" t="str">
            <v>Cognac</v>
          </cell>
          <cell r="M353" t="str">
            <v>Cognac</v>
          </cell>
          <cell r="N353" t="str">
            <v>hortenseozanne@gmail.com</v>
          </cell>
        </row>
        <row r="354">
          <cell r="C354" t="str">
            <v>F58-2</v>
          </cell>
          <cell r="D354" t="str">
            <v>OZANNE</v>
          </cell>
          <cell r="E354" t="str">
            <v>OZANNE</v>
          </cell>
          <cell r="F354" t="str">
            <v>Georges</v>
          </cell>
          <cell r="G354">
            <v>0</v>
          </cell>
          <cell r="H354">
            <v>0</v>
          </cell>
          <cell r="I354">
            <v>1</v>
          </cell>
          <cell r="J354">
            <v>41702</v>
          </cell>
          <cell r="K354" t="str">
            <v>5 an(s) 2 mois et 14 jour(s)</v>
          </cell>
          <cell r="L354" t="str">
            <v>Cognac</v>
          </cell>
          <cell r="M354" t="str">
            <v>Cognac</v>
          </cell>
          <cell r="N354">
            <v>0</v>
          </cell>
        </row>
        <row r="355">
          <cell r="C355" t="str">
            <v>F58-3</v>
          </cell>
          <cell r="D355" t="str">
            <v>OZANNE</v>
          </cell>
          <cell r="E355" t="str">
            <v>OZANNE</v>
          </cell>
          <cell r="F355" t="str">
            <v>Arnaud</v>
          </cell>
          <cell r="G355">
            <v>0</v>
          </cell>
          <cell r="H355">
            <v>0</v>
          </cell>
          <cell r="I355">
            <v>1</v>
          </cell>
          <cell r="J355">
            <v>42313</v>
          </cell>
          <cell r="K355" t="str">
            <v>3 an(s) 6 mois et 13 jour(s)</v>
          </cell>
          <cell r="L355" t="str">
            <v>Cognac</v>
          </cell>
          <cell r="M355" t="str">
            <v>Cognac</v>
          </cell>
          <cell r="N355">
            <v>0</v>
          </cell>
        </row>
        <row r="356">
          <cell r="C356" t="str">
            <v>F58-5</v>
          </cell>
          <cell r="D356" t="str">
            <v>OZANNE</v>
          </cell>
          <cell r="E356" t="str">
            <v>OZANNE</v>
          </cell>
          <cell r="F356" t="str">
            <v>Constantin</v>
          </cell>
          <cell r="G356">
            <v>0</v>
          </cell>
          <cell r="H356">
            <v>0</v>
          </cell>
          <cell r="I356">
            <v>1</v>
          </cell>
          <cell r="J356">
            <v>43119</v>
          </cell>
          <cell r="K356" t="str">
            <v>1 an(s) 3 mois et 29 jour(s)</v>
          </cell>
          <cell r="L356" t="str">
            <v>Cognac</v>
          </cell>
          <cell r="M356" t="str">
            <v>Cognac</v>
          </cell>
          <cell r="N356">
            <v>0</v>
          </cell>
        </row>
        <row r="357">
          <cell r="C357" t="str">
            <v>F92-1</v>
          </cell>
          <cell r="D357" t="str">
            <v>PACINI MASINA</v>
          </cell>
          <cell r="E357" t="str">
            <v>MASINA</v>
          </cell>
          <cell r="F357" t="str">
            <v>Virginie</v>
          </cell>
          <cell r="G357">
            <v>0</v>
          </cell>
          <cell r="H357">
            <v>1</v>
          </cell>
          <cell r="I357">
            <v>0</v>
          </cell>
          <cell r="J357">
            <v>28008</v>
          </cell>
          <cell r="K357" t="str">
            <v>42 an(s) 8 mois et 13 jour(s)</v>
          </cell>
          <cell r="L357" t="str">
            <v>SEGONZAC</v>
          </cell>
          <cell r="M357" t="str">
            <v>Champagne</v>
          </cell>
          <cell r="N357" t="str">
            <v>virginie.masina@gmail. Com</v>
          </cell>
        </row>
        <row r="358">
          <cell r="C358" t="str">
            <v>F92-2</v>
          </cell>
          <cell r="D358" t="str">
            <v>PACINI MASINA</v>
          </cell>
          <cell r="E358" t="str">
            <v>KHELIKA</v>
          </cell>
          <cell r="F358" t="str">
            <v>Akim</v>
          </cell>
          <cell r="G358">
            <v>0</v>
          </cell>
          <cell r="H358">
            <v>0</v>
          </cell>
          <cell r="I358">
            <v>1</v>
          </cell>
          <cell r="J358">
            <v>26975</v>
          </cell>
          <cell r="K358" t="str">
            <v>45 an(s) 6 mois et 11 jour(s)</v>
          </cell>
          <cell r="L358" t="str">
            <v>SEGONZAC</v>
          </cell>
          <cell r="M358" t="str">
            <v>Champagne</v>
          </cell>
          <cell r="N358">
            <v>0</v>
          </cell>
        </row>
        <row r="359">
          <cell r="C359" t="str">
            <v>F92-3</v>
          </cell>
          <cell r="D359" t="str">
            <v>PACINI MASINA</v>
          </cell>
          <cell r="E359" t="str">
            <v>PACINI MASINA</v>
          </cell>
          <cell r="F359" t="str">
            <v>Paolo</v>
          </cell>
          <cell r="G359">
            <v>0</v>
          </cell>
          <cell r="H359">
            <v>0</v>
          </cell>
          <cell r="I359">
            <v>1</v>
          </cell>
          <cell r="J359">
            <v>38485</v>
          </cell>
          <cell r="K359" t="str">
            <v>14 an(s) 0 mois et 5 jour(s)</v>
          </cell>
          <cell r="L359" t="str">
            <v>SEGONZAC</v>
          </cell>
          <cell r="M359" t="str">
            <v>Champagne</v>
          </cell>
          <cell r="N359">
            <v>0</v>
          </cell>
        </row>
        <row r="360">
          <cell r="C360" t="str">
            <v>F92-4</v>
          </cell>
          <cell r="D360" t="str">
            <v>PACINI MASINA</v>
          </cell>
          <cell r="E360" t="str">
            <v>PACINI MASINA</v>
          </cell>
          <cell r="F360" t="str">
            <v>Ari</v>
          </cell>
          <cell r="G360">
            <v>0</v>
          </cell>
          <cell r="H360">
            <v>0</v>
          </cell>
          <cell r="I360">
            <v>1</v>
          </cell>
          <cell r="J360">
            <v>39492</v>
          </cell>
          <cell r="K360" t="str">
            <v>11 an(s) 3 mois et 4 jour(s)</v>
          </cell>
          <cell r="L360" t="str">
            <v>SEGONZAC</v>
          </cell>
          <cell r="M360" t="str">
            <v>Champagne</v>
          </cell>
          <cell r="N360">
            <v>0</v>
          </cell>
        </row>
        <row r="361">
          <cell r="C361" t="str">
            <v>F92-5</v>
          </cell>
          <cell r="D361" t="str">
            <v>PACINI MASINA</v>
          </cell>
          <cell r="E361" t="str">
            <v>PACINI MASINA</v>
          </cell>
          <cell r="F361" t="str">
            <v>Helena</v>
          </cell>
          <cell r="G361">
            <v>0</v>
          </cell>
          <cell r="H361">
            <v>1</v>
          </cell>
          <cell r="I361">
            <v>0</v>
          </cell>
          <cell r="J361">
            <v>39492</v>
          </cell>
          <cell r="K361" t="str">
            <v>11 an(s) 3 mois et 4 jour(s)</v>
          </cell>
          <cell r="L361" t="str">
            <v>SEGONZAC</v>
          </cell>
          <cell r="M361" t="str">
            <v>Champagne</v>
          </cell>
          <cell r="N361">
            <v>0</v>
          </cell>
        </row>
        <row r="362">
          <cell r="C362" t="str">
            <v>F124-1</v>
          </cell>
          <cell r="D362" t="str">
            <v>PAILLARD-HERVÉ</v>
          </cell>
          <cell r="E362" t="str">
            <v>PAILLARD-HERVÉ</v>
          </cell>
          <cell r="F362" t="str">
            <v>Blandine</v>
          </cell>
          <cell r="G362">
            <v>0</v>
          </cell>
          <cell r="H362">
            <v>1</v>
          </cell>
          <cell r="I362">
            <v>0</v>
          </cell>
          <cell r="J362">
            <v>31020</v>
          </cell>
          <cell r="K362" t="str">
            <v>34 an(s) 5 mois et 14 jour(s)</v>
          </cell>
          <cell r="L362" t="str">
            <v>COGNAC</v>
          </cell>
          <cell r="M362" t="str">
            <v>Cognac</v>
          </cell>
          <cell r="N362" t="str">
            <v>blandinepaillard@yahoo.fr</v>
          </cell>
        </row>
        <row r="363">
          <cell r="C363" t="str">
            <v>F124-2</v>
          </cell>
          <cell r="D363" t="str">
            <v>PAILLARD-HERVÉ</v>
          </cell>
          <cell r="E363" t="str">
            <v>HERVÉ</v>
          </cell>
          <cell r="F363" t="str">
            <v>Erwan</v>
          </cell>
          <cell r="G363">
            <v>0</v>
          </cell>
          <cell r="H363">
            <v>0</v>
          </cell>
          <cell r="I363">
            <v>1</v>
          </cell>
          <cell r="J363">
            <v>28856</v>
          </cell>
          <cell r="K363" t="str">
            <v>40 an(s) 4 mois et 17 jour(s)</v>
          </cell>
          <cell r="L363" t="str">
            <v>COGNAC</v>
          </cell>
          <cell r="M363" t="str">
            <v>Cognac</v>
          </cell>
          <cell r="N363">
            <v>0</v>
          </cell>
        </row>
        <row r="364">
          <cell r="C364" t="str">
            <v>F124-3</v>
          </cell>
          <cell r="D364" t="str">
            <v>PAILLARD-HERVÉ</v>
          </cell>
          <cell r="E364" t="str">
            <v>PAILLARD-HERVÉ</v>
          </cell>
          <cell r="F364" t="str">
            <v>Nils</v>
          </cell>
          <cell r="G364">
            <v>0</v>
          </cell>
          <cell r="H364">
            <v>0</v>
          </cell>
          <cell r="I364">
            <v>1</v>
          </cell>
          <cell r="J364">
            <v>42779</v>
          </cell>
          <cell r="K364" t="str">
            <v>2 an(s) 3 mois et 5 jour(s)</v>
          </cell>
          <cell r="L364" t="str">
            <v>COGNAC</v>
          </cell>
          <cell r="M364" t="str">
            <v>Cognac</v>
          </cell>
          <cell r="N364">
            <v>0</v>
          </cell>
        </row>
        <row r="365">
          <cell r="C365" t="str">
            <v>F10-1</v>
          </cell>
          <cell r="D365" t="str">
            <v>PAINTURAUD</v>
          </cell>
          <cell r="E365" t="str">
            <v>PAINTURAUD</v>
          </cell>
          <cell r="F365" t="str">
            <v>Janine</v>
          </cell>
          <cell r="G365">
            <v>0</v>
          </cell>
          <cell r="H365">
            <v>1</v>
          </cell>
          <cell r="I365">
            <v>0</v>
          </cell>
          <cell r="J365">
            <v>18161</v>
          </cell>
          <cell r="K365" t="str">
            <v>69 an(s) 7 mois et 28 jour(s)</v>
          </cell>
          <cell r="L365" t="str">
            <v>SEGONZAC</v>
          </cell>
          <cell r="M365" t="str">
            <v>Champagne</v>
          </cell>
          <cell r="N365" t="str">
            <v>janine.painturaud@gmail.com</v>
          </cell>
        </row>
        <row r="366">
          <cell r="C366" t="str">
            <v>F10-2</v>
          </cell>
          <cell r="D366" t="str">
            <v>PAINTURAUD</v>
          </cell>
          <cell r="E366" t="str">
            <v>PAINTURAUD</v>
          </cell>
          <cell r="F366" t="str">
            <v>Paul</v>
          </cell>
          <cell r="G366">
            <v>0</v>
          </cell>
          <cell r="H366">
            <v>0</v>
          </cell>
          <cell r="I366">
            <v>1</v>
          </cell>
          <cell r="J366">
            <v>40115</v>
          </cell>
          <cell r="K366" t="str">
            <v>9 an(s) 6 mois et 19 jour(s)</v>
          </cell>
          <cell r="L366" t="str">
            <v>SEGONZAC</v>
          </cell>
          <cell r="M366" t="str">
            <v>Champagne</v>
          </cell>
          <cell r="N366">
            <v>0</v>
          </cell>
        </row>
        <row r="367">
          <cell r="C367" t="str">
            <v>F10-3</v>
          </cell>
          <cell r="D367" t="str">
            <v>PAINTURAUD</v>
          </cell>
          <cell r="E367" t="str">
            <v>PAINTURAUD</v>
          </cell>
          <cell r="F367" t="str">
            <v>Marin</v>
          </cell>
          <cell r="G367">
            <v>0</v>
          </cell>
          <cell r="H367">
            <v>0</v>
          </cell>
          <cell r="I367">
            <v>1</v>
          </cell>
          <cell r="J367">
            <v>41128</v>
          </cell>
          <cell r="K367" t="str">
            <v>6 an(s) 9 mois et 11 jour(s)</v>
          </cell>
          <cell r="L367" t="str">
            <v>SEGONZAC</v>
          </cell>
          <cell r="M367" t="str">
            <v>Champagne</v>
          </cell>
          <cell r="N367">
            <v>0</v>
          </cell>
        </row>
        <row r="368">
          <cell r="C368" t="str">
            <v>F10-5</v>
          </cell>
          <cell r="D368" t="str">
            <v>PAINTURAUD</v>
          </cell>
          <cell r="E368" t="str">
            <v>PAINTURAUD</v>
          </cell>
          <cell r="F368" t="str">
            <v>Pierre</v>
          </cell>
          <cell r="G368">
            <v>0</v>
          </cell>
          <cell r="H368">
            <v>0</v>
          </cell>
          <cell r="I368">
            <v>1</v>
          </cell>
          <cell r="J368">
            <v>40437</v>
          </cell>
          <cell r="K368" t="str">
            <v>8 an(s) 8 mois et 2 jour(s)</v>
          </cell>
          <cell r="L368" t="str">
            <v>SEGONZAC</v>
          </cell>
          <cell r="M368" t="str">
            <v>Champagne</v>
          </cell>
          <cell r="N368">
            <v>0</v>
          </cell>
        </row>
        <row r="369">
          <cell r="C369" t="str">
            <v>F67-1</v>
          </cell>
          <cell r="D369" t="str">
            <v>PAINTURAUD/BERNARD</v>
          </cell>
          <cell r="E369" t="str">
            <v>BERNARD</v>
          </cell>
          <cell r="F369" t="str">
            <v>Laurie</v>
          </cell>
          <cell r="G369">
            <v>0</v>
          </cell>
          <cell r="H369">
            <v>1</v>
          </cell>
          <cell r="I369">
            <v>0</v>
          </cell>
          <cell r="J369">
            <v>30515</v>
          </cell>
          <cell r="K369" t="str">
            <v>35 an(s) 10 mois et 0 jour(s)</v>
          </cell>
          <cell r="L369" t="str">
            <v>SEGONZAC</v>
          </cell>
          <cell r="M369" t="str">
            <v>Champagne</v>
          </cell>
          <cell r="N369" t="str">
            <v>lauriebernard1807@gmail.com</v>
          </cell>
        </row>
        <row r="370">
          <cell r="C370" t="str">
            <v>F67-2</v>
          </cell>
          <cell r="D370" t="str">
            <v>PAINTURAUD/BERNARD</v>
          </cell>
          <cell r="E370" t="str">
            <v>PAINTURAUD</v>
          </cell>
          <cell r="F370" t="str">
            <v>Ernest</v>
          </cell>
          <cell r="G370">
            <v>0</v>
          </cell>
          <cell r="H370">
            <v>0</v>
          </cell>
          <cell r="I370">
            <v>1</v>
          </cell>
          <cell r="J370">
            <v>42449</v>
          </cell>
          <cell r="K370" t="str">
            <v>3 an(s) 1 mois et 28 jour(s)</v>
          </cell>
          <cell r="L370" t="str">
            <v>SEGONZAC</v>
          </cell>
          <cell r="M370" t="str">
            <v>Champagne</v>
          </cell>
          <cell r="N370">
            <v>0</v>
          </cell>
        </row>
        <row r="371">
          <cell r="C371" t="str">
            <v>F104-1</v>
          </cell>
          <cell r="D371" t="str">
            <v>PETIT</v>
          </cell>
          <cell r="E371" t="str">
            <v>PETIT</v>
          </cell>
          <cell r="F371" t="str">
            <v>Christophe</v>
          </cell>
          <cell r="G371">
            <v>0</v>
          </cell>
          <cell r="H371">
            <v>0</v>
          </cell>
          <cell r="I371">
            <v>1</v>
          </cell>
          <cell r="J371">
            <v>28607</v>
          </cell>
          <cell r="K371" t="str">
            <v>41 an(s) 0 mois et 21 jour(s)</v>
          </cell>
          <cell r="L371" t="str">
            <v>Saint Fort</v>
          </cell>
          <cell r="M371" t="str">
            <v>Champagne</v>
          </cell>
          <cell r="N371">
            <v>0</v>
          </cell>
        </row>
        <row r="372">
          <cell r="C372" t="str">
            <v>F104-2</v>
          </cell>
          <cell r="D372" t="str">
            <v>PETIT</v>
          </cell>
          <cell r="E372" t="str">
            <v>PETIT</v>
          </cell>
          <cell r="F372" t="str">
            <v>Stéphanie</v>
          </cell>
          <cell r="G372">
            <v>0</v>
          </cell>
          <cell r="H372">
            <v>1</v>
          </cell>
          <cell r="I372">
            <v>0</v>
          </cell>
          <cell r="J372">
            <v>30411</v>
          </cell>
          <cell r="K372" t="str">
            <v>36 an(s) 1 mois et 13 jour(s)</v>
          </cell>
          <cell r="L372" t="str">
            <v>Saint Fort</v>
          </cell>
          <cell r="M372" t="str">
            <v>Champagne</v>
          </cell>
          <cell r="N372">
            <v>0</v>
          </cell>
        </row>
        <row r="373">
          <cell r="C373" t="str">
            <v>F104-3</v>
          </cell>
          <cell r="D373" t="str">
            <v>PETIT</v>
          </cell>
          <cell r="E373" t="str">
            <v>PETIT</v>
          </cell>
          <cell r="F373" t="str">
            <v>Priscillia</v>
          </cell>
          <cell r="G373">
            <v>0</v>
          </cell>
          <cell r="H373">
            <v>1</v>
          </cell>
          <cell r="I373">
            <v>0</v>
          </cell>
          <cell r="J373">
            <v>39648</v>
          </cell>
          <cell r="K373" t="str">
            <v>10 an(s) 9 mois et 29 jour(s)</v>
          </cell>
          <cell r="L373" t="str">
            <v>Saint Fort</v>
          </cell>
          <cell r="M373" t="str">
            <v>Champagne</v>
          </cell>
          <cell r="N373">
            <v>0</v>
          </cell>
        </row>
        <row r="374">
          <cell r="C374" t="str">
            <v>F73-1</v>
          </cell>
          <cell r="D374" t="str">
            <v>PEYRELADE</v>
          </cell>
          <cell r="E374" t="str">
            <v>PEYRELADE</v>
          </cell>
          <cell r="F374" t="str">
            <v>Corinne</v>
          </cell>
          <cell r="G374">
            <v>0</v>
          </cell>
          <cell r="H374">
            <v>1</v>
          </cell>
          <cell r="I374">
            <v>0</v>
          </cell>
          <cell r="J374">
            <v>23433</v>
          </cell>
          <cell r="K374" t="str">
            <v>55 an(s) 2 mois et 22 jour(s)</v>
          </cell>
          <cell r="L374" t="str">
            <v>ANGEAC CHAMPAGNE</v>
          </cell>
          <cell r="M374" t="str">
            <v>Champagne</v>
          </cell>
          <cell r="N374">
            <v>0</v>
          </cell>
        </row>
        <row r="375">
          <cell r="C375" t="str">
            <v>F73-3</v>
          </cell>
          <cell r="D375" t="str">
            <v>PEYRELADE</v>
          </cell>
          <cell r="E375" t="str">
            <v>PEYRELADE</v>
          </cell>
          <cell r="F375" t="str">
            <v>Marc</v>
          </cell>
          <cell r="G375">
            <v>0</v>
          </cell>
          <cell r="H375">
            <v>0</v>
          </cell>
          <cell r="I375">
            <v>1</v>
          </cell>
          <cell r="J375">
            <v>22586</v>
          </cell>
          <cell r="K375" t="str">
            <v>57 an(s) 6 mois et 17 jour(s)</v>
          </cell>
          <cell r="L375" t="str">
            <v>ANGEAC CHAMPAGNE</v>
          </cell>
          <cell r="M375" t="str">
            <v>Champagne</v>
          </cell>
          <cell r="N375">
            <v>0</v>
          </cell>
        </row>
        <row r="376">
          <cell r="C376" t="str">
            <v>F112-1</v>
          </cell>
          <cell r="D376" t="str">
            <v>PRESSON-HALLYG</v>
          </cell>
          <cell r="E376" t="str">
            <v>HALLYG</v>
          </cell>
          <cell r="F376" t="str">
            <v>Bérangère</v>
          </cell>
          <cell r="G376">
            <v>0</v>
          </cell>
          <cell r="H376">
            <v>1</v>
          </cell>
          <cell r="I376">
            <v>0</v>
          </cell>
          <cell r="J376">
            <v>27325</v>
          </cell>
          <cell r="K376" t="str">
            <v>44 an(s) 6 mois et 25 jour(s)</v>
          </cell>
          <cell r="L376" t="str">
            <v>COGNAC</v>
          </cell>
          <cell r="M376" t="str">
            <v>Cognac</v>
          </cell>
          <cell r="N376">
            <v>0</v>
          </cell>
        </row>
        <row r="377">
          <cell r="C377" t="str">
            <v>F112-2</v>
          </cell>
          <cell r="D377" t="str">
            <v>PRESSON-HALLYG</v>
          </cell>
          <cell r="E377" t="str">
            <v>PRESSON-HALLYG</v>
          </cell>
          <cell r="F377" t="str">
            <v>Sasha</v>
          </cell>
          <cell r="G377">
            <v>0</v>
          </cell>
          <cell r="H377">
            <v>0</v>
          </cell>
          <cell r="I377">
            <v>1</v>
          </cell>
          <cell r="J377">
            <v>41634</v>
          </cell>
          <cell r="K377" t="str">
            <v>5 an(s) 4 mois et 22 jour(s)</v>
          </cell>
          <cell r="L377" t="str">
            <v>Cognac</v>
          </cell>
          <cell r="M377" t="str">
            <v>Cognac</v>
          </cell>
          <cell r="N377">
            <v>0</v>
          </cell>
        </row>
        <row r="378">
          <cell r="C378" t="str">
            <v>F115-1</v>
          </cell>
          <cell r="D378" t="str">
            <v>PUJOL</v>
          </cell>
          <cell r="E378" t="str">
            <v>PUJOL</v>
          </cell>
          <cell r="F378" t="str">
            <v>Louise</v>
          </cell>
          <cell r="G378">
            <v>0</v>
          </cell>
          <cell r="H378">
            <v>1</v>
          </cell>
          <cell r="I378">
            <v>0</v>
          </cell>
          <cell r="J378">
            <v>33091</v>
          </cell>
          <cell r="K378" t="str">
            <v>28 an(s) 9 mois et 12 jour(s)</v>
          </cell>
          <cell r="L378" t="str">
            <v>Saint Même Les Carrières</v>
          </cell>
          <cell r="M378" t="str">
            <v>Jarnac</v>
          </cell>
          <cell r="N378">
            <v>0</v>
          </cell>
        </row>
        <row r="379">
          <cell r="C379" t="str">
            <v>F115-2</v>
          </cell>
          <cell r="D379" t="str">
            <v>PUJOL</v>
          </cell>
          <cell r="E379" t="str">
            <v>PUJOL</v>
          </cell>
          <cell r="F379" t="str">
            <v>Pierre</v>
          </cell>
          <cell r="G379">
            <v>0</v>
          </cell>
          <cell r="H379">
            <v>0</v>
          </cell>
          <cell r="I379">
            <v>1</v>
          </cell>
          <cell r="J379">
            <v>32281</v>
          </cell>
          <cell r="K379" t="str">
            <v>31 an(s) 0 mois et 0 jour(s)</v>
          </cell>
          <cell r="L379" t="str">
            <v>Saint Même Les Carrières</v>
          </cell>
          <cell r="M379" t="str">
            <v>Jarnac</v>
          </cell>
          <cell r="N379">
            <v>0</v>
          </cell>
        </row>
        <row r="380">
          <cell r="C380" t="str">
            <v>F115-3</v>
          </cell>
          <cell r="D380" t="str">
            <v>PUJOL</v>
          </cell>
          <cell r="E380" t="str">
            <v>PUJOL</v>
          </cell>
          <cell r="F380" t="str">
            <v>Théophane</v>
          </cell>
          <cell r="G380">
            <v>0</v>
          </cell>
          <cell r="H380">
            <v>0</v>
          </cell>
          <cell r="I380">
            <v>1</v>
          </cell>
          <cell r="J380">
            <v>43157</v>
          </cell>
          <cell r="K380" t="str">
            <v>1 an(s) 2 mois et 22 jour(s)</v>
          </cell>
          <cell r="L380" t="str">
            <v>Saint Même Les Carrières</v>
          </cell>
          <cell r="M380" t="str">
            <v>Jarnac</v>
          </cell>
          <cell r="N380">
            <v>0</v>
          </cell>
        </row>
        <row r="381">
          <cell r="C381" t="str">
            <v>F100-1</v>
          </cell>
          <cell r="D381" t="str">
            <v>QUILLERE-GADRAS</v>
          </cell>
          <cell r="E381" t="str">
            <v>QUILLERE-GADRAS</v>
          </cell>
          <cell r="F381" t="str">
            <v>Marie-Laure</v>
          </cell>
          <cell r="G381">
            <v>0</v>
          </cell>
          <cell r="H381">
            <v>1</v>
          </cell>
          <cell r="I381">
            <v>0</v>
          </cell>
          <cell r="J381">
            <v>27811</v>
          </cell>
          <cell r="K381" t="str">
            <v>43 an(s) 2 mois et 27 jour(s)</v>
          </cell>
          <cell r="L381" t="str">
            <v>Bourg-Charente</v>
          </cell>
          <cell r="M381" t="str">
            <v>Jarnac</v>
          </cell>
          <cell r="N381" t="str">
            <v>lilore16@orange.fr</v>
          </cell>
        </row>
        <row r="382">
          <cell r="C382" t="str">
            <v>F100-2</v>
          </cell>
          <cell r="D382" t="str">
            <v>QUILLERE-GADRAS</v>
          </cell>
          <cell r="E382" t="str">
            <v>QUILLERE-GADRAS</v>
          </cell>
          <cell r="F382" t="str">
            <v>Martin</v>
          </cell>
          <cell r="G382">
            <v>0</v>
          </cell>
          <cell r="H382">
            <v>0</v>
          </cell>
          <cell r="I382">
            <v>1</v>
          </cell>
          <cell r="J382">
            <v>41338</v>
          </cell>
          <cell r="K382" t="str">
            <v>6 an(s) 2 mois et 13 jour(s)</v>
          </cell>
          <cell r="L382" t="str">
            <v>Bourg-Charente</v>
          </cell>
          <cell r="M382" t="str">
            <v>Jarnac</v>
          </cell>
          <cell r="N382">
            <v>0</v>
          </cell>
        </row>
        <row r="383">
          <cell r="C383" t="str">
            <v>F100-3</v>
          </cell>
          <cell r="D383" t="str">
            <v>QUILLERE-GADRAS</v>
          </cell>
          <cell r="E383" t="str">
            <v>QUILLERE-GADRAS</v>
          </cell>
          <cell r="F383" t="str">
            <v>Margaux</v>
          </cell>
          <cell r="G383">
            <v>0</v>
          </cell>
          <cell r="H383">
            <v>1</v>
          </cell>
          <cell r="I383">
            <v>0</v>
          </cell>
          <cell r="J383">
            <v>41338</v>
          </cell>
          <cell r="K383" t="str">
            <v>6 an(s) 2 mois et 13 jour(s)</v>
          </cell>
          <cell r="L383" t="str">
            <v>Bourg-Charente</v>
          </cell>
          <cell r="M383" t="str">
            <v>Jarnac</v>
          </cell>
          <cell r="N383">
            <v>0</v>
          </cell>
        </row>
        <row r="384">
          <cell r="C384" t="str">
            <v>F128-1</v>
          </cell>
          <cell r="D384" t="str">
            <v>RABILLER</v>
          </cell>
          <cell r="E384" t="str">
            <v>RABILLER</v>
          </cell>
          <cell r="F384" t="str">
            <v>Cathy</v>
          </cell>
          <cell r="G384">
            <v>0</v>
          </cell>
          <cell r="H384">
            <v>1</v>
          </cell>
          <cell r="I384">
            <v>0</v>
          </cell>
          <cell r="J384">
            <v>20504</v>
          </cell>
          <cell r="K384" t="str">
            <v>63 an(s) 2 mois et 29 jour(s)</v>
          </cell>
          <cell r="L384" t="str">
            <v>SEGONZAC</v>
          </cell>
          <cell r="M384" t="str">
            <v>Champagne</v>
          </cell>
          <cell r="N384" t="str">
            <v>Catherinerabiller@orange.fr</v>
          </cell>
        </row>
        <row r="385">
          <cell r="C385" t="str">
            <v>F128-2</v>
          </cell>
          <cell r="D385" t="str">
            <v>RABILLER</v>
          </cell>
          <cell r="E385" t="str">
            <v>RABILLER</v>
          </cell>
          <cell r="F385" t="str">
            <v>Arthur</v>
          </cell>
          <cell r="G385">
            <v>0</v>
          </cell>
          <cell r="H385">
            <v>0</v>
          </cell>
          <cell r="I385">
            <v>1</v>
          </cell>
          <cell r="J385">
            <v>42461</v>
          </cell>
          <cell r="K385" t="str">
            <v>3 an(s) 1 mois et 17 jour(s)</v>
          </cell>
          <cell r="L385" t="str">
            <v>SEGONZAC</v>
          </cell>
          <cell r="M385" t="str">
            <v>Champagne</v>
          </cell>
          <cell r="N385">
            <v>0</v>
          </cell>
        </row>
        <row r="386">
          <cell r="C386" t="str">
            <v>F106-1</v>
          </cell>
          <cell r="D386" t="str">
            <v>RAIMBAUD</v>
          </cell>
          <cell r="E386" t="str">
            <v>RAIMBAUD</v>
          </cell>
          <cell r="F386" t="str">
            <v>Damien</v>
          </cell>
          <cell r="G386">
            <v>0</v>
          </cell>
          <cell r="H386">
            <v>0</v>
          </cell>
          <cell r="I386">
            <v>1</v>
          </cell>
          <cell r="J386">
            <v>31284</v>
          </cell>
          <cell r="K386" t="str">
            <v>33 an(s) 8 mois et 23 jour(s)</v>
          </cell>
          <cell r="L386" t="str">
            <v>Saint Même Les Carrières</v>
          </cell>
          <cell r="M386" t="str">
            <v>Jarnac</v>
          </cell>
          <cell r="N386" t="str">
            <v>julie.raimbaud@sfr.fr</v>
          </cell>
        </row>
        <row r="387">
          <cell r="C387" t="str">
            <v>F106-2</v>
          </cell>
          <cell r="D387" t="str">
            <v>RAIMBAUD</v>
          </cell>
          <cell r="E387" t="str">
            <v>RAIMBAUD</v>
          </cell>
          <cell r="F387" t="str">
            <v>Julie</v>
          </cell>
          <cell r="G387">
            <v>0</v>
          </cell>
          <cell r="H387">
            <v>1</v>
          </cell>
          <cell r="I387">
            <v>0</v>
          </cell>
          <cell r="J387">
            <v>33017</v>
          </cell>
          <cell r="K387" t="str">
            <v>28 an(s) 11 mois et 24 jour(s)</v>
          </cell>
          <cell r="L387" t="str">
            <v>Saint Même Les Carrières</v>
          </cell>
          <cell r="M387" t="str">
            <v>Jarnac</v>
          </cell>
          <cell r="N387">
            <v>0</v>
          </cell>
        </row>
        <row r="388">
          <cell r="C388" t="str">
            <v>F106-3</v>
          </cell>
          <cell r="D388" t="str">
            <v>RAIMBAUD</v>
          </cell>
          <cell r="E388" t="str">
            <v>RAIMBAUD</v>
          </cell>
          <cell r="F388" t="str">
            <v>Agathe</v>
          </cell>
          <cell r="G388">
            <v>0</v>
          </cell>
          <cell r="H388">
            <v>1</v>
          </cell>
          <cell r="I388">
            <v>0</v>
          </cell>
          <cell r="J388">
            <v>42520</v>
          </cell>
          <cell r="K388" t="str">
            <v>2 an(s) 11 mois et 18 jour(s)</v>
          </cell>
          <cell r="L388" t="str">
            <v>Saint Même Les Carrières</v>
          </cell>
          <cell r="M388" t="str">
            <v>Jarnac</v>
          </cell>
          <cell r="N388">
            <v>0</v>
          </cell>
        </row>
        <row r="389">
          <cell r="C389" t="str">
            <v>F65-1</v>
          </cell>
          <cell r="D389" t="str">
            <v>RATIE/LONJARD</v>
          </cell>
          <cell r="E389" t="str">
            <v>LONJARD</v>
          </cell>
          <cell r="F389" t="str">
            <v>Nathalie</v>
          </cell>
          <cell r="G389">
            <v>0</v>
          </cell>
          <cell r="H389">
            <v>1</v>
          </cell>
          <cell r="I389">
            <v>0</v>
          </cell>
          <cell r="J389">
            <v>23531</v>
          </cell>
          <cell r="K389" t="str">
            <v>54 an(s) 11 mois et 15 jour(s)</v>
          </cell>
          <cell r="L389" t="str">
            <v>SEGONZAC</v>
          </cell>
          <cell r="M389" t="str">
            <v>Champagne</v>
          </cell>
          <cell r="N389" t="str">
            <v>nathalie03061964@gmail.com</v>
          </cell>
        </row>
        <row r="390">
          <cell r="C390" t="str">
            <v>F65-2</v>
          </cell>
          <cell r="D390" t="str">
            <v>RATIE/LONJARD</v>
          </cell>
          <cell r="E390" t="str">
            <v>RATIE</v>
          </cell>
          <cell r="F390" t="str">
            <v>Nathan</v>
          </cell>
          <cell r="G390">
            <v>0</v>
          </cell>
          <cell r="H390">
            <v>0</v>
          </cell>
          <cell r="I390">
            <v>1</v>
          </cell>
          <cell r="J390">
            <v>40448</v>
          </cell>
          <cell r="K390" t="str">
            <v>8 an(s) 7 mois et 21 jour(s)</v>
          </cell>
          <cell r="L390" t="str">
            <v>SEGONZAC</v>
          </cell>
          <cell r="M390" t="str">
            <v>Champagne</v>
          </cell>
          <cell r="N390">
            <v>0</v>
          </cell>
        </row>
        <row r="391">
          <cell r="C391" t="str">
            <v>F93-1</v>
          </cell>
          <cell r="D391" t="str">
            <v>RENAUD/TALIERCO</v>
          </cell>
          <cell r="E391" t="str">
            <v>TALIERCIO</v>
          </cell>
          <cell r="F391" t="str">
            <v>Marie Line</v>
          </cell>
          <cell r="G391">
            <v>0</v>
          </cell>
          <cell r="H391">
            <v>1</v>
          </cell>
          <cell r="I391">
            <v>0</v>
          </cell>
          <cell r="J391">
            <v>21821</v>
          </cell>
          <cell r="K391" t="str">
            <v>59 an(s) 7 mois et 20 jour(s)</v>
          </cell>
          <cell r="L391" t="str">
            <v>Cognac</v>
          </cell>
          <cell r="M391" t="str">
            <v>Cognac</v>
          </cell>
          <cell r="N391">
            <v>0</v>
          </cell>
        </row>
        <row r="392">
          <cell r="C392" t="str">
            <v>F93-2</v>
          </cell>
          <cell r="D392" t="str">
            <v>RENAUD/TALIERCO</v>
          </cell>
          <cell r="E392" t="str">
            <v>RENAUD</v>
          </cell>
          <cell r="F392" t="str">
            <v>Jules</v>
          </cell>
          <cell r="G392">
            <v>0</v>
          </cell>
          <cell r="H392">
            <v>0</v>
          </cell>
          <cell r="I392">
            <v>1</v>
          </cell>
          <cell r="J392">
            <v>42480</v>
          </cell>
          <cell r="K392" t="str">
            <v>3 an(s) 0 mois et 28 jour(s)</v>
          </cell>
          <cell r="L392" t="str">
            <v>Cognac</v>
          </cell>
          <cell r="M392" t="str">
            <v>Cognac</v>
          </cell>
          <cell r="N392" t="str">
            <v>marie5916@orange.fr</v>
          </cell>
        </row>
        <row r="393">
          <cell r="C393" t="str">
            <v>F127-1</v>
          </cell>
          <cell r="D393" t="str">
            <v>ROBREAU/OLLIERO</v>
          </cell>
          <cell r="E393" t="str">
            <v>OLLIERO-GRENON</v>
          </cell>
          <cell r="F393" t="str">
            <v>Ambre</v>
          </cell>
          <cell r="G393">
            <v>0</v>
          </cell>
          <cell r="H393">
            <v>1</v>
          </cell>
          <cell r="I393">
            <v>0</v>
          </cell>
          <cell r="J393">
            <v>34918</v>
          </cell>
          <cell r="K393" t="str">
            <v>23 an(s) 9 mois et 11 jour(s)</v>
          </cell>
          <cell r="L393" t="str">
            <v>Saint Même Les Carrières</v>
          </cell>
          <cell r="M393" t="str">
            <v>Jarnac</v>
          </cell>
          <cell r="N393" t="str">
            <v>ambrolliero@gmail.com</v>
          </cell>
        </row>
        <row r="394">
          <cell r="C394" t="str">
            <v>F127-2</v>
          </cell>
          <cell r="D394" t="str">
            <v>ROBREAU/OLLIERO</v>
          </cell>
          <cell r="E394" t="str">
            <v>ROBREAU</v>
          </cell>
          <cell r="F394" t="str">
            <v>Charly</v>
          </cell>
          <cell r="G394">
            <v>0</v>
          </cell>
          <cell r="H394">
            <v>0</v>
          </cell>
          <cell r="I394">
            <v>1</v>
          </cell>
          <cell r="J394">
            <v>43113</v>
          </cell>
          <cell r="K394" t="str">
            <v>1 an(s) 4 mois et 5 jour(s)</v>
          </cell>
          <cell r="L394" t="str">
            <v>Saint Même Les Carrières</v>
          </cell>
          <cell r="M394" t="str">
            <v>Jarnac</v>
          </cell>
          <cell r="N394">
            <v>0</v>
          </cell>
        </row>
        <row r="395">
          <cell r="C395" t="str">
            <v>F9-1</v>
          </cell>
          <cell r="D395" t="str">
            <v>SAMOYEAU/RAPHOZ</v>
          </cell>
          <cell r="E395" t="str">
            <v>SAMOYEAU</v>
          </cell>
          <cell r="F395" t="str">
            <v>Romain</v>
          </cell>
          <cell r="G395">
            <v>0</v>
          </cell>
          <cell r="H395">
            <v>0</v>
          </cell>
          <cell r="I395">
            <v>1</v>
          </cell>
          <cell r="J395">
            <v>30741</v>
          </cell>
          <cell r="K395" t="str">
            <v>35 an(s) 2 mois et 19 jour(s)</v>
          </cell>
          <cell r="L395" t="str">
            <v>SEGONZAC</v>
          </cell>
          <cell r="M395" t="str">
            <v>Champagne</v>
          </cell>
          <cell r="N395" t="str">
            <v>rom.sam@hotmail.fr</v>
          </cell>
        </row>
        <row r="396">
          <cell r="C396" t="str">
            <v>F9-2</v>
          </cell>
          <cell r="D396" t="str">
            <v>SAMOYEAU/RAPHOZ</v>
          </cell>
          <cell r="E396" t="str">
            <v>RAPHOZ_LASSAYS</v>
          </cell>
          <cell r="F396" t="str">
            <v>Laurène</v>
          </cell>
          <cell r="G396">
            <v>0</v>
          </cell>
          <cell r="H396">
            <v>1</v>
          </cell>
          <cell r="I396">
            <v>0</v>
          </cell>
          <cell r="J396">
            <v>31367</v>
          </cell>
          <cell r="K396" t="str">
            <v>33 an(s) 6 mois et 2 jour(s)</v>
          </cell>
          <cell r="L396" t="str">
            <v>SEGONZAC</v>
          </cell>
          <cell r="M396" t="str">
            <v>Champagne</v>
          </cell>
          <cell r="N396" t="str">
            <v>rl.laurene@hotmail.fr</v>
          </cell>
        </row>
        <row r="397">
          <cell r="C397" t="str">
            <v>F9-3</v>
          </cell>
          <cell r="D397" t="str">
            <v>SAMOYEAU/RAPHOZ</v>
          </cell>
          <cell r="E397" t="str">
            <v>SAMOYEAU</v>
          </cell>
          <cell r="F397" t="str">
            <v>Thomas</v>
          </cell>
          <cell r="G397">
            <v>0</v>
          </cell>
          <cell r="H397">
            <v>0</v>
          </cell>
          <cell r="I397">
            <v>1</v>
          </cell>
          <cell r="J397">
            <v>41862</v>
          </cell>
          <cell r="K397" t="str">
            <v>4 an(s) 9 mois et 7 jour(s)</v>
          </cell>
          <cell r="L397" t="str">
            <v>SEGONZAC</v>
          </cell>
          <cell r="M397" t="str">
            <v>Champagne</v>
          </cell>
          <cell r="N397">
            <v>0</v>
          </cell>
        </row>
        <row r="398">
          <cell r="C398" t="str">
            <v>F9-4</v>
          </cell>
          <cell r="D398" t="str">
            <v>SAMOYEAU/RAPHOZ</v>
          </cell>
          <cell r="E398" t="str">
            <v>RAPHOZ</v>
          </cell>
          <cell r="F398" t="str">
            <v>Martine</v>
          </cell>
          <cell r="G398">
            <v>0</v>
          </cell>
          <cell r="H398">
            <v>1</v>
          </cell>
          <cell r="I398">
            <v>0</v>
          </cell>
          <cell r="J398">
            <v>18714</v>
          </cell>
          <cell r="K398" t="str">
            <v>68 an(s) 1 mois et 21 jour(s)</v>
          </cell>
          <cell r="L398" t="str">
            <v>SEGONZAC</v>
          </cell>
          <cell r="M398" t="str">
            <v>Champagne</v>
          </cell>
          <cell r="N398">
            <v>0</v>
          </cell>
        </row>
        <row r="399">
          <cell r="C399" t="str">
            <v>F4-1</v>
          </cell>
          <cell r="D399" t="str">
            <v>SANSAUD/MOREAU</v>
          </cell>
          <cell r="E399" t="str">
            <v>MOREAU</v>
          </cell>
          <cell r="F399" t="str">
            <v>Emmanuelle</v>
          </cell>
          <cell r="G399">
            <v>0</v>
          </cell>
          <cell r="H399">
            <v>1</v>
          </cell>
          <cell r="I399">
            <v>0</v>
          </cell>
          <cell r="J399">
            <v>29187</v>
          </cell>
          <cell r="K399" t="str">
            <v>39 an(s) 5 mois et 20 jour(s)</v>
          </cell>
          <cell r="L399" t="str">
            <v>SEGONZAC</v>
          </cell>
          <cell r="M399" t="str">
            <v>Champagne</v>
          </cell>
          <cell r="N399" t="str">
            <v>emma.moreau@sfr.fr</v>
          </cell>
        </row>
        <row r="400">
          <cell r="C400" t="str">
            <v>F4-2</v>
          </cell>
          <cell r="D400" t="str">
            <v>SANSAUD/MOREAU</v>
          </cell>
          <cell r="E400" t="str">
            <v>SANSAUD</v>
          </cell>
          <cell r="F400" t="str">
            <v>Guillaume</v>
          </cell>
          <cell r="G400">
            <v>0</v>
          </cell>
          <cell r="H400">
            <v>0</v>
          </cell>
          <cell r="I400">
            <v>1</v>
          </cell>
          <cell r="J400">
            <v>29728</v>
          </cell>
          <cell r="K400" t="str">
            <v>37 an(s) 11 mois et 26 jour(s)</v>
          </cell>
          <cell r="L400" t="str">
            <v>SEGONZAC</v>
          </cell>
          <cell r="M400" t="str">
            <v>Champagne</v>
          </cell>
          <cell r="N400">
            <v>0</v>
          </cell>
        </row>
        <row r="401">
          <cell r="C401" t="str">
            <v>F4-3</v>
          </cell>
          <cell r="D401" t="str">
            <v>SANSAUD/MOREAU</v>
          </cell>
          <cell r="E401" t="str">
            <v>MOREAU</v>
          </cell>
          <cell r="F401" t="str">
            <v>Pascale</v>
          </cell>
          <cell r="G401">
            <v>0</v>
          </cell>
          <cell r="H401">
            <v>1</v>
          </cell>
          <cell r="I401">
            <v>0</v>
          </cell>
          <cell r="J401">
            <v>19608</v>
          </cell>
          <cell r="K401" t="str">
            <v>65 an(s) 8 mois et 12 jour(s)</v>
          </cell>
          <cell r="L401" t="str">
            <v>SEGONZAC</v>
          </cell>
          <cell r="M401" t="str">
            <v>Champagne</v>
          </cell>
          <cell r="N401">
            <v>0</v>
          </cell>
        </row>
        <row r="402">
          <cell r="C402" t="str">
            <v>F4-4</v>
          </cell>
          <cell r="D402" t="str">
            <v>SANSAUD/MOREAU</v>
          </cell>
          <cell r="E402" t="str">
            <v>SANSAUD</v>
          </cell>
          <cell r="F402" t="str">
            <v>Ethan</v>
          </cell>
          <cell r="G402">
            <v>0</v>
          </cell>
          <cell r="H402">
            <v>0</v>
          </cell>
          <cell r="I402">
            <v>1</v>
          </cell>
          <cell r="J402">
            <v>41015</v>
          </cell>
          <cell r="K402" t="str">
            <v>7 an(s) 1 mois et 2 jour(s)</v>
          </cell>
          <cell r="L402" t="str">
            <v>SEGONZAC</v>
          </cell>
          <cell r="M402" t="str">
            <v>Champagne</v>
          </cell>
          <cell r="N402">
            <v>0</v>
          </cell>
        </row>
        <row r="403">
          <cell r="C403" t="str">
            <v>F4-5</v>
          </cell>
          <cell r="D403" t="str">
            <v>SANSAUD/MOREAU</v>
          </cell>
          <cell r="E403" t="str">
            <v>SANSAUD</v>
          </cell>
          <cell r="F403" t="str">
            <v>Axel</v>
          </cell>
          <cell r="G403">
            <v>0</v>
          </cell>
          <cell r="H403">
            <v>0</v>
          </cell>
          <cell r="I403">
            <v>1</v>
          </cell>
          <cell r="J403">
            <v>42407</v>
          </cell>
          <cell r="K403" t="str">
            <v>3 an(s) 3 mois et 11 jour(s)</v>
          </cell>
          <cell r="L403" t="str">
            <v>SEGONZAC</v>
          </cell>
          <cell r="M403" t="str">
            <v>Champagne</v>
          </cell>
          <cell r="N403">
            <v>0</v>
          </cell>
        </row>
        <row r="404">
          <cell r="C404" t="str">
            <v>F108-1</v>
          </cell>
          <cell r="D404" t="str">
            <v>SCHEUIR</v>
          </cell>
          <cell r="E404" t="str">
            <v>SCHEUIR</v>
          </cell>
          <cell r="F404" t="str">
            <v>Orianne</v>
          </cell>
          <cell r="G404">
            <v>0</v>
          </cell>
          <cell r="H404">
            <v>1</v>
          </cell>
          <cell r="I404">
            <v>0</v>
          </cell>
          <cell r="J404">
            <v>32839</v>
          </cell>
          <cell r="K404" t="str">
            <v>29 an(s) 5 mois et 21 jour(s)</v>
          </cell>
          <cell r="L404" t="str">
            <v>Bouteville</v>
          </cell>
          <cell r="M404" t="str">
            <v>Chateauneuf</v>
          </cell>
          <cell r="N404" t="str">
            <v>letzelter.orianne@yahoo.fr</v>
          </cell>
        </row>
        <row r="405">
          <cell r="C405" t="str">
            <v>F108-2</v>
          </cell>
          <cell r="D405" t="str">
            <v>SCHEUIR</v>
          </cell>
          <cell r="E405" t="str">
            <v>SCHEUIR</v>
          </cell>
          <cell r="F405" t="str">
            <v>Rémi</v>
          </cell>
          <cell r="G405">
            <v>0</v>
          </cell>
          <cell r="H405">
            <v>0</v>
          </cell>
          <cell r="I405">
            <v>1</v>
          </cell>
          <cell r="J405">
            <v>32628</v>
          </cell>
          <cell r="K405" t="str">
            <v>30 an(s) 0 mois et 18 jour(s)</v>
          </cell>
          <cell r="L405" t="str">
            <v>Bouteville</v>
          </cell>
          <cell r="M405" t="str">
            <v>Chateauneuf</v>
          </cell>
          <cell r="N405">
            <v>0</v>
          </cell>
        </row>
        <row r="406">
          <cell r="C406" t="str">
            <v>F108-3</v>
          </cell>
          <cell r="D406" t="str">
            <v>SCHEUIR</v>
          </cell>
          <cell r="E406" t="str">
            <v>SCHEUIR</v>
          </cell>
          <cell r="F406" t="str">
            <v>Anouk</v>
          </cell>
          <cell r="G406">
            <v>0</v>
          </cell>
          <cell r="H406">
            <v>1</v>
          </cell>
          <cell r="I406">
            <v>0</v>
          </cell>
          <cell r="J406">
            <v>42919</v>
          </cell>
          <cell r="K406" t="str">
            <v>1 an(s) 10 mois et 15 jour(s)</v>
          </cell>
          <cell r="L406" t="str">
            <v>Bouteville</v>
          </cell>
          <cell r="M406" t="str">
            <v>Chateauneuf</v>
          </cell>
          <cell r="N406">
            <v>0</v>
          </cell>
        </row>
        <row r="407">
          <cell r="C407" t="str">
            <v>F108-4</v>
          </cell>
          <cell r="D407" t="str">
            <v>SCHEUIR</v>
          </cell>
          <cell r="E407" t="str">
            <v>LETZELTER</v>
          </cell>
          <cell r="F407" t="str">
            <v>Françoise</v>
          </cell>
          <cell r="G407">
            <v>0</v>
          </cell>
          <cell r="H407">
            <v>1</v>
          </cell>
          <cell r="I407">
            <v>0</v>
          </cell>
          <cell r="J407">
            <v>21505</v>
          </cell>
          <cell r="K407" t="str">
            <v>60 an(s) 6 mois et 2 jour(s)</v>
          </cell>
          <cell r="L407" t="str">
            <v>Châteauneuf/Charente</v>
          </cell>
          <cell r="M407" t="str">
            <v>Chateauneuf</v>
          </cell>
          <cell r="N407">
            <v>0</v>
          </cell>
        </row>
        <row r="408">
          <cell r="C408" t="str">
            <v>F57-1</v>
          </cell>
          <cell r="D408" t="str">
            <v>SUIRE/GIRAUD</v>
          </cell>
          <cell r="E408" t="str">
            <v>GIRAUD</v>
          </cell>
          <cell r="F408" t="str">
            <v>Julie</v>
          </cell>
          <cell r="G408">
            <v>0</v>
          </cell>
          <cell r="H408">
            <v>1</v>
          </cell>
          <cell r="I408">
            <v>0</v>
          </cell>
          <cell r="J408">
            <v>31503</v>
          </cell>
          <cell r="K408" t="str">
            <v>33 an(s) 1 mois et 17 jour(s)</v>
          </cell>
          <cell r="L408" t="str">
            <v>SEGONZAC</v>
          </cell>
          <cell r="M408" t="str">
            <v>Champagne</v>
          </cell>
          <cell r="N408" t="str">
            <v>juliegiraud@hotmail.fr</v>
          </cell>
        </row>
        <row r="409">
          <cell r="C409" t="str">
            <v>F57-3</v>
          </cell>
          <cell r="D409" t="str">
            <v>SUIRE/GIRAUD</v>
          </cell>
          <cell r="E409" t="str">
            <v>SUIRE</v>
          </cell>
          <cell r="F409" t="str">
            <v>Romy</v>
          </cell>
          <cell r="G409">
            <v>0</v>
          </cell>
          <cell r="H409">
            <v>1</v>
          </cell>
          <cell r="I409">
            <v>0</v>
          </cell>
          <cell r="J409">
            <v>41837</v>
          </cell>
          <cell r="K409" t="str">
            <v>4 an(s) 10 mois et 1 jour(s)</v>
          </cell>
          <cell r="L409" t="str">
            <v>SEGONZAC</v>
          </cell>
          <cell r="M409" t="str">
            <v>Champagne</v>
          </cell>
          <cell r="N409">
            <v>0</v>
          </cell>
        </row>
        <row r="410">
          <cell r="C410" t="str">
            <v>F57-4</v>
          </cell>
          <cell r="D410" t="str">
            <v>SUIRE/GIRAUD</v>
          </cell>
          <cell r="E410" t="str">
            <v>SUIRE</v>
          </cell>
          <cell r="F410" t="str">
            <v>Giulia</v>
          </cell>
          <cell r="G410">
            <v>0</v>
          </cell>
          <cell r="H410">
            <v>1</v>
          </cell>
          <cell r="I410">
            <v>0</v>
          </cell>
          <cell r="J410">
            <v>43038</v>
          </cell>
          <cell r="K410" t="str">
            <v>1 an(s) 6 mois et 18 jour(s)</v>
          </cell>
          <cell r="L410" t="str">
            <v>SEGONZAC</v>
          </cell>
          <cell r="M410" t="str">
            <v>Champagne</v>
          </cell>
          <cell r="N410">
            <v>0</v>
          </cell>
        </row>
        <row r="411">
          <cell r="C411" t="str">
            <v>F40-1</v>
          </cell>
          <cell r="D411" t="str">
            <v>UGORCIAG/CUCU</v>
          </cell>
          <cell r="E411" t="str">
            <v>CUCU</v>
          </cell>
          <cell r="F411" t="str">
            <v>Maria</v>
          </cell>
          <cell r="G411">
            <v>0</v>
          </cell>
          <cell r="H411">
            <v>1</v>
          </cell>
          <cell r="I411">
            <v>0</v>
          </cell>
          <cell r="J411">
            <v>30339</v>
          </cell>
          <cell r="K411" t="str">
            <v>36 an(s) 3 mois et 25 jour(s)</v>
          </cell>
          <cell r="L411" t="str">
            <v>SEGONZAC</v>
          </cell>
          <cell r="M411" t="str">
            <v>Champagne</v>
          </cell>
          <cell r="N411" t="str">
            <v>mariacucu83@yahoo.fr</v>
          </cell>
        </row>
        <row r="412">
          <cell r="C412" t="str">
            <v>F40-2</v>
          </cell>
          <cell r="D412" t="str">
            <v>UGORCIAG/CUCU</v>
          </cell>
          <cell r="E412" t="str">
            <v>UGORCIAG</v>
          </cell>
          <cell r="F412" t="str">
            <v>Paul</v>
          </cell>
          <cell r="G412">
            <v>0</v>
          </cell>
          <cell r="H412">
            <v>0</v>
          </cell>
          <cell r="I412">
            <v>1</v>
          </cell>
          <cell r="J412">
            <v>30469</v>
          </cell>
          <cell r="K412" t="str">
            <v>35 an(s) 11 mois et 16 jour(s)</v>
          </cell>
          <cell r="L412" t="str">
            <v>SEGONZAC</v>
          </cell>
          <cell r="M412" t="str">
            <v>Champagne</v>
          </cell>
          <cell r="N412">
            <v>0</v>
          </cell>
        </row>
        <row r="413">
          <cell r="C413" t="str">
            <v>F40-3</v>
          </cell>
          <cell r="D413" t="str">
            <v>UGORCIAG/CUCU</v>
          </cell>
          <cell r="E413" t="str">
            <v>UGORCIAG</v>
          </cell>
          <cell r="F413" t="str">
            <v>Alexandru</v>
          </cell>
          <cell r="G413">
            <v>0</v>
          </cell>
          <cell r="H413">
            <v>0</v>
          </cell>
          <cell r="I413">
            <v>1</v>
          </cell>
          <cell r="J413">
            <v>41470</v>
          </cell>
          <cell r="K413" t="str">
            <v>5 an(s) 10 mois et 3 jour(s)</v>
          </cell>
          <cell r="L413" t="str">
            <v>SEGONZAC</v>
          </cell>
          <cell r="M413" t="str">
            <v>Champagne</v>
          </cell>
          <cell r="N413">
            <v>0</v>
          </cell>
        </row>
        <row r="414">
          <cell r="C414" t="str">
            <v>F40-4</v>
          </cell>
          <cell r="D414" t="str">
            <v>UGORCIAG/CUCU</v>
          </cell>
          <cell r="E414" t="str">
            <v>UGORCIAG</v>
          </cell>
          <cell r="F414" t="str">
            <v>Elena</v>
          </cell>
          <cell r="G414">
            <v>0</v>
          </cell>
          <cell r="H414">
            <v>1</v>
          </cell>
          <cell r="I414">
            <v>0</v>
          </cell>
          <cell r="J414">
            <v>42414</v>
          </cell>
          <cell r="K414" t="str">
            <v>3 an(s) 3 mois et 4 jour(s)</v>
          </cell>
          <cell r="L414" t="str">
            <v>SEGONZAC</v>
          </cell>
          <cell r="M414" t="str">
            <v>Champagne</v>
          </cell>
          <cell r="N414">
            <v>0</v>
          </cell>
        </row>
        <row r="415">
          <cell r="C415" t="str">
            <v>F21-1</v>
          </cell>
          <cell r="D415" t="str">
            <v>AUGAIN/MENIER</v>
          </cell>
          <cell r="E415" t="str">
            <v>MENIER</v>
          </cell>
          <cell r="F415" t="str">
            <v>Charlotte</v>
          </cell>
          <cell r="G415">
            <v>0</v>
          </cell>
          <cell r="H415">
            <v>1</v>
          </cell>
          <cell r="I415">
            <v>0</v>
          </cell>
          <cell r="J415">
            <v>29787</v>
          </cell>
          <cell r="K415" t="str">
            <v>37 an(s) 9 mois et 28 jour(s)</v>
          </cell>
          <cell r="L415" t="str">
            <v>Cognac</v>
          </cell>
          <cell r="M415" t="str">
            <v>Cognac</v>
          </cell>
          <cell r="N415" t="str">
            <v>meniercharlotte@yahoo.fr</v>
          </cell>
        </row>
        <row r="416">
          <cell r="C416" t="str">
            <v>F13-1</v>
          </cell>
          <cell r="D416" t="str">
            <v>BLANCHARD/BAUDET</v>
          </cell>
          <cell r="E416" t="str">
            <v>BAUDET</v>
          </cell>
          <cell r="F416" t="str">
            <v>Elodie</v>
          </cell>
          <cell r="G416">
            <v>0</v>
          </cell>
          <cell r="H416">
            <v>1</v>
          </cell>
          <cell r="I416">
            <v>0</v>
          </cell>
          <cell r="J416">
            <v>31371</v>
          </cell>
          <cell r="K416" t="str">
            <v>33 an(s) 5 mois et 28 jour(s)</v>
          </cell>
          <cell r="L416" t="str">
            <v>Saint Même Les Carrières</v>
          </cell>
          <cell r="M416" t="str">
            <v>Jarnac</v>
          </cell>
          <cell r="N416" t="str">
            <v>elodie.baudet@sfr.fr</v>
          </cell>
        </row>
        <row r="417">
          <cell r="C417" t="str">
            <v>F13-2</v>
          </cell>
          <cell r="D417" t="str">
            <v>BLANCHARD/BAUDET</v>
          </cell>
          <cell r="E417" t="str">
            <v>BLANCHARD</v>
          </cell>
          <cell r="F417" t="str">
            <v>Loïs</v>
          </cell>
          <cell r="G417">
            <v>0</v>
          </cell>
          <cell r="H417">
            <v>0</v>
          </cell>
          <cell r="I417">
            <v>1</v>
          </cell>
          <cell r="J417">
            <v>41417</v>
          </cell>
          <cell r="K417" t="str">
            <v>5 an(s) 11 mois et 25 jour(s)</v>
          </cell>
          <cell r="L417" t="str">
            <v>Saint Même Les Carrières</v>
          </cell>
          <cell r="M417" t="str">
            <v>Jarnac</v>
          </cell>
          <cell r="N417">
            <v>0</v>
          </cell>
        </row>
        <row r="418">
          <cell r="C418" t="str">
            <v>F13-3</v>
          </cell>
          <cell r="D418" t="str">
            <v>BLANCHARD/BAUDET</v>
          </cell>
          <cell r="E418" t="str">
            <v>BLANCHARD</v>
          </cell>
          <cell r="F418" t="str">
            <v>Julien</v>
          </cell>
          <cell r="G418">
            <v>0</v>
          </cell>
          <cell r="H418">
            <v>0</v>
          </cell>
          <cell r="I418">
            <v>1</v>
          </cell>
          <cell r="J418">
            <v>30830</v>
          </cell>
          <cell r="K418" t="str">
            <v>34 an(s) 11 mois et 20 jour(s)</v>
          </cell>
          <cell r="L418" t="str">
            <v>Saint Même Les Carrières</v>
          </cell>
          <cell r="M418" t="str">
            <v>Jarnac</v>
          </cell>
          <cell r="N418">
            <v>0</v>
          </cell>
        </row>
        <row r="419">
          <cell r="C419" t="str">
            <v>F87-1</v>
          </cell>
          <cell r="D419" t="str">
            <v>BONNAUD-BOUQUINET</v>
          </cell>
          <cell r="E419" t="str">
            <v>BONNAUD-BOUQUINET</v>
          </cell>
          <cell r="F419" t="str">
            <v>Anne</v>
          </cell>
          <cell r="G419">
            <v>0</v>
          </cell>
          <cell r="H419">
            <v>1</v>
          </cell>
          <cell r="I419">
            <v>0</v>
          </cell>
          <cell r="J419">
            <v>21237</v>
          </cell>
          <cell r="K419" t="str">
            <v>61 an(s) 2 mois et 27 jour(s)</v>
          </cell>
          <cell r="L419" t="str">
            <v>Segonzac</v>
          </cell>
          <cell r="M419" t="str">
            <v>Champagne</v>
          </cell>
          <cell r="N419">
            <v>0</v>
          </cell>
        </row>
        <row r="420">
          <cell r="C420" t="str">
            <v>F50-1</v>
          </cell>
          <cell r="D420" t="str">
            <v>BRAASTAD-CALLAERT</v>
          </cell>
          <cell r="E420" t="str">
            <v>BRAASTAD-CALLAERT</v>
          </cell>
          <cell r="F420" t="str">
            <v>Dorothée</v>
          </cell>
          <cell r="G420">
            <v>0</v>
          </cell>
          <cell r="H420">
            <v>1</v>
          </cell>
          <cell r="I420">
            <v>0</v>
          </cell>
          <cell r="J420">
            <v>27887</v>
          </cell>
          <cell r="K420" t="str">
            <v>43 an(s) 0 mois et 11 jour(s)</v>
          </cell>
          <cell r="L420" t="str">
            <v>Saint-brice</v>
          </cell>
          <cell r="M420" t="str">
            <v>Cognac</v>
          </cell>
          <cell r="N420" t="str">
            <v>dorothee-callaert@hotmail.com</v>
          </cell>
        </row>
        <row r="421">
          <cell r="C421" t="str">
            <v>F50-2</v>
          </cell>
          <cell r="D421" t="str">
            <v>BRAASTAD-CALLAERT</v>
          </cell>
          <cell r="E421" t="str">
            <v>BRAASTAD</v>
          </cell>
          <cell r="F421" t="str">
            <v>Jeanne</v>
          </cell>
          <cell r="G421">
            <v>0</v>
          </cell>
          <cell r="H421">
            <v>1</v>
          </cell>
          <cell r="I421">
            <v>0</v>
          </cell>
          <cell r="J421">
            <v>41877</v>
          </cell>
          <cell r="K421" t="str">
            <v>4 an(s) 8 mois et 22 jour(s)</v>
          </cell>
          <cell r="L421" t="str">
            <v>Saint-brice</v>
          </cell>
          <cell r="M421" t="str">
            <v>Cognac</v>
          </cell>
          <cell r="N421">
            <v>0</v>
          </cell>
        </row>
        <row r="422">
          <cell r="C422" t="str">
            <v>F50-3</v>
          </cell>
          <cell r="D422" t="str">
            <v>BRAASTAD-CALLAERT</v>
          </cell>
          <cell r="E422" t="str">
            <v>BRAASTAD</v>
          </cell>
          <cell r="F422" t="str">
            <v>Charline</v>
          </cell>
          <cell r="G422">
            <v>0</v>
          </cell>
          <cell r="H422">
            <v>1</v>
          </cell>
          <cell r="I422">
            <v>0</v>
          </cell>
          <cell r="J422">
            <v>42424</v>
          </cell>
          <cell r="K422" t="str">
            <v>3 an(s) 2 mois et 24 jour(s)</v>
          </cell>
          <cell r="L422" t="str">
            <v>Saint-brice</v>
          </cell>
          <cell r="M422" t="str">
            <v>Cognac</v>
          </cell>
          <cell r="N422">
            <v>0</v>
          </cell>
        </row>
        <row r="423">
          <cell r="C423" t="str">
            <v>F78-1</v>
          </cell>
          <cell r="D423" t="str">
            <v>CHARTIER/LEGEAY</v>
          </cell>
          <cell r="E423" t="str">
            <v>LEGEAY</v>
          </cell>
          <cell r="F423" t="str">
            <v>Karine</v>
          </cell>
          <cell r="G423">
            <v>0</v>
          </cell>
          <cell r="H423">
            <v>1</v>
          </cell>
          <cell r="I423">
            <v>0</v>
          </cell>
          <cell r="J423">
            <v>27716</v>
          </cell>
          <cell r="K423" t="str">
            <v>43 an(s) 6 mois et 0 jour(s)</v>
          </cell>
          <cell r="L423" t="str">
            <v>Juillac</v>
          </cell>
          <cell r="M423" t="str">
            <v>Champagne</v>
          </cell>
          <cell r="N423">
            <v>0</v>
          </cell>
        </row>
        <row r="424">
          <cell r="C424" t="str">
            <v>F78-2</v>
          </cell>
          <cell r="D424" t="str">
            <v>CHARTIER/LEGEAY</v>
          </cell>
          <cell r="E424" t="str">
            <v>LEGEAY</v>
          </cell>
          <cell r="F424" t="str">
            <v>Claudine</v>
          </cell>
          <cell r="G424">
            <v>0</v>
          </cell>
          <cell r="H424">
            <v>1</v>
          </cell>
          <cell r="I424">
            <v>0</v>
          </cell>
          <cell r="J424">
            <v>19135</v>
          </cell>
          <cell r="K424" t="str">
            <v>66 an(s) 11 mois et 27 jour(s)</v>
          </cell>
          <cell r="L424" t="str">
            <v>Juillac</v>
          </cell>
          <cell r="M424" t="str">
            <v>Champagne</v>
          </cell>
          <cell r="N424">
            <v>0</v>
          </cell>
        </row>
        <row r="425">
          <cell r="C425" t="str">
            <v>F78-3</v>
          </cell>
          <cell r="D425" t="str">
            <v>CHARTIER/LEGEAY</v>
          </cell>
          <cell r="E425" t="str">
            <v>CHARTIER</v>
          </cell>
          <cell r="F425" t="str">
            <v>Louenn</v>
          </cell>
          <cell r="G425">
            <v>0</v>
          </cell>
          <cell r="H425">
            <v>0</v>
          </cell>
          <cell r="I425">
            <v>1</v>
          </cell>
          <cell r="J425">
            <v>40101</v>
          </cell>
          <cell r="K425" t="str">
            <v>9 an(s) 7 mois et 3 jour(s)</v>
          </cell>
          <cell r="L425" t="str">
            <v>Juillac</v>
          </cell>
          <cell r="M425" t="str">
            <v>Champagne</v>
          </cell>
          <cell r="N425">
            <v>0</v>
          </cell>
        </row>
        <row r="426">
          <cell r="C426" t="str">
            <v>F78-4</v>
          </cell>
          <cell r="D426" t="str">
            <v>CHARTIER/LEGEAY</v>
          </cell>
          <cell r="E426" t="str">
            <v>CHARTIER</v>
          </cell>
          <cell r="F426" t="str">
            <v>Ellynn</v>
          </cell>
          <cell r="G426">
            <v>0</v>
          </cell>
          <cell r="H426">
            <v>1</v>
          </cell>
          <cell r="I426">
            <v>0</v>
          </cell>
          <cell r="J426">
            <v>41514</v>
          </cell>
          <cell r="K426" t="str">
            <v>5 an(s) 8 mois et 20 jour(s)</v>
          </cell>
          <cell r="L426" t="str">
            <v>Juillac</v>
          </cell>
          <cell r="M426" t="str">
            <v>Champagne</v>
          </cell>
          <cell r="N426">
            <v>0</v>
          </cell>
        </row>
        <row r="427">
          <cell r="C427" t="str">
            <v>F69-1</v>
          </cell>
          <cell r="D427" t="str">
            <v>DE SUTTER</v>
          </cell>
          <cell r="E427" t="str">
            <v>DE SUTTER</v>
          </cell>
          <cell r="F427" t="str">
            <v>Laëtitia</v>
          </cell>
          <cell r="G427">
            <v>0</v>
          </cell>
          <cell r="H427">
            <v>1</v>
          </cell>
          <cell r="I427">
            <v>0</v>
          </cell>
          <cell r="J427">
            <v>28308</v>
          </cell>
          <cell r="K427" t="str">
            <v>41 an(s) 10 mois et 16 jour(s)</v>
          </cell>
          <cell r="L427" t="str">
            <v>Jarnac</v>
          </cell>
          <cell r="M427" t="str">
            <v>Jarnac</v>
          </cell>
          <cell r="N427" t="str">
            <v>laetitia_de_sutter@yahoo.fr</v>
          </cell>
        </row>
        <row r="428">
          <cell r="C428" t="str">
            <v>F69-2</v>
          </cell>
          <cell r="D428" t="str">
            <v>DE SUTTER</v>
          </cell>
          <cell r="E428" t="str">
            <v>DE SUTTER</v>
          </cell>
          <cell r="F428" t="str">
            <v>Théophile</v>
          </cell>
          <cell r="G428">
            <v>0</v>
          </cell>
          <cell r="H428">
            <v>0</v>
          </cell>
          <cell r="I428">
            <v>1</v>
          </cell>
          <cell r="J428">
            <v>40700</v>
          </cell>
          <cell r="K428" t="str">
            <v>7 an(s) 11 mois et 12 jour(s)</v>
          </cell>
          <cell r="L428" t="str">
            <v>Jarnac</v>
          </cell>
          <cell r="M428" t="str">
            <v>Jarnac</v>
          </cell>
          <cell r="N428">
            <v>0</v>
          </cell>
        </row>
        <row r="429">
          <cell r="C429" t="str">
            <v>F69-3</v>
          </cell>
          <cell r="D429" t="str">
            <v>DE SUTTER</v>
          </cell>
          <cell r="E429" t="str">
            <v>DE SUTTER</v>
          </cell>
          <cell r="F429" t="str">
            <v>Gabriel</v>
          </cell>
          <cell r="G429">
            <v>0</v>
          </cell>
          <cell r="H429">
            <v>0</v>
          </cell>
          <cell r="I429">
            <v>1</v>
          </cell>
          <cell r="J429">
            <v>41373</v>
          </cell>
          <cell r="K429" t="str">
            <v>6 an(s) 1 mois et 9 jour(s)</v>
          </cell>
          <cell r="L429" t="str">
            <v>Jarnac</v>
          </cell>
          <cell r="M429" t="str">
            <v>Jarnac</v>
          </cell>
          <cell r="N429" t="str">
            <v>sonia77360@hotmail.com</v>
          </cell>
        </row>
        <row r="430">
          <cell r="C430" t="str">
            <v>F85-1</v>
          </cell>
          <cell r="D430" t="str">
            <v>DEAL-RIBA</v>
          </cell>
          <cell r="E430" t="str">
            <v>RIBA</v>
          </cell>
          <cell r="F430" t="str">
            <v>Johanne</v>
          </cell>
          <cell r="G430">
            <v>0</v>
          </cell>
          <cell r="H430">
            <v>1</v>
          </cell>
          <cell r="I430">
            <v>0</v>
          </cell>
          <cell r="J430">
            <v>29808</v>
          </cell>
          <cell r="K430" t="str">
            <v>37 an(s) 9 mois et 8 jour(s)</v>
          </cell>
          <cell r="L430" t="str">
            <v>Genté</v>
          </cell>
          <cell r="M430" t="str">
            <v>Champagne</v>
          </cell>
          <cell r="N430">
            <v>0</v>
          </cell>
        </row>
        <row r="431">
          <cell r="C431" t="str">
            <v>F85-2</v>
          </cell>
          <cell r="D431" t="str">
            <v>DEAL-RIBA</v>
          </cell>
          <cell r="E431" t="str">
            <v>DEAL-RIBA</v>
          </cell>
          <cell r="F431" t="str">
            <v>Tristan</v>
          </cell>
          <cell r="G431">
            <v>0</v>
          </cell>
          <cell r="H431">
            <v>0</v>
          </cell>
          <cell r="I431">
            <v>1</v>
          </cell>
          <cell r="J431">
            <v>39477</v>
          </cell>
          <cell r="K431" t="str">
            <v>11 an(s) 3 mois et 18 jour(s)</v>
          </cell>
          <cell r="L431" t="str">
            <v>Genté</v>
          </cell>
          <cell r="M431" t="str">
            <v>Champagne</v>
          </cell>
          <cell r="N431">
            <v>0</v>
          </cell>
        </row>
        <row r="432">
          <cell r="C432" t="str">
            <v>F85-3</v>
          </cell>
          <cell r="D432" t="str">
            <v>DEAL-RIBA</v>
          </cell>
          <cell r="E432" t="str">
            <v>DEAL-RIBA</v>
          </cell>
          <cell r="F432" t="str">
            <v>Alban</v>
          </cell>
          <cell r="G432">
            <v>0</v>
          </cell>
          <cell r="H432">
            <v>0</v>
          </cell>
          <cell r="I432">
            <v>1</v>
          </cell>
          <cell r="J432">
            <v>40080</v>
          </cell>
          <cell r="K432" t="str">
            <v>9 an(s) 7 mois et 24 jour(s)</v>
          </cell>
          <cell r="L432" t="str">
            <v>Genté</v>
          </cell>
          <cell r="M432" t="str">
            <v>Champagne</v>
          </cell>
          <cell r="N432">
            <v>0</v>
          </cell>
        </row>
        <row r="433">
          <cell r="C433" t="str">
            <v>F49-1</v>
          </cell>
          <cell r="D433" t="str">
            <v>DEGRIS</v>
          </cell>
          <cell r="E433" t="str">
            <v>DEGRIS</v>
          </cell>
          <cell r="F433" t="str">
            <v>Laura</v>
          </cell>
          <cell r="G433">
            <v>0</v>
          </cell>
          <cell r="H433">
            <v>1</v>
          </cell>
          <cell r="I433">
            <v>0</v>
          </cell>
          <cell r="J433">
            <v>32556</v>
          </cell>
          <cell r="K433" t="str">
            <v>30 an(s) 3 mois et 1 jour(s)</v>
          </cell>
          <cell r="L433" t="str">
            <v>SALLES D'ANGLES</v>
          </cell>
          <cell r="M433" t="str">
            <v>Champagne</v>
          </cell>
          <cell r="N433" t="str">
            <v>laura866@hotmail.fr</v>
          </cell>
        </row>
        <row r="434">
          <cell r="C434" t="str">
            <v>F7-2</v>
          </cell>
          <cell r="D434" t="str">
            <v>DELAUNAY</v>
          </cell>
          <cell r="E434" t="str">
            <v>DELAUNAY</v>
          </cell>
          <cell r="F434" t="str">
            <v>Samuel</v>
          </cell>
          <cell r="G434">
            <v>0</v>
          </cell>
          <cell r="H434">
            <v>0</v>
          </cell>
          <cell r="I434">
            <v>1</v>
          </cell>
          <cell r="J434">
            <v>27399</v>
          </cell>
          <cell r="K434" t="str">
            <v>44 an(s) 4 mois et 13 jour(s)</v>
          </cell>
          <cell r="L434" t="str">
            <v>SEGONZAC</v>
          </cell>
          <cell r="M434" t="str">
            <v>Champagne</v>
          </cell>
          <cell r="N434">
            <v>0</v>
          </cell>
        </row>
        <row r="435">
          <cell r="C435" t="str">
            <v>F60-1</v>
          </cell>
          <cell r="D435" t="str">
            <v>DORBE/LARAPIDIE</v>
          </cell>
          <cell r="E435" t="str">
            <v>DORBE</v>
          </cell>
          <cell r="F435" t="str">
            <v>Audrey</v>
          </cell>
          <cell r="G435">
            <v>0</v>
          </cell>
          <cell r="H435">
            <v>1</v>
          </cell>
          <cell r="I435">
            <v>0</v>
          </cell>
          <cell r="J435">
            <v>32727</v>
          </cell>
          <cell r="K435" t="str">
            <v>29 an(s) 9 mois et 11 jour(s)</v>
          </cell>
          <cell r="L435" t="str">
            <v>SEGONZAC</v>
          </cell>
          <cell r="M435" t="str">
            <v>Champagne</v>
          </cell>
          <cell r="N435" t="str">
            <v>dorbe.a@hotmail.fr</v>
          </cell>
        </row>
        <row r="436">
          <cell r="C436" t="str">
            <v>F60-2</v>
          </cell>
          <cell r="D436" t="str">
            <v>DORBE/LARAPIDIE</v>
          </cell>
          <cell r="E436" t="str">
            <v>DORBE</v>
          </cell>
          <cell r="F436" t="str">
            <v>Kelya</v>
          </cell>
          <cell r="G436">
            <v>0</v>
          </cell>
          <cell r="H436">
            <v>1</v>
          </cell>
          <cell r="I436">
            <v>0</v>
          </cell>
          <cell r="J436">
            <v>41749</v>
          </cell>
          <cell r="K436" t="str">
            <v>5 an(s) 0 mois et 28 jour(s)</v>
          </cell>
          <cell r="L436" t="str">
            <v>SEGONZAC</v>
          </cell>
          <cell r="M436" t="str">
            <v>Champagne</v>
          </cell>
          <cell r="N436">
            <v>0</v>
          </cell>
        </row>
        <row r="437">
          <cell r="C437" t="str">
            <v>F60-3</v>
          </cell>
          <cell r="D437" t="str">
            <v>DORBE/LARAPIDIE</v>
          </cell>
          <cell r="E437" t="str">
            <v>LARAPIDIE</v>
          </cell>
          <cell r="F437" t="str">
            <v>Hervé</v>
          </cell>
          <cell r="G437">
            <v>0</v>
          </cell>
          <cell r="H437">
            <v>0</v>
          </cell>
          <cell r="I437">
            <v>1</v>
          </cell>
          <cell r="J437">
            <v>25205</v>
          </cell>
          <cell r="K437" t="str">
            <v>50 an(s) 4 mois et 16 jour(s)</v>
          </cell>
          <cell r="L437" t="str">
            <v>SEGONZAC</v>
          </cell>
          <cell r="M437" t="str">
            <v>Champagne</v>
          </cell>
          <cell r="N437">
            <v>0</v>
          </cell>
        </row>
        <row r="438">
          <cell r="C438" t="str">
            <v>F19-4</v>
          </cell>
          <cell r="D438" t="str">
            <v>DUFFAU_LAGAROSSE</v>
          </cell>
          <cell r="E438" t="str">
            <v>DUFFAU_LAGAROSSE</v>
          </cell>
          <cell r="F438" t="str">
            <v>Corentin</v>
          </cell>
          <cell r="G438">
            <v>0</v>
          </cell>
          <cell r="H438">
            <v>0</v>
          </cell>
          <cell r="I438">
            <v>1</v>
          </cell>
          <cell r="J438">
            <v>32564</v>
          </cell>
          <cell r="K438" t="str">
            <v>30 an(s) 2 mois et 23 jour(s)</v>
          </cell>
          <cell r="L438" t="str">
            <v>GENSAC LA PALLUE</v>
          </cell>
          <cell r="M438" t="str">
            <v>Champagne</v>
          </cell>
          <cell r="N438">
            <v>0</v>
          </cell>
        </row>
        <row r="439">
          <cell r="C439" t="str">
            <v>F14-1</v>
          </cell>
          <cell r="D439" t="str">
            <v>F14-1</v>
          </cell>
          <cell r="E439" t="str">
            <v>MEUNIER</v>
          </cell>
          <cell r="F439" t="str">
            <v>Isabelle</v>
          </cell>
          <cell r="G439">
            <v>0</v>
          </cell>
          <cell r="H439">
            <v>1</v>
          </cell>
          <cell r="I439">
            <v>0</v>
          </cell>
          <cell r="J439">
            <v>25091</v>
          </cell>
          <cell r="K439" t="str">
            <v>50 an(s) 8 mois et 8 jour(s)</v>
          </cell>
          <cell r="L439" t="str">
            <v>Bellevigne</v>
          </cell>
          <cell r="M439" t="str">
            <v>Chateauneuf</v>
          </cell>
          <cell r="N439" t="str">
            <v>isabelle.marchal8@wanadoo.fr</v>
          </cell>
        </row>
        <row r="440">
          <cell r="C440" t="str">
            <v>F14-2</v>
          </cell>
          <cell r="D440" t="str">
            <v>F14-2</v>
          </cell>
          <cell r="E440" t="str">
            <v>MEUNIER</v>
          </cell>
          <cell r="F440" t="str">
            <v>Berthille</v>
          </cell>
          <cell r="G440">
            <v>0</v>
          </cell>
          <cell r="H440">
            <v>1</v>
          </cell>
          <cell r="I440">
            <v>0</v>
          </cell>
          <cell r="J440">
            <v>39707</v>
          </cell>
          <cell r="K440" t="str">
            <v>10 an(s) 8 mois et 2 jour(s)</v>
          </cell>
          <cell r="L440" t="str">
            <v>Bellevigne</v>
          </cell>
          <cell r="M440" t="str">
            <v>Chateauneuf</v>
          </cell>
          <cell r="N440">
            <v>0</v>
          </cell>
        </row>
        <row r="441">
          <cell r="C441" t="str">
            <v>F16-1</v>
          </cell>
          <cell r="D441" t="str">
            <v>CICHOKI/VIVIES</v>
          </cell>
          <cell r="E441" t="str">
            <v>VIVIES</v>
          </cell>
          <cell r="F441" t="str">
            <v>Sibylle</v>
          </cell>
          <cell r="G441">
            <v>0</v>
          </cell>
          <cell r="H441">
            <v>1</v>
          </cell>
          <cell r="I441">
            <v>0</v>
          </cell>
          <cell r="J441">
            <v>27002</v>
          </cell>
          <cell r="K441" t="str">
            <v>45 an(s) 5 mois et 14 jour(s)</v>
          </cell>
          <cell r="L441" t="str">
            <v>SEGONZAC</v>
          </cell>
          <cell r="M441" t="str">
            <v>Champagne</v>
          </cell>
          <cell r="N441" t="str">
            <v>sybillevivies@yahoo.fr</v>
          </cell>
        </row>
        <row r="442">
          <cell r="C442" t="str">
            <v>F16-2</v>
          </cell>
          <cell r="D442" t="str">
            <v>CICHOKI/VIVIES</v>
          </cell>
          <cell r="E442" t="str">
            <v>CICHOKI</v>
          </cell>
          <cell r="F442" t="str">
            <v>Raphaël</v>
          </cell>
          <cell r="G442">
            <v>0</v>
          </cell>
          <cell r="H442">
            <v>0</v>
          </cell>
          <cell r="I442">
            <v>1</v>
          </cell>
          <cell r="J442">
            <v>41651</v>
          </cell>
          <cell r="K442" t="str">
            <v>5 an(s) 4 mois et 6 jour(s)</v>
          </cell>
          <cell r="L442" t="str">
            <v>SEGONZAC</v>
          </cell>
          <cell r="M442" t="str">
            <v>Champagne</v>
          </cell>
          <cell r="N442">
            <v>0</v>
          </cell>
        </row>
        <row r="443">
          <cell r="C443" t="str">
            <v>F3-1</v>
          </cell>
          <cell r="D443" t="str">
            <v>F3-1</v>
          </cell>
          <cell r="E443" t="str">
            <v>SZUMSKI</v>
          </cell>
          <cell r="F443" t="str">
            <v>Laurent</v>
          </cell>
          <cell r="G443">
            <v>0</v>
          </cell>
          <cell r="H443">
            <v>0</v>
          </cell>
          <cell r="I443">
            <v>1</v>
          </cell>
          <cell r="J443">
            <v>23533</v>
          </cell>
          <cell r="K443" t="str">
            <v>54 an(s) 11 mois et 13 jour(s)</v>
          </cell>
          <cell r="L443" t="str">
            <v>GENSAC LA PALLUE</v>
          </cell>
          <cell r="M443" t="str">
            <v>Champagne</v>
          </cell>
          <cell r="N443" t="str">
            <v>laurentszumski@yahoo.fr</v>
          </cell>
        </row>
        <row r="444">
          <cell r="C444" t="str">
            <v>F3-2</v>
          </cell>
          <cell r="D444" t="str">
            <v>F3-2</v>
          </cell>
          <cell r="E444" t="str">
            <v>SZUMSKI-MIRGALET</v>
          </cell>
          <cell r="F444" t="str">
            <v>Caroline</v>
          </cell>
          <cell r="G444">
            <v>0</v>
          </cell>
          <cell r="H444">
            <v>1</v>
          </cell>
          <cell r="I444">
            <v>0</v>
          </cell>
          <cell r="J444">
            <v>26846</v>
          </cell>
          <cell r="K444" t="str">
            <v>45 an(s) 10 mois et 17 jour(s)</v>
          </cell>
          <cell r="L444" t="str">
            <v>GENSAC LA PALLUE</v>
          </cell>
          <cell r="M444" t="str">
            <v>Champagne</v>
          </cell>
          <cell r="N444">
            <v>0</v>
          </cell>
        </row>
        <row r="445">
          <cell r="C445" t="str">
            <v>F3-3</v>
          </cell>
          <cell r="D445" t="str">
            <v>F3-3</v>
          </cell>
          <cell r="E445" t="str">
            <v>SZUMSKI-MIRGALET</v>
          </cell>
          <cell r="F445" t="str">
            <v>Anastasia</v>
          </cell>
          <cell r="G445">
            <v>0</v>
          </cell>
          <cell r="H445">
            <v>0</v>
          </cell>
          <cell r="I445">
            <v>1</v>
          </cell>
          <cell r="J445">
            <v>41992</v>
          </cell>
          <cell r="K445" t="str">
            <v>4 an(s) 4 mois et 29 jour(s)</v>
          </cell>
          <cell r="L445" t="str">
            <v>GENSAC LA PALLUE</v>
          </cell>
          <cell r="M445" t="str">
            <v>Champagne</v>
          </cell>
          <cell r="N445">
            <v>0</v>
          </cell>
        </row>
        <row r="446">
          <cell r="C446" t="str">
            <v>F43-1</v>
          </cell>
          <cell r="D446" t="str">
            <v>F43-1</v>
          </cell>
          <cell r="E446" t="str">
            <v>ZNACZKO</v>
          </cell>
          <cell r="F446" t="str">
            <v>Ewa</v>
          </cell>
          <cell r="G446">
            <v>0</v>
          </cell>
          <cell r="H446">
            <v>1</v>
          </cell>
          <cell r="I446">
            <v>0</v>
          </cell>
          <cell r="J446">
            <v>29709</v>
          </cell>
          <cell r="K446" t="str">
            <v>38 an(s) 0 mois et 15 jour(s)</v>
          </cell>
          <cell r="L446" t="str">
            <v>Bourg Charente</v>
          </cell>
          <cell r="M446" t="str">
            <v>Jarnac</v>
          </cell>
          <cell r="N446" t="str">
            <v>ewa.znaczko@yahoo.fr</v>
          </cell>
        </row>
        <row r="447">
          <cell r="C447" t="str">
            <v>F43-2</v>
          </cell>
          <cell r="D447" t="str">
            <v>F43-2</v>
          </cell>
          <cell r="E447" t="str">
            <v>ADOL</v>
          </cell>
          <cell r="F447" t="str">
            <v>Gabriel</v>
          </cell>
          <cell r="G447">
            <v>0</v>
          </cell>
          <cell r="H447">
            <v>0</v>
          </cell>
          <cell r="I447">
            <v>1</v>
          </cell>
          <cell r="J447">
            <v>42208</v>
          </cell>
          <cell r="K447" t="str">
            <v>3 an(s) 9 mois et 25 jour(s)</v>
          </cell>
          <cell r="L447" t="str">
            <v>Bourg Charente</v>
          </cell>
          <cell r="M447" t="str">
            <v>Jarnac</v>
          </cell>
          <cell r="N447">
            <v>0</v>
          </cell>
        </row>
        <row r="448">
          <cell r="C448" t="str">
            <v>F43-3</v>
          </cell>
          <cell r="D448" t="str">
            <v>F43-3</v>
          </cell>
          <cell r="E448" t="str">
            <v>LAURENCEAU</v>
          </cell>
          <cell r="F448" t="str">
            <v>Patricia</v>
          </cell>
          <cell r="G448">
            <v>0</v>
          </cell>
          <cell r="H448">
            <v>1</v>
          </cell>
          <cell r="I448">
            <v>0</v>
          </cell>
          <cell r="J448">
            <v>19640</v>
          </cell>
          <cell r="K448" t="str">
            <v>65 an(s) 7 mois et 10 jour(s)</v>
          </cell>
          <cell r="L448" t="str">
            <v>Bourg Charente</v>
          </cell>
          <cell r="M448" t="str">
            <v>Jarnac</v>
          </cell>
          <cell r="N448">
            <v>0</v>
          </cell>
        </row>
        <row r="449">
          <cell r="C449" t="str">
            <v>F43-4</v>
          </cell>
          <cell r="D449" t="str">
            <v>F43-4</v>
          </cell>
          <cell r="E449" t="str">
            <v>ADOL</v>
          </cell>
          <cell r="F449" t="str">
            <v>Loïc</v>
          </cell>
          <cell r="G449">
            <v>0</v>
          </cell>
          <cell r="H449">
            <v>0</v>
          </cell>
          <cell r="I449">
            <v>1</v>
          </cell>
          <cell r="J449">
            <v>31269</v>
          </cell>
          <cell r="K449" t="str">
            <v>33 an(s) 9 mois et 8 jour(s)</v>
          </cell>
          <cell r="L449" t="str">
            <v>Bourg Charente</v>
          </cell>
          <cell r="M449" t="str">
            <v>Jarnac</v>
          </cell>
          <cell r="N449">
            <v>0</v>
          </cell>
        </row>
        <row r="450">
          <cell r="C450" t="str">
            <v>F46-1</v>
          </cell>
          <cell r="D450" t="str">
            <v>F46-1</v>
          </cell>
          <cell r="E450" t="str">
            <v>TOTO ZARASOA</v>
          </cell>
          <cell r="F450" t="str">
            <v>Meva Adora</v>
          </cell>
          <cell r="G450">
            <v>0</v>
          </cell>
          <cell r="H450">
            <v>1</v>
          </cell>
          <cell r="I450">
            <v>0</v>
          </cell>
          <cell r="J450">
            <v>32048</v>
          </cell>
          <cell r="K450" t="str">
            <v>31 an(s) 7 mois et 20 jour(s)</v>
          </cell>
          <cell r="L450" t="str">
            <v>Les Métairies</v>
          </cell>
          <cell r="M450" t="str">
            <v>Jarnac</v>
          </cell>
          <cell r="N450" t="str">
            <v>meva.adora@gmail.com</v>
          </cell>
        </row>
        <row r="451">
          <cell r="C451" t="str">
            <v>F46-2</v>
          </cell>
          <cell r="D451" t="str">
            <v>F46-2</v>
          </cell>
          <cell r="E451" t="str">
            <v>BORJAS</v>
          </cell>
          <cell r="F451" t="str">
            <v>Jacques</v>
          </cell>
          <cell r="G451">
            <v>0</v>
          </cell>
          <cell r="H451">
            <v>0</v>
          </cell>
          <cell r="I451">
            <v>1</v>
          </cell>
          <cell r="J451">
            <v>26774</v>
          </cell>
          <cell r="K451" t="str">
            <v>46 an(s) 0 mois et 28 jour(s)</v>
          </cell>
          <cell r="L451" t="str">
            <v>Les Métairies</v>
          </cell>
          <cell r="M451" t="str">
            <v>Jarnac</v>
          </cell>
          <cell r="N451">
            <v>0</v>
          </cell>
        </row>
        <row r="452">
          <cell r="C452" t="str">
            <v>F46-3</v>
          </cell>
          <cell r="D452" t="str">
            <v>F46-3</v>
          </cell>
          <cell r="E452" t="str">
            <v>BORJAS</v>
          </cell>
          <cell r="F452" t="str">
            <v>Dorian</v>
          </cell>
          <cell r="G452">
            <v>0</v>
          </cell>
          <cell r="H452">
            <v>0</v>
          </cell>
          <cell r="I452">
            <v>1</v>
          </cell>
          <cell r="J452">
            <v>41732</v>
          </cell>
          <cell r="K452" t="str">
            <v>5 an(s) 1 mois et 15 jour(s)</v>
          </cell>
          <cell r="L452" t="str">
            <v>Les Métairies</v>
          </cell>
          <cell r="M452" t="str">
            <v>Jarnac</v>
          </cell>
          <cell r="N452">
            <v>0</v>
          </cell>
        </row>
        <row r="453">
          <cell r="C453" t="str">
            <v>F46-4</v>
          </cell>
          <cell r="D453" t="str">
            <v>F46-4</v>
          </cell>
          <cell r="E453" t="str">
            <v>BORJAS</v>
          </cell>
          <cell r="F453" t="str">
            <v>Thomas</v>
          </cell>
          <cell r="G453">
            <v>0</v>
          </cell>
          <cell r="H453">
            <v>0</v>
          </cell>
          <cell r="I453">
            <v>1</v>
          </cell>
          <cell r="J453">
            <v>42256</v>
          </cell>
          <cell r="K453" t="str">
            <v>3 an(s) 8 mois et 9 jour(s)</v>
          </cell>
          <cell r="L453" t="str">
            <v>Les Métairies</v>
          </cell>
          <cell r="M453" t="str">
            <v>Jarnac</v>
          </cell>
          <cell r="N453">
            <v>0</v>
          </cell>
        </row>
        <row r="454">
          <cell r="C454" t="str">
            <v>F55-1</v>
          </cell>
          <cell r="D454" t="str">
            <v>F55-1</v>
          </cell>
          <cell r="E454" t="str">
            <v>MORALES</v>
          </cell>
          <cell r="F454" t="str">
            <v>Pierrick</v>
          </cell>
          <cell r="G454">
            <v>0</v>
          </cell>
          <cell r="H454">
            <v>0</v>
          </cell>
          <cell r="I454">
            <v>1</v>
          </cell>
          <cell r="J454">
            <v>27119</v>
          </cell>
          <cell r="K454" t="str">
            <v>45 an(s) 1 mois et 17 jour(s)</v>
          </cell>
          <cell r="L454" t="str">
            <v>Juillac</v>
          </cell>
          <cell r="M454" t="str">
            <v>Champagne</v>
          </cell>
          <cell r="N454" t="str">
            <v>eve/morales@free.fr</v>
          </cell>
        </row>
        <row r="455">
          <cell r="C455" t="str">
            <v>F55-2</v>
          </cell>
          <cell r="D455" t="str">
            <v>F55-2</v>
          </cell>
          <cell r="E455" t="str">
            <v>MORALES</v>
          </cell>
          <cell r="F455" t="str">
            <v>Eve</v>
          </cell>
          <cell r="G455">
            <v>0</v>
          </cell>
          <cell r="H455">
            <v>1</v>
          </cell>
          <cell r="I455">
            <v>0</v>
          </cell>
          <cell r="J455">
            <v>27547</v>
          </cell>
          <cell r="K455" t="str">
            <v>43 an(s) 11 mois et 16 jour(s)</v>
          </cell>
          <cell r="L455" t="str">
            <v>Juillac</v>
          </cell>
          <cell r="M455" t="str">
            <v>Champagne</v>
          </cell>
          <cell r="N455">
            <v>0</v>
          </cell>
        </row>
        <row r="456">
          <cell r="C456" t="str">
            <v>F55-3</v>
          </cell>
          <cell r="D456" t="str">
            <v>F55-3</v>
          </cell>
          <cell r="E456" t="str">
            <v>MORALES</v>
          </cell>
          <cell r="F456" t="str">
            <v>Constance</v>
          </cell>
          <cell r="G456">
            <v>0</v>
          </cell>
          <cell r="H456">
            <v>1</v>
          </cell>
          <cell r="I456">
            <v>0</v>
          </cell>
          <cell r="J456">
            <v>38315</v>
          </cell>
          <cell r="K456" t="str">
            <v>14 an(s) 5 mois et 24 jour(s)</v>
          </cell>
          <cell r="L456" t="str">
            <v>Juillac</v>
          </cell>
          <cell r="M456" t="str">
            <v>Champagne</v>
          </cell>
          <cell r="N456">
            <v>0</v>
          </cell>
        </row>
        <row r="457">
          <cell r="C457" t="str">
            <v>F55-4</v>
          </cell>
          <cell r="D457" t="str">
            <v>F55-4</v>
          </cell>
          <cell r="E457" t="str">
            <v>MORALES</v>
          </cell>
          <cell r="F457" t="str">
            <v>Henri</v>
          </cell>
          <cell r="G457">
            <v>0</v>
          </cell>
          <cell r="H457">
            <v>0</v>
          </cell>
          <cell r="I457">
            <v>1</v>
          </cell>
          <cell r="J457">
            <v>39213</v>
          </cell>
          <cell r="K457" t="str">
            <v>12 an(s) 0 mois et 7 jour(s)</v>
          </cell>
          <cell r="L457" t="str">
            <v>Juillac</v>
          </cell>
          <cell r="M457" t="str">
            <v>Champagne</v>
          </cell>
          <cell r="N457">
            <v>0</v>
          </cell>
        </row>
        <row r="458">
          <cell r="C458" t="str">
            <v>F55-5</v>
          </cell>
          <cell r="D458" t="str">
            <v>F55-5</v>
          </cell>
          <cell r="E458" t="str">
            <v>MORALES</v>
          </cell>
          <cell r="F458" t="str">
            <v>Eloïse</v>
          </cell>
          <cell r="G458">
            <v>0</v>
          </cell>
          <cell r="H458">
            <v>1</v>
          </cell>
          <cell r="I458">
            <v>0</v>
          </cell>
          <cell r="J458">
            <v>40947</v>
          </cell>
          <cell r="K458" t="str">
            <v>7 an(s) 3 mois et 10 jour(s)</v>
          </cell>
          <cell r="L458" t="str">
            <v>Juillac</v>
          </cell>
          <cell r="M458" t="str">
            <v>Champagne</v>
          </cell>
          <cell r="N458">
            <v>0</v>
          </cell>
        </row>
        <row r="459">
          <cell r="C459" t="str">
            <v>F56-1</v>
          </cell>
          <cell r="D459" t="str">
            <v>F56-1</v>
          </cell>
          <cell r="E459" t="str">
            <v>QUOD</v>
          </cell>
          <cell r="F459" t="str">
            <v>Aline</v>
          </cell>
          <cell r="G459">
            <v>0</v>
          </cell>
          <cell r="H459">
            <v>1</v>
          </cell>
          <cell r="I459">
            <v>0</v>
          </cell>
          <cell r="J459">
            <v>29232</v>
          </cell>
          <cell r="K459" t="str">
            <v>39 an(s) 4 mois et 6 jour(s)</v>
          </cell>
          <cell r="L459" t="str">
            <v>Verrières</v>
          </cell>
          <cell r="M459" t="str">
            <v>Champagne</v>
          </cell>
          <cell r="N459" t="str">
            <v>aline.quod@yahoo.fr</v>
          </cell>
        </row>
        <row r="460">
          <cell r="C460" t="str">
            <v>F56-2</v>
          </cell>
          <cell r="D460" t="str">
            <v>F56-2</v>
          </cell>
          <cell r="E460" t="str">
            <v>AUGEREAU</v>
          </cell>
          <cell r="F460" t="str">
            <v>Diane</v>
          </cell>
          <cell r="G460">
            <v>0</v>
          </cell>
          <cell r="H460">
            <v>1</v>
          </cell>
          <cell r="I460">
            <v>0</v>
          </cell>
          <cell r="J460">
            <v>42183</v>
          </cell>
          <cell r="K460" t="str">
            <v>3 an(s) 10 mois et 20 jour(s)</v>
          </cell>
          <cell r="L460" t="str">
            <v>Verrières</v>
          </cell>
          <cell r="M460" t="str">
            <v>Champagne</v>
          </cell>
          <cell r="N460">
            <v>0</v>
          </cell>
        </row>
        <row r="461">
          <cell r="C461" t="str">
            <v>F57-2</v>
          </cell>
          <cell r="D461" t="str">
            <v>F57-2</v>
          </cell>
          <cell r="E461" t="str">
            <v>SUIRE</v>
          </cell>
          <cell r="F461" t="str">
            <v>Bastien</v>
          </cell>
          <cell r="G461">
            <v>0</v>
          </cell>
          <cell r="H461">
            <v>0</v>
          </cell>
          <cell r="I461">
            <v>1</v>
          </cell>
          <cell r="J461">
            <v>31368</v>
          </cell>
          <cell r="K461" t="str">
            <v>33 an(s) 6 mois et 1 jour(s)</v>
          </cell>
          <cell r="L461" t="str">
            <v>SEGONZAC</v>
          </cell>
          <cell r="M461" t="str">
            <v>Champagne</v>
          </cell>
          <cell r="N461">
            <v>0</v>
          </cell>
        </row>
        <row r="462">
          <cell r="C462" t="str">
            <v>F58-4</v>
          </cell>
          <cell r="D462" t="str">
            <v>F58-4</v>
          </cell>
          <cell r="E462" t="str">
            <v>OZANNE</v>
          </cell>
          <cell r="F462" t="str">
            <v>Martin</v>
          </cell>
          <cell r="G462">
            <v>0</v>
          </cell>
          <cell r="H462">
            <v>0</v>
          </cell>
          <cell r="I462">
            <v>1</v>
          </cell>
          <cell r="J462">
            <v>30406</v>
          </cell>
          <cell r="K462" t="str">
            <v>36 an(s) 1 mois et 17 jour(s)</v>
          </cell>
          <cell r="L462" t="str">
            <v>Cognac</v>
          </cell>
          <cell r="M462" t="str">
            <v>Cognac</v>
          </cell>
          <cell r="N462">
            <v>0</v>
          </cell>
        </row>
        <row r="463">
          <cell r="C463" t="str">
            <v>F59-1</v>
          </cell>
          <cell r="D463" t="str">
            <v>F59-1</v>
          </cell>
          <cell r="E463" t="str">
            <v>JOUANNET</v>
          </cell>
          <cell r="F463" t="str">
            <v>Stéphanie</v>
          </cell>
          <cell r="G463">
            <v>0</v>
          </cell>
          <cell r="H463">
            <v>1</v>
          </cell>
          <cell r="I463">
            <v>0</v>
          </cell>
          <cell r="J463">
            <v>32531</v>
          </cell>
          <cell r="K463" t="str">
            <v>30 an(s) 3 mois et 25 jour(s)</v>
          </cell>
          <cell r="L463" t="str">
            <v>Saint Palais Du Né</v>
          </cell>
          <cell r="M463" t="str">
            <v>Hors_CDA</v>
          </cell>
          <cell r="N463" t="str">
            <v>leyla-stef@hotmail.fr</v>
          </cell>
        </row>
        <row r="464">
          <cell r="C464" t="str">
            <v>F59-2</v>
          </cell>
          <cell r="D464" t="str">
            <v>F59-2</v>
          </cell>
          <cell r="E464" t="str">
            <v>JOUANNET</v>
          </cell>
          <cell r="F464" t="str">
            <v>Thomas</v>
          </cell>
          <cell r="G464">
            <v>0</v>
          </cell>
          <cell r="H464">
            <v>0</v>
          </cell>
          <cell r="I464">
            <v>1</v>
          </cell>
          <cell r="J464">
            <v>40536</v>
          </cell>
          <cell r="K464" t="str">
            <v>8 an(s) 4 mois et 24 jour(s)</v>
          </cell>
          <cell r="L464" t="str">
            <v>Saint Palais Du Né</v>
          </cell>
          <cell r="M464" t="str">
            <v>Hors_CDA</v>
          </cell>
          <cell r="N464">
            <v>0</v>
          </cell>
        </row>
        <row r="465">
          <cell r="C465" t="str">
            <v>F59-3</v>
          </cell>
          <cell r="D465" t="str">
            <v>F59-3</v>
          </cell>
          <cell r="E465" t="str">
            <v>JOUANNET</v>
          </cell>
          <cell r="F465" t="str">
            <v>Léona</v>
          </cell>
          <cell r="G465">
            <v>0</v>
          </cell>
          <cell r="H465">
            <v>1</v>
          </cell>
          <cell r="I465">
            <v>0</v>
          </cell>
          <cell r="J465">
            <v>41935</v>
          </cell>
          <cell r="K465" t="str">
            <v>4 an(s) 6 mois et 25 jour(s)</v>
          </cell>
          <cell r="L465" t="str">
            <v>Saint Palais Du Né</v>
          </cell>
          <cell r="M465" t="str">
            <v>Hors_CDA</v>
          </cell>
          <cell r="N465">
            <v>0</v>
          </cell>
        </row>
        <row r="466">
          <cell r="C466" t="str">
            <v>F62-1</v>
          </cell>
          <cell r="D466" t="str">
            <v>F62-1</v>
          </cell>
          <cell r="E466" t="str">
            <v>SEMNONT</v>
          </cell>
          <cell r="F466" t="str">
            <v>Marie-Laure</v>
          </cell>
          <cell r="G466">
            <v>0</v>
          </cell>
          <cell r="H466">
            <v>1</v>
          </cell>
          <cell r="I466">
            <v>0</v>
          </cell>
          <cell r="J466">
            <v>25039</v>
          </cell>
          <cell r="K466" t="str">
            <v>50 an(s) 9 mois et 28 jour(s)</v>
          </cell>
          <cell r="L466" t="str">
            <v>Jarnac</v>
          </cell>
          <cell r="M466" t="str">
            <v>Jarnac</v>
          </cell>
          <cell r="N466" t="str">
            <v>amlsemnont@free.fr</v>
          </cell>
        </row>
        <row r="467">
          <cell r="C467" t="str">
            <v>F62-2</v>
          </cell>
          <cell r="D467" t="str">
            <v>F62-2</v>
          </cell>
          <cell r="E467" t="str">
            <v>SEMNONT</v>
          </cell>
          <cell r="F467" t="str">
            <v>Antoine</v>
          </cell>
          <cell r="G467">
            <v>0</v>
          </cell>
          <cell r="H467">
            <v>0</v>
          </cell>
          <cell r="I467">
            <v>1</v>
          </cell>
          <cell r="J467">
            <v>37817</v>
          </cell>
          <cell r="K467" t="str">
            <v>15 an(s) 10 mois et 3 jour(s)</v>
          </cell>
          <cell r="L467" t="str">
            <v>Jarnac</v>
          </cell>
          <cell r="M467" t="str">
            <v>Jarnac</v>
          </cell>
          <cell r="N467">
            <v>0</v>
          </cell>
        </row>
        <row r="468">
          <cell r="C468" t="str">
            <v>F62-3</v>
          </cell>
          <cell r="D468" t="str">
            <v>F62-3</v>
          </cell>
          <cell r="E468" t="str">
            <v>SEMNONT</v>
          </cell>
          <cell r="F468" t="str">
            <v>Jéromine</v>
          </cell>
          <cell r="G468">
            <v>0</v>
          </cell>
          <cell r="H468">
            <v>1</v>
          </cell>
          <cell r="I468">
            <v>0</v>
          </cell>
          <cell r="J468">
            <v>39243</v>
          </cell>
          <cell r="K468" t="str">
            <v>11 an(s) 11 mois et 8 jour(s)</v>
          </cell>
          <cell r="L468" t="str">
            <v>Jarnac</v>
          </cell>
          <cell r="M468" t="str">
            <v>Jarnac</v>
          </cell>
          <cell r="N468">
            <v>0</v>
          </cell>
        </row>
        <row r="469">
          <cell r="C469" t="str">
            <v>F62-4</v>
          </cell>
          <cell r="D469" t="str">
            <v>F62-4</v>
          </cell>
          <cell r="E469" t="str">
            <v>SEMNONT</v>
          </cell>
          <cell r="F469" t="str">
            <v>Guerric</v>
          </cell>
          <cell r="G469">
            <v>0</v>
          </cell>
          <cell r="H469">
            <v>0</v>
          </cell>
          <cell r="I469">
            <v>1</v>
          </cell>
          <cell r="J469">
            <v>39243</v>
          </cell>
          <cell r="K469" t="str">
            <v>11 an(s) 11 mois et 8 jour(s)</v>
          </cell>
          <cell r="L469" t="str">
            <v>Jarnac</v>
          </cell>
          <cell r="M469" t="str">
            <v>Jarnac</v>
          </cell>
          <cell r="N469">
            <v>0</v>
          </cell>
        </row>
        <row r="470">
          <cell r="C470" t="str">
            <v>F63-1</v>
          </cell>
          <cell r="D470" t="str">
            <v>F63-1</v>
          </cell>
          <cell r="E470" t="str">
            <v>RAITON</v>
          </cell>
          <cell r="F470" t="str">
            <v>Angélique</v>
          </cell>
          <cell r="G470">
            <v>0</v>
          </cell>
          <cell r="H470">
            <v>1</v>
          </cell>
          <cell r="I470">
            <v>0</v>
          </cell>
          <cell r="J470">
            <v>29719</v>
          </cell>
          <cell r="K470" t="str">
            <v>38 an(s) 0 mois et 5 jour(s)</v>
          </cell>
          <cell r="L470" t="str">
            <v>Mainxe</v>
          </cell>
          <cell r="M470" t="str">
            <v>Jarnac</v>
          </cell>
          <cell r="N470" t="str">
            <v>angeliquesejourne@gmail.com</v>
          </cell>
        </row>
        <row r="471">
          <cell r="C471" t="str">
            <v>F63-2</v>
          </cell>
          <cell r="D471" t="str">
            <v>F63-2</v>
          </cell>
          <cell r="E471" t="str">
            <v>SEJOURNE</v>
          </cell>
          <cell r="F471" t="str">
            <v>Jeanne</v>
          </cell>
          <cell r="G471">
            <v>0</v>
          </cell>
          <cell r="H471">
            <v>1</v>
          </cell>
          <cell r="I471">
            <v>0</v>
          </cell>
          <cell r="J471">
            <v>41043</v>
          </cell>
          <cell r="K471" t="str">
            <v>7 an(s) 0 mois et 4 jour(s)</v>
          </cell>
          <cell r="L471" t="str">
            <v>Mainxe</v>
          </cell>
          <cell r="M471" t="str">
            <v>Jarnac</v>
          </cell>
          <cell r="N471">
            <v>0</v>
          </cell>
        </row>
        <row r="472">
          <cell r="C472" t="str">
            <v>F63-3</v>
          </cell>
          <cell r="D472" t="str">
            <v>F63-3</v>
          </cell>
          <cell r="E472" t="str">
            <v>SEJOURNE</v>
          </cell>
          <cell r="F472" t="str">
            <v>Gabriel</v>
          </cell>
          <cell r="G472">
            <v>0</v>
          </cell>
          <cell r="H472">
            <v>1</v>
          </cell>
          <cell r="I472">
            <v>0</v>
          </cell>
          <cell r="J472">
            <v>41967</v>
          </cell>
          <cell r="K472" t="str">
            <v>4 an(s) 5 mois et 24 jour(s)</v>
          </cell>
          <cell r="L472" t="str">
            <v>Mainxe</v>
          </cell>
          <cell r="M472" t="str">
            <v>Jarnac</v>
          </cell>
          <cell r="N472">
            <v>0</v>
          </cell>
        </row>
        <row r="473">
          <cell r="C473" t="str">
            <v>F64-1</v>
          </cell>
          <cell r="D473" t="str">
            <v>F64-1</v>
          </cell>
          <cell r="E473" t="str">
            <v>ALBINA-GOMEZ</v>
          </cell>
          <cell r="F473" t="str">
            <v>Véronique</v>
          </cell>
          <cell r="G473">
            <v>0</v>
          </cell>
          <cell r="H473">
            <v>1</v>
          </cell>
          <cell r="I473">
            <v>0</v>
          </cell>
          <cell r="J473">
            <v>27925</v>
          </cell>
          <cell r="K473" t="str">
            <v>42 an(s) 11 mois et 4 jour(s)</v>
          </cell>
          <cell r="L473" t="str">
            <v>Châteaubernard</v>
          </cell>
          <cell r="M473" t="str">
            <v>Cognac</v>
          </cell>
          <cell r="N473" t="str">
            <v>veronique-albina@orange.fr</v>
          </cell>
        </row>
        <row r="474">
          <cell r="C474" t="str">
            <v>F64-2</v>
          </cell>
          <cell r="D474" t="str">
            <v>F64-2</v>
          </cell>
          <cell r="E474" t="str">
            <v>GOMEZ</v>
          </cell>
          <cell r="F474" t="str">
            <v>Pascal</v>
          </cell>
          <cell r="G474">
            <v>0</v>
          </cell>
          <cell r="H474">
            <v>0</v>
          </cell>
          <cell r="I474">
            <v>1</v>
          </cell>
          <cell r="J474">
            <v>26018</v>
          </cell>
          <cell r="K474" t="str">
            <v>48 an(s) 1 mois et 22 jour(s)</v>
          </cell>
          <cell r="L474" t="str">
            <v>Châteaubernard</v>
          </cell>
          <cell r="M474" t="str">
            <v>Cognac</v>
          </cell>
          <cell r="N474">
            <v>0</v>
          </cell>
        </row>
        <row r="475">
          <cell r="C475" t="str">
            <v>F64-3</v>
          </cell>
          <cell r="D475" t="str">
            <v>F64-3</v>
          </cell>
          <cell r="E475" t="str">
            <v>GOMEZ-ALBINA</v>
          </cell>
          <cell r="F475" t="str">
            <v>Grégory</v>
          </cell>
          <cell r="G475">
            <v>0</v>
          </cell>
          <cell r="H475">
            <v>0</v>
          </cell>
          <cell r="I475">
            <v>1</v>
          </cell>
          <cell r="J475">
            <v>40141</v>
          </cell>
          <cell r="K475" t="str">
            <v>9 an(s) 5 mois et 24 jour(s)</v>
          </cell>
          <cell r="L475" t="str">
            <v>Châteaubernard</v>
          </cell>
          <cell r="M475" t="str">
            <v>Cognac</v>
          </cell>
          <cell r="N475">
            <v>0</v>
          </cell>
        </row>
        <row r="476">
          <cell r="C476" t="str">
            <v>F64-4</v>
          </cell>
          <cell r="D476" t="str">
            <v>F64-4</v>
          </cell>
          <cell r="E476" t="str">
            <v>GOMEZ-ALBINA</v>
          </cell>
          <cell r="F476" t="str">
            <v>Nathan</v>
          </cell>
          <cell r="G476">
            <v>0</v>
          </cell>
          <cell r="H476">
            <v>0</v>
          </cell>
          <cell r="I476">
            <v>1</v>
          </cell>
          <cell r="J476">
            <v>40141</v>
          </cell>
          <cell r="K476" t="str">
            <v>9 an(s) 5 mois et 24 jour(s)</v>
          </cell>
          <cell r="L476" t="str">
            <v>Châteaubernard</v>
          </cell>
          <cell r="M476" t="str">
            <v>Cognac</v>
          </cell>
          <cell r="N476">
            <v>0</v>
          </cell>
        </row>
        <row r="477">
          <cell r="C477" t="str">
            <v>F66-1</v>
          </cell>
          <cell r="D477" t="str">
            <v>F66-1</v>
          </cell>
          <cell r="E477" t="str">
            <v>VILLARD</v>
          </cell>
          <cell r="F477" t="str">
            <v>Marion</v>
          </cell>
          <cell r="G477">
            <v>0</v>
          </cell>
          <cell r="H477">
            <v>1</v>
          </cell>
          <cell r="I477">
            <v>0</v>
          </cell>
          <cell r="J477">
            <v>31437</v>
          </cell>
          <cell r="K477" t="str">
            <v>33 an(s) 3 mois et 23 jour(s)</v>
          </cell>
          <cell r="L477" t="str">
            <v>Chateauneuf</v>
          </cell>
          <cell r="M477" t="str">
            <v>Chateauneuf</v>
          </cell>
          <cell r="N477" t="str">
            <v>tetard.marion@hotmail.fr</v>
          </cell>
        </row>
        <row r="478">
          <cell r="C478" t="str">
            <v>F66-2</v>
          </cell>
          <cell r="D478" t="str">
            <v>F66-2</v>
          </cell>
          <cell r="E478" t="str">
            <v>VILLARD</v>
          </cell>
          <cell r="F478" t="str">
            <v>Nicolas</v>
          </cell>
          <cell r="G478">
            <v>0</v>
          </cell>
          <cell r="H478">
            <v>0</v>
          </cell>
          <cell r="I478">
            <v>1</v>
          </cell>
          <cell r="J478">
            <v>31265</v>
          </cell>
          <cell r="K478" t="str">
            <v>33 an(s) 9 mois et 12 jour(s)</v>
          </cell>
          <cell r="L478" t="str">
            <v>Chateauneuf</v>
          </cell>
          <cell r="M478" t="str">
            <v>Chateauneuf</v>
          </cell>
          <cell r="N478">
            <v>0</v>
          </cell>
        </row>
        <row r="479">
          <cell r="C479" t="str">
            <v>F66-3</v>
          </cell>
          <cell r="D479" t="str">
            <v>F66-3</v>
          </cell>
          <cell r="E479" t="str">
            <v>VILLARD</v>
          </cell>
          <cell r="F479" t="str">
            <v>Augustin</v>
          </cell>
          <cell r="G479">
            <v>0</v>
          </cell>
          <cell r="H479">
            <v>0</v>
          </cell>
          <cell r="I479">
            <v>1</v>
          </cell>
          <cell r="J479">
            <v>42176</v>
          </cell>
          <cell r="K479" t="str">
            <v>3 an(s) 10 mois et 27 jour(s)</v>
          </cell>
          <cell r="L479" t="str">
            <v>Chateauneuf</v>
          </cell>
          <cell r="M479" t="str">
            <v>Chateauneuf</v>
          </cell>
          <cell r="N479">
            <v>0</v>
          </cell>
        </row>
        <row r="480">
          <cell r="C480" t="str">
            <v>F76-1</v>
          </cell>
          <cell r="D480" t="str">
            <v>GAZEAUD/SOWINSKI</v>
          </cell>
          <cell r="E480" t="str">
            <v>SOWINSKI</v>
          </cell>
          <cell r="F480" t="str">
            <v>Valérie</v>
          </cell>
          <cell r="G480">
            <v>0</v>
          </cell>
          <cell r="H480">
            <v>1</v>
          </cell>
          <cell r="I480">
            <v>0</v>
          </cell>
          <cell r="J480">
            <v>29805</v>
          </cell>
          <cell r="K480" t="str">
            <v>37 an(s) 9 mois et 11 jour(s)</v>
          </cell>
          <cell r="L480" t="str">
            <v>SEGONZAC</v>
          </cell>
          <cell r="M480" t="str">
            <v>Champagne</v>
          </cell>
          <cell r="N480">
            <v>0</v>
          </cell>
        </row>
        <row r="481">
          <cell r="C481" t="str">
            <v>F76-2</v>
          </cell>
          <cell r="D481" t="str">
            <v>GAZEAUD/SOWINSKI</v>
          </cell>
          <cell r="E481" t="str">
            <v>GAZEAUD</v>
          </cell>
          <cell r="F481" t="str">
            <v>Agnés</v>
          </cell>
          <cell r="G481">
            <v>0</v>
          </cell>
          <cell r="H481">
            <v>1</v>
          </cell>
          <cell r="I481">
            <v>0</v>
          </cell>
          <cell r="J481">
            <v>39965</v>
          </cell>
          <cell r="K481" t="str">
            <v>9 an(s) 11 mois et 17 jour(s)</v>
          </cell>
          <cell r="L481" t="str">
            <v>SEGONZAC</v>
          </cell>
          <cell r="M481" t="str">
            <v>Champagne</v>
          </cell>
          <cell r="N481">
            <v>0</v>
          </cell>
        </row>
        <row r="482">
          <cell r="C482" t="str">
            <v>F76-3</v>
          </cell>
          <cell r="D482" t="str">
            <v>GAZEAUD/SOWINSKI</v>
          </cell>
          <cell r="E482" t="str">
            <v>GAZEAUD</v>
          </cell>
          <cell r="F482" t="str">
            <v>Perrine</v>
          </cell>
          <cell r="G482">
            <v>0</v>
          </cell>
          <cell r="H482">
            <v>1</v>
          </cell>
          <cell r="I482">
            <v>0</v>
          </cell>
          <cell r="J482">
            <v>40707</v>
          </cell>
          <cell r="K482" t="str">
            <v>7 an(s) 11 mois et 5 jour(s)</v>
          </cell>
          <cell r="L482" t="str">
            <v>SEGONZAC</v>
          </cell>
          <cell r="M482" t="str">
            <v>Champagne</v>
          </cell>
          <cell r="N482">
            <v>0</v>
          </cell>
        </row>
        <row r="483">
          <cell r="C483" t="str">
            <v>F76-4</v>
          </cell>
          <cell r="D483" t="str">
            <v>GAZEAUD/SOWINSKI</v>
          </cell>
          <cell r="E483" t="str">
            <v>GAZEAUD</v>
          </cell>
          <cell r="F483" t="str">
            <v>Léonore</v>
          </cell>
          <cell r="G483">
            <v>0</v>
          </cell>
          <cell r="H483">
            <v>1</v>
          </cell>
          <cell r="I483">
            <v>0</v>
          </cell>
          <cell r="J483">
            <v>41810</v>
          </cell>
          <cell r="K483" t="str">
            <v>4 an(s) 10 mois et 28 jour(s)</v>
          </cell>
          <cell r="L483" t="str">
            <v>SEGONZAC</v>
          </cell>
          <cell r="M483" t="str">
            <v>Champagne</v>
          </cell>
          <cell r="N483" t="str">
            <v>anais.hulin@orange.fr</v>
          </cell>
        </row>
        <row r="484">
          <cell r="C484" t="str">
            <v>F81-1</v>
          </cell>
          <cell r="D484" t="str">
            <v>F81-1</v>
          </cell>
          <cell r="E484" t="str">
            <v>MEUNIER</v>
          </cell>
          <cell r="F484" t="str">
            <v>Laura</v>
          </cell>
          <cell r="G484">
            <v>0</v>
          </cell>
          <cell r="H484">
            <v>1</v>
          </cell>
          <cell r="I484">
            <v>0</v>
          </cell>
          <cell r="J484">
            <v>31450</v>
          </cell>
          <cell r="K484" t="str">
            <v>33 an(s) 3 mois et 11 jour(s)</v>
          </cell>
          <cell r="L484" t="str">
            <v>Bourg Charente</v>
          </cell>
          <cell r="M484" t="str">
            <v>Jarnac</v>
          </cell>
          <cell r="N484">
            <v>0</v>
          </cell>
        </row>
        <row r="485">
          <cell r="C485" t="str">
            <v>F81-2</v>
          </cell>
          <cell r="D485" t="str">
            <v>F81-2</v>
          </cell>
          <cell r="E485" t="str">
            <v>JOUVET</v>
          </cell>
          <cell r="F485" t="str">
            <v>Louise</v>
          </cell>
          <cell r="G485">
            <v>0</v>
          </cell>
          <cell r="H485">
            <v>1</v>
          </cell>
          <cell r="I485">
            <v>0</v>
          </cell>
          <cell r="J485">
            <v>41067</v>
          </cell>
          <cell r="K485" t="str">
            <v>6 an(s) 11 mois et 11 jour(s)</v>
          </cell>
          <cell r="L485" t="str">
            <v>Bourg Charente</v>
          </cell>
          <cell r="M485" t="str">
            <v>Jarnac</v>
          </cell>
          <cell r="N485" t="str">
            <v>sanafree@gmail.com</v>
          </cell>
        </row>
        <row r="486">
          <cell r="C486" t="str">
            <v>F82-1</v>
          </cell>
          <cell r="D486" t="str">
            <v>F82-1</v>
          </cell>
          <cell r="E486" t="str">
            <v>UGUEN</v>
          </cell>
          <cell r="F486" t="str">
            <v>Benoit</v>
          </cell>
          <cell r="G486">
            <v>0</v>
          </cell>
          <cell r="H486">
            <v>0</v>
          </cell>
          <cell r="I486">
            <v>1</v>
          </cell>
          <cell r="J486">
            <v>32509</v>
          </cell>
          <cell r="K486" t="str">
            <v>30 an(s) 4 mois et 17 jour(s)</v>
          </cell>
          <cell r="L486" t="str">
            <v>Julienne</v>
          </cell>
          <cell r="M486" t="str">
            <v>Jarnac</v>
          </cell>
          <cell r="N486">
            <v>0</v>
          </cell>
        </row>
        <row r="487">
          <cell r="C487" t="str">
            <v>F82-2</v>
          </cell>
          <cell r="D487" t="str">
            <v>F82-2</v>
          </cell>
          <cell r="E487" t="str">
            <v>UGUEN</v>
          </cell>
          <cell r="F487" t="str">
            <v>Jeanne</v>
          </cell>
          <cell r="G487">
            <v>0</v>
          </cell>
          <cell r="H487">
            <v>1</v>
          </cell>
          <cell r="I487">
            <v>0</v>
          </cell>
          <cell r="J487">
            <v>42051</v>
          </cell>
          <cell r="K487" t="str">
            <v>4 an(s) 3 mois et 2 jour(s)</v>
          </cell>
          <cell r="L487" t="str">
            <v>Julienne</v>
          </cell>
          <cell r="M487" t="str">
            <v>Jarnac</v>
          </cell>
          <cell r="N487" t="str">
            <v>krissvimpere5@gmail.com</v>
          </cell>
        </row>
        <row r="488">
          <cell r="C488" t="str">
            <v>F83-1</v>
          </cell>
          <cell r="D488" t="str">
            <v>F83-1</v>
          </cell>
          <cell r="E488" t="str">
            <v>VIMPERE</v>
          </cell>
          <cell r="F488" t="str">
            <v>Christine</v>
          </cell>
          <cell r="G488">
            <v>0</v>
          </cell>
          <cell r="H488">
            <v>1</v>
          </cell>
          <cell r="I488">
            <v>0</v>
          </cell>
          <cell r="J488">
            <v>20278</v>
          </cell>
          <cell r="K488" t="str">
            <v>63 an(s) 10 mois et 10 jour(s)</v>
          </cell>
          <cell r="L488" t="str">
            <v>Cognac</v>
          </cell>
          <cell r="M488" t="str">
            <v>Cognac</v>
          </cell>
          <cell r="N488">
            <v>0</v>
          </cell>
        </row>
        <row r="489">
          <cell r="C489" t="str">
            <v>F83-2</v>
          </cell>
          <cell r="D489" t="str">
            <v>F83-2</v>
          </cell>
          <cell r="E489" t="str">
            <v>REYDEL</v>
          </cell>
          <cell r="F489" t="str">
            <v>Louis</v>
          </cell>
          <cell r="G489">
            <v>0</v>
          </cell>
          <cell r="H489">
            <v>0</v>
          </cell>
          <cell r="I489">
            <v>1</v>
          </cell>
          <cell r="J489">
            <v>41692</v>
          </cell>
          <cell r="K489" t="str">
            <v>5 an(s) 2 mois et 26 jour(s)</v>
          </cell>
          <cell r="L489" t="str">
            <v>Cognac</v>
          </cell>
          <cell r="M489" t="str">
            <v>Cognac</v>
          </cell>
          <cell r="N489">
            <v>0</v>
          </cell>
        </row>
        <row r="490">
          <cell r="C490" t="str">
            <v>F83-3</v>
          </cell>
          <cell r="D490" t="str">
            <v>F83-3</v>
          </cell>
          <cell r="E490" t="str">
            <v>REYDEL</v>
          </cell>
          <cell r="F490" t="str">
            <v>Charlotte</v>
          </cell>
          <cell r="G490">
            <v>0</v>
          </cell>
          <cell r="H490">
            <v>1</v>
          </cell>
          <cell r="I490">
            <v>0</v>
          </cell>
          <cell r="J490">
            <v>42228</v>
          </cell>
          <cell r="K490" t="str">
            <v>3 an(s) 9 mois et 6 jour(s)</v>
          </cell>
          <cell r="L490" t="str">
            <v>Cognac</v>
          </cell>
          <cell r="M490" t="str">
            <v>Cognac</v>
          </cell>
          <cell r="N490">
            <v>0</v>
          </cell>
        </row>
        <row r="491">
          <cell r="C491" t="str">
            <v>F83-4</v>
          </cell>
          <cell r="D491" t="str">
            <v>F83-4</v>
          </cell>
          <cell r="E491" t="str">
            <v>REYDEL</v>
          </cell>
          <cell r="F491" t="str">
            <v>Margaux</v>
          </cell>
          <cell r="G491">
            <v>0</v>
          </cell>
          <cell r="H491">
            <v>1</v>
          </cell>
          <cell r="I491">
            <v>0</v>
          </cell>
          <cell r="J491">
            <v>42802</v>
          </cell>
          <cell r="K491" t="str">
            <v>2 an(s) 2 mois et 10 jour(s)</v>
          </cell>
          <cell r="L491" t="str">
            <v>Cognac</v>
          </cell>
          <cell r="M491" t="str">
            <v>Cognac</v>
          </cell>
          <cell r="N491" t="str">
            <v>laval.henri@gmail.com</v>
          </cell>
        </row>
        <row r="492">
          <cell r="C492" t="str">
            <v>F84-1</v>
          </cell>
          <cell r="D492" t="str">
            <v>F84-1</v>
          </cell>
          <cell r="E492" t="str">
            <v>LAVAL</v>
          </cell>
          <cell r="F492" t="str">
            <v>Henri</v>
          </cell>
          <cell r="G492">
            <v>0</v>
          </cell>
          <cell r="H492">
            <v>0</v>
          </cell>
          <cell r="I492">
            <v>1</v>
          </cell>
          <cell r="J492">
            <v>30049</v>
          </cell>
          <cell r="K492" t="str">
            <v>37 an(s) 1 mois et 10 jour(s)</v>
          </cell>
          <cell r="L492" t="str">
            <v>SEGONZAC</v>
          </cell>
          <cell r="M492" t="str">
            <v>Champagne</v>
          </cell>
          <cell r="N492">
            <v>0</v>
          </cell>
        </row>
        <row r="493">
          <cell r="C493" t="str">
            <v>F84-2</v>
          </cell>
          <cell r="D493" t="str">
            <v>F84-2</v>
          </cell>
          <cell r="E493" t="str">
            <v>LAVAL</v>
          </cell>
          <cell r="F493" t="str">
            <v>Raïssa</v>
          </cell>
          <cell r="G493">
            <v>0</v>
          </cell>
          <cell r="H493">
            <v>1</v>
          </cell>
          <cell r="I493">
            <v>0</v>
          </cell>
          <cell r="J493">
            <v>32135</v>
          </cell>
          <cell r="K493" t="str">
            <v>31 an(s) 4 mois et 24 jour(s)</v>
          </cell>
          <cell r="L493" t="str">
            <v>SEGONZAC</v>
          </cell>
          <cell r="M493" t="str">
            <v>Champagne</v>
          </cell>
          <cell r="N493">
            <v>0</v>
          </cell>
        </row>
        <row r="494">
          <cell r="C494" t="str">
            <v>F84-3</v>
          </cell>
          <cell r="D494" t="str">
            <v>F84-3</v>
          </cell>
          <cell r="E494" t="str">
            <v>LAVAL</v>
          </cell>
          <cell r="F494" t="str">
            <v>Olivier</v>
          </cell>
          <cell r="G494">
            <v>0</v>
          </cell>
          <cell r="H494">
            <v>0</v>
          </cell>
          <cell r="I494">
            <v>1</v>
          </cell>
          <cell r="J494">
            <v>41112</v>
          </cell>
          <cell r="K494" t="str">
            <v>6 an(s) 9 mois et 26 jour(s)</v>
          </cell>
          <cell r="L494" t="str">
            <v>SEGONZAC</v>
          </cell>
          <cell r="M494" t="str">
            <v>Champagne</v>
          </cell>
          <cell r="N494" t="str">
            <v>nonorib@orange.fr</v>
          </cell>
        </row>
        <row r="495">
          <cell r="C495" t="str">
            <v>F89-1</v>
          </cell>
          <cell r="D495" t="str">
            <v>F89-1</v>
          </cell>
          <cell r="E495" t="str">
            <v>MERLET</v>
          </cell>
          <cell r="F495" t="str">
            <v>Sindy</v>
          </cell>
          <cell r="G495">
            <v>0</v>
          </cell>
          <cell r="H495">
            <v>1</v>
          </cell>
          <cell r="I495">
            <v>0</v>
          </cell>
          <cell r="J495">
            <v>30866</v>
          </cell>
          <cell r="K495" t="str">
            <v>34 an(s) 10 mois et 15 jour(s)</v>
          </cell>
          <cell r="L495" t="str">
            <v>Criteuil La Magdeleine</v>
          </cell>
          <cell r="M495" t="str">
            <v>Champagne</v>
          </cell>
          <cell r="N495" t="str">
            <v>bourasseau.s@outlook.fr</v>
          </cell>
        </row>
        <row r="496">
          <cell r="C496" t="str">
            <v>F89-2</v>
          </cell>
          <cell r="D496" t="str">
            <v>F89-2</v>
          </cell>
          <cell r="E496" t="str">
            <v>MERLET</v>
          </cell>
          <cell r="F496" t="str">
            <v>Aurélien</v>
          </cell>
          <cell r="G496">
            <v>0</v>
          </cell>
          <cell r="H496">
            <v>0</v>
          </cell>
          <cell r="I496">
            <v>1</v>
          </cell>
          <cell r="J496">
            <v>41004</v>
          </cell>
          <cell r="K496" t="str">
            <v>7 an(s) 1 mois et 13 jour(s)</v>
          </cell>
          <cell r="L496" t="str">
            <v>Criteuil La Magdeleine</v>
          </cell>
          <cell r="M496" t="str">
            <v>Champagne</v>
          </cell>
          <cell r="N496">
            <v>0</v>
          </cell>
        </row>
        <row r="497">
          <cell r="C497" t="str">
            <v>F89-3</v>
          </cell>
          <cell r="D497" t="str">
            <v>F89-3</v>
          </cell>
          <cell r="E497" t="str">
            <v>MERLET</v>
          </cell>
          <cell r="F497" t="str">
            <v>Lucas</v>
          </cell>
          <cell r="G497">
            <v>0</v>
          </cell>
          <cell r="H497">
            <v>0</v>
          </cell>
          <cell r="I497">
            <v>1</v>
          </cell>
          <cell r="J497">
            <v>42925</v>
          </cell>
          <cell r="K497" t="str">
            <v>1 an(s) 10 mois et 9 jour(s)</v>
          </cell>
          <cell r="L497" t="str">
            <v>Criteuil La Magdeleine</v>
          </cell>
          <cell r="M497" t="str">
            <v>Champagne</v>
          </cell>
          <cell r="N497">
            <v>0</v>
          </cell>
        </row>
        <row r="498">
          <cell r="C498" t="str">
            <v>F91-1</v>
          </cell>
          <cell r="D498" t="str">
            <v>F91-1</v>
          </cell>
          <cell r="E498" t="str">
            <v>MEUNIER-SALESSE</v>
          </cell>
          <cell r="F498" t="str">
            <v>Claire</v>
          </cell>
          <cell r="G498">
            <v>0</v>
          </cell>
          <cell r="H498">
            <v>1</v>
          </cell>
          <cell r="I498">
            <v>0</v>
          </cell>
          <cell r="J498">
            <v>30521</v>
          </cell>
          <cell r="K498" t="str">
            <v>35 an(s) 9 mois et 24 jour(s)</v>
          </cell>
          <cell r="L498" t="str">
            <v>SEGONZAC</v>
          </cell>
          <cell r="M498" t="str">
            <v>Champagne</v>
          </cell>
          <cell r="N498" t="str">
            <v>claire@elsembouteillage.fr</v>
          </cell>
        </row>
        <row r="499">
          <cell r="C499" t="str">
            <v>F91-2</v>
          </cell>
          <cell r="D499" t="str">
            <v>F91-2</v>
          </cell>
          <cell r="E499" t="str">
            <v>MEUNIER-SALESSE</v>
          </cell>
          <cell r="F499" t="str">
            <v>Julien</v>
          </cell>
          <cell r="G499">
            <v>0</v>
          </cell>
          <cell r="H499">
            <v>0</v>
          </cell>
          <cell r="I499">
            <v>1</v>
          </cell>
          <cell r="J499">
            <v>30084</v>
          </cell>
          <cell r="K499" t="str">
            <v>37 an(s) 0 mois et 5 jour(s)</v>
          </cell>
          <cell r="L499" t="str">
            <v>SEGONZAC</v>
          </cell>
          <cell r="M499" t="str">
            <v>Champagne</v>
          </cell>
          <cell r="N499">
            <v>0</v>
          </cell>
        </row>
        <row r="500">
          <cell r="C500" t="str">
            <v>F91-3</v>
          </cell>
          <cell r="D500" t="str">
            <v>F91-3</v>
          </cell>
          <cell r="E500" t="str">
            <v>MEUNIER-SALESSE</v>
          </cell>
          <cell r="F500" t="str">
            <v>Ange</v>
          </cell>
          <cell r="G500">
            <v>0</v>
          </cell>
          <cell r="H500">
            <v>0</v>
          </cell>
          <cell r="I500">
            <v>1</v>
          </cell>
          <cell r="J500">
            <v>41346</v>
          </cell>
          <cell r="K500" t="str">
            <v>6 an(s) 2 mois et 5 jour(s)</v>
          </cell>
          <cell r="L500" t="str">
            <v>SEGONZAC</v>
          </cell>
          <cell r="M500" t="str">
            <v>Champagne</v>
          </cell>
          <cell r="N500">
            <v>0</v>
          </cell>
        </row>
        <row r="501">
          <cell r="C501" t="str">
            <v>F91-4</v>
          </cell>
          <cell r="D501" t="str">
            <v>F91-4</v>
          </cell>
          <cell r="E501" t="str">
            <v>MEUNIER-SALESSE</v>
          </cell>
          <cell r="F501" t="str">
            <v>Aure</v>
          </cell>
          <cell r="G501">
            <v>0</v>
          </cell>
          <cell r="H501">
            <v>1</v>
          </cell>
          <cell r="I501">
            <v>0</v>
          </cell>
          <cell r="J501">
            <v>42160</v>
          </cell>
          <cell r="K501" t="str">
            <v>3 an(s) 11 mois et 13 jour(s)</v>
          </cell>
          <cell r="L501" t="str">
            <v>SEGONZAC</v>
          </cell>
          <cell r="M501" t="str">
            <v>Champagne</v>
          </cell>
          <cell r="N501">
            <v>0</v>
          </cell>
        </row>
        <row r="502">
          <cell r="C502" t="str">
            <v>F94-1</v>
          </cell>
          <cell r="D502" t="str">
            <v>F94-1</v>
          </cell>
          <cell r="E502" t="str">
            <v>FOUQUET</v>
          </cell>
          <cell r="F502" t="str">
            <v>Élodie</v>
          </cell>
          <cell r="G502">
            <v>0</v>
          </cell>
          <cell r="H502">
            <v>1</v>
          </cell>
          <cell r="I502">
            <v>0</v>
          </cell>
          <cell r="J502">
            <v>30924</v>
          </cell>
          <cell r="K502" t="str">
            <v>34 an(s) 8 mois et 18 jour(s)</v>
          </cell>
          <cell r="L502" t="str">
            <v>Mainxe</v>
          </cell>
          <cell r="M502" t="str">
            <v>Jarnac</v>
          </cell>
          <cell r="N502" t="str">
            <v>valenne.e@gmail.com</v>
          </cell>
        </row>
        <row r="503">
          <cell r="C503" t="str">
            <v>F94-2</v>
          </cell>
          <cell r="D503" t="str">
            <v>F94-2</v>
          </cell>
          <cell r="E503" t="str">
            <v>FOUQUET</v>
          </cell>
          <cell r="F503" t="str">
            <v>Pierre</v>
          </cell>
          <cell r="G503">
            <v>0</v>
          </cell>
          <cell r="H503">
            <v>0</v>
          </cell>
          <cell r="I503">
            <v>1</v>
          </cell>
          <cell r="J503">
            <v>30939</v>
          </cell>
          <cell r="K503" t="str">
            <v>34 an(s) 8 mois et 4 jour(s)</v>
          </cell>
          <cell r="L503" t="str">
            <v>Mainxe</v>
          </cell>
          <cell r="M503" t="str">
            <v>Jarnac</v>
          </cell>
          <cell r="N503">
            <v>0</v>
          </cell>
        </row>
        <row r="504">
          <cell r="C504" t="str">
            <v>F94-3</v>
          </cell>
          <cell r="D504" t="str">
            <v>F94-3</v>
          </cell>
          <cell r="E504" t="str">
            <v>PISCHEDDA</v>
          </cell>
          <cell r="F504" t="str">
            <v>Sylvie</v>
          </cell>
          <cell r="G504">
            <v>0</v>
          </cell>
          <cell r="H504">
            <v>1</v>
          </cell>
          <cell r="I504">
            <v>0</v>
          </cell>
          <cell r="J504">
            <v>21613</v>
          </cell>
          <cell r="K504" t="str">
            <v>60 an(s) 2 mois et 14 jour(s)</v>
          </cell>
          <cell r="L504" t="str">
            <v>Mainxe</v>
          </cell>
          <cell r="M504" t="str">
            <v>Jarnac</v>
          </cell>
          <cell r="N504">
            <v>0</v>
          </cell>
        </row>
        <row r="505">
          <cell r="C505" t="str">
            <v>F94-4</v>
          </cell>
          <cell r="D505" t="str">
            <v>F94-4</v>
          </cell>
          <cell r="E505" t="str">
            <v>BULLIARD</v>
          </cell>
          <cell r="F505" t="str">
            <v>Elisabeth</v>
          </cell>
          <cell r="G505">
            <v>0</v>
          </cell>
          <cell r="H505">
            <v>1</v>
          </cell>
          <cell r="I505">
            <v>0</v>
          </cell>
          <cell r="J505">
            <v>20346</v>
          </cell>
          <cell r="K505" t="str">
            <v>63 an(s) 8 mois et 4 jour(s)</v>
          </cell>
          <cell r="L505" t="str">
            <v>Mainxe</v>
          </cell>
          <cell r="M505" t="str">
            <v>Jarnac</v>
          </cell>
          <cell r="N505">
            <v>0</v>
          </cell>
        </row>
        <row r="506">
          <cell r="C506" t="str">
            <v>F94-5</v>
          </cell>
          <cell r="D506" t="str">
            <v>F94-5</v>
          </cell>
          <cell r="E506" t="str">
            <v>FOUQUET</v>
          </cell>
          <cell r="F506" t="str">
            <v>Mathias</v>
          </cell>
          <cell r="G506">
            <v>0</v>
          </cell>
          <cell r="H506">
            <v>0</v>
          </cell>
          <cell r="I506">
            <v>1</v>
          </cell>
          <cell r="J506">
            <v>42544</v>
          </cell>
          <cell r="K506" t="str">
            <v>2 an(s) 10 mois et 25 jour(s)</v>
          </cell>
          <cell r="L506" t="str">
            <v>Mainxe</v>
          </cell>
          <cell r="M506" t="str">
            <v>Jarnac</v>
          </cell>
          <cell r="N506">
            <v>0</v>
          </cell>
        </row>
        <row r="507">
          <cell r="C507" t="str">
            <v>F96-1</v>
          </cell>
          <cell r="D507" t="str">
            <v>F96-1</v>
          </cell>
          <cell r="E507" t="str">
            <v>ROBERT</v>
          </cell>
          <cell r="F507" t="str">
            <v>Bénédicte</v>
          </cell>
          <cell r="G507">
            <v>0</v>
          </cell>
          <cell r="H507">
            <v>1</v>
          </cell>
          <cell r="I507">
            <v>0</v>
          </cell>
          <cell r="J507">
            <v>42474</v>
          </cell>
          <cell r="K507" t="str">
            <v>3 an(s) 1 mois et 4 jour(s)</v>
          </cell>
          <cell r="L507" t="str">
            <v>SEGONZAC</v>
          </cell>
          <cell r="M507" t="str">
            <v>Champagne</v>
          </cell>
          <cell r="N507" t="str">
            <v>benedicte.birollaud@neuf.fr</v>
          </cell>
        </row>
        <row r="508">
          <cell r="C508" t="str">
            <v>F96-2</v>
          </cell>
          <cell r="D508" t="str">
            <v>F96-2</v>
          </cell>
          <cell r="E508" t="str">
            <v>ROBERT</v>
          </cell>
          <cell r="F508" t="str">
            <v>Marlon</v>
          </cell>
          <cell r="G508">
            <v>0</v>
          </cell>
          <cell r="H508">
            <v>0</v>
          </cell>
          <cell r="I508">
            <v>1</v>
          </cell>
          <cell r="J508">
            <v>29725</v>
          </cell>
          <cell r="K508" t="str">
            <v>37 an(s) 11 mois et 29 jour(s)</v>
          </cell>
          <cell r="L508" t="str">
            <v>SEGONZAC</v>
          </cell>
          <cell r="M508" t="str">
            <v>Champagne</v>
          </cell>
          <cell r="N508">
            <v>0</v>
          </cell>
        </row>
        <row r="509">
          <cell r="C509" t="str">
            <v>F97-1</v>
          </cell>
          <cell r="D509" t="str">
            <v>F97-1</v>
          </cell>
          <cell r="E509" t="str">
            <v>MOTREFF</v>
          </cell>
          <cell r="F509" t="str">
            <v>Nadège</v>
          </cell>
          <cell r="G509">
            <v>0</v>
          </cell>
          <cell r="H509">
            <v>1</v>
          </cell>
          <cell r="I509">
            <v>0</v>
          </cell>
          <cell r="J509">
            <v>30679</v>
          </cell>
          <cell r="K509" t="str">
            <v>35 an(s) 4 mois et 19 jour(s)</v>
          </cell>
          <cell r="L509" t="str">
            <v>Cognac</v>
          </cell>
          <cell r="M509" t="str">
            <v>Cognac</v>
          </cell>
          <cell r="N509" t="str">
            <v>motreff.nadege@gmail.com</v>
          </cell>
        </row>
        <row r="510">
          <cell r="C510" t="str">
            <v>F97-2</v>
          </cell>
          <cell r="D510" t="str">
            <v>F97-2</v>
          </cell>
          <cell r="E510" t="str">
            <v>MOTREFF</v>
          </cell>
          <cell r="F510" t="str">
            <v>Livio</v>
          </cell>
          <cell r="G510">
            <v>0</v>
          </cell>
          <cell r="H510">
            <v>0</v>
          </cell>
          <cell r="I510">
            <v>1</v>
          </cell>
          <cell r="J510">
            <v>40622</v>
          </cell>
          <cell r="K510" t="str">
            <v>8 an(s) 1 mois et 28 jour(s)</v>
          </cell>
          <cell r="L510" t="str">
            <v>Cognac</v>
          </cell>
          <cell r="M510" t="str">
            <v>Cognac</v>
          </cell>
          <cell r="N510">
            <v>0</v>
          </cell>
        </row>
        <row r="511">
          <cell r="C511" t="str">
            <v>F97-3</v>
          </cell>
          <cell r="D511" t="str">
            <v>F97-3</v>
          </cell>
          <cell r="E511" t="str">
            <v>MOTREFF</v>
          </cell>
          <cell r="F511" t="str">
            <v>Manoa</v>
          </cell>
          <cell r="G511">
            <v>0</v>
          </cell>
          <cell r="H511">
            <v>0</v>
          </cell>
          <cell r="I511">
            <v>1</v>
          </cell>
          <cell r="J511">
            <v>41865</v>
          </cell>
          <cell r="K511" t="str">
            <v>4 an(s) 9 mois et 4 jour(s)</v>
          </cell>
          <cell r="L511" t="str">
            <v>Cognac</v>
          </cell>
          <cell r="M511" t="str">
            <v>Cognac</v>
          </cell>
          <cell r="N511">
            <v>0</v>
          </cell>
        </row>
        <row r="512">
          <cell r="C512" t="str">
            <v>F98-1</v>
          </cell>
          <cell r="D512" t="str">
            <v>F98-1</v>
          </cell>
          <cell r="E512" t="str">
            <v>GOETHALS</v>
          </cell>
          <cell r="F512" t="str">
            <v>Laurent</v>
          </cell>
          <cell r="G512">
            <v>0</v>
          </cell>
          <cell r="H512">
            <v>0</v>
          </cell>
          <cell r="I512">
            <v>1</v>
          </cell>
          <cell r="J512">
            <v>30236</v>
          </cell>
          <cell r="K512" t="str">
            <v>36 an(s) 7 mois et 6 jour(s)</v>
          </cell>
          <cell r="L512" t="str">
            <v>SEGONZAC</v>
          </cell>
          <cell r="M512" t="str">
            <v>Champagne</v>
          </cell>
          <cell r="N512" t="str">
            <v>cutandreil@hotmail.com</v>
          </cell>
        </row>
        <row r="513">
          <cell r="C513" t="str">
            <v>F98-2</v>
          </cell>
          <cell r="D513" t="str">
            <v>F98-2</v>
          </cell>
          <cell r="E513" t="str">
            <v>GOETHALS</v>
          </cell>
          <cell r="F513" t="str">
            <v>Sandra</v>
          </cell>
          <cell r="G513">
            <v>0</v>
          </cell>
          <cell r="H513">
            <v>1</v>
          </cell>
          <cell r="I513">
            <v>0</v>
          </cell>
          <cell r="J513">
            <v>30644</v>
          </cell>
          <cell r="K513" t="str">
            <v>35 an(s) 5 mois et 24 jour(s)</v>
          </cell>
          <cell r="L513" t="str">
            <v>SEGONZAC</v>
          </cell>
          <cell r="M513" t="str">
            <v>Champagne</v>
          </cell>
          <cell r="N513">
            <v>0</v>
          </cell>
        </row>
        <row r="514">
          <cell r="C514" t="str">
            <v>F98-3</v>
          </cell>
          <cell r="D514" t="str">
            <v>F98-3</v>
          </cell>
          <cell r="E514" t="str">
            <v>GOETHALS</v>
          </cell>
          <cell r="F514" t="str">
            <v>Xavier</v>
          </cell>
          <cell r="G514">
            <v>0</v>
          </cell>
          <cell r="H514">
            <v>0</v>
          </cell>
          <cell r="I514">
            <v>1</v>
          </cell>
          <cell r="J514">
            <v>42692</v>
          </cell>
          <cell r="K514" t="str">
            <v>2 an(s) 6 mois et 0 jour(s)</v>
          </cell>
          <cell r="L514" t="str">
            <v>SEGONZAC</v>
          </cell>
          <cell r="M514" t="str">
            <v>Champagne</v>
          </cell>
          <cell r="N514">
            <v>0</v>
          </cell>
        </row>
        <row r="515">
          <cell r="C515" t="str">
            <v>F80-1</v>
          </cell>
          <cell r="D515" t="str">
            <v>JAUDON/CASTIN</v>
          </cell>
          <cell r="E515" t="str">
            <v>CASTIN</v>
          </cell>
          <cell r="F515" t="str">
            <v>Athénaïs</v>
          </cell>
          <cell r="G515">
            <v>0</v>
          </cell>
          <cell r="H515">
            <v>1</v>
          </cell>
          <cell r="I515">
            <v>0</v>
          </cell>
          <cell r="J515">
            <v>32791</v>
          </cell>
          <cell r="K515" t="str">
            <v>29 an(s) 7 mois et 8 jour(s)</v>
          </cell>
          <cell r="L515" t="str">
            <v>SEGONZAC</v>
          </cell>
          <cell r="M515" t="str">
            <v>Champagne</v>
          </cell>
          <cell r="N515">
            <v>0</v>
          </cell>
        </row>
        <row r="516">
          <cell r="C516" t="str">
            <v>F80-2</v>
          </cell>
          <cell r="D516" t="str">
            <v>JAUDON/CASTIN</v>
          </cell>
          <cell r="E516" t="str">
            <v>JAUDOU</v>
          </cell>
          <cell r="F516" t="str">
            <v>Roxane</v>
          </cell>
          <cell r="G516">
            <v>0</v>
          </cell>
          <cell r="H516">
            <v>1</v>
          </cell>
          <cell r="I516">
            <v>0</v>
          </cell>
          <cell r="J516">
            <v>41527</v>
          </cell>
          <cell r="K516" t="str">
            <v>5 an(s) 8 mois et 8 jour(s)</v>
          </cell>
          <cell r="L516" t="str">
            <v>SEGONZAC</v>
          </cell>
          <cell r="M516" t="str">
            <v>Champagne</v>
          </cell>
          <cell r="N516">
            <v>0</v>
          </cell>
        </row>
        <row r="517">
          <cell r="C517" t="str">
            <v>F80-3</v>
          </cell>
          <cell r="D517" t="str">
            <v>JAUDON/CASTIN</v>
          </cell>
          <cell r="E517" t="str">
            <v>JAUDOU</v>
          </cell>
          <cell r="F517" t="str">
            <v>Lexie</v>
          </cell>
          <cell r="G517">
            <v>0</v>
          </cell>
          <cell r="H517">
            <v>1</v>
          </cell>
          <cell r="I517">
            <v>0</v>
          </cell>
          <cell r="J517">
            <v>42754</v>
          </cell>
          <cell r="K517" t="str">
            <v>2 an(s) 3 mois et 29 jour(s)</v>
          </cell>
          <cell r="L517" t="str">
            <v>SEGONZAC</v>
          </cell>
          <cell r="M517" t="str">
            <v>Champagne</v>
          </cell>
          <cell r="N517" t="str">
            <v>laura.dostes@gmail.com</v>
          </cell>
        </row>
        <row r="518">
          <cell r="C518" t="str">
            <v>F86-1</v>
          </cell>
          <cell r="D518" t="str">
            <v>LABATUT</v>
          </cell>
          <cell r="E518" t="str">
            <v>LABATUT</v>
          </cell>
          <cell r="F518" t="str">
            <v>Cyril</v>
          </cell>
          <cell r="G518">
            <v>0</v>
          </cell>
          <cell r="H518">
            <v>0</v>
          </cell>
          <cell r="I518">
            <v>1</v>
          </cell>
          <cell r="J518">
            <v>30162</v>
          </cell>
          <cell r="K518" t="str">
            <v>36 an(s) 9 mois et 18 jour(s)</v>
          </cell>
          <cell r="L518" t="str">
            <v>Segonzac</v>
          </cell>
          <cell r="M518" t="str">
            <v>Champagne</v>
          </cell>
          <cell r="N518">
            <v>0</v>
          </cell>
        </row>
        <row r="519">
          <cell r="C519" t="str">
            <v>F86-2</v>
          </cell>
          <cell r="D519" t="str">
            <v>LABATUT</v>
          </cell>
          <cell r="E519" t="str">
            <v>LABATUT</v>
          </cell>
          <cell r="F519" t="str">
            <v>Loïse</v>
          </cell>
          <cell r="G519">
            <v>0</v>
          </cell>
          <cell r="H519">
            <v>1</v>
          </cell>
          <cell r="I519">
            <v>0</v>
          </cell>
          <cell r="J519">
            <v>30121</v>
          </cell>
          <cell r="K519" t="str">
            <v>36 an(s) 10 mois et 29 jour(s)</v>
          </cell>
          <cell r="L519" t="str">
            <v>Segonzac</v>
          </cell>
          <cell r="M519" t="str">
            <v>Champagne</v>
          </cell>
          <cell r="N519">
            <v>0</v>
          </cell>
        </row>
        <row r="520">
          <cell r="C520" t="str">
            <v>F86-3</v>
          </cell>
          <cell r="D520" t="str">
            <v>LABATUT</v>
          </cell>
          <cell r="E520" t="str">
            <v>LABATUT</v>
          </cell>
          <cell r="F520" t="str">
            <v>Lola</v>
          </cell>
          <cell r="G520">
            <v>0</v>
          </cell>
          <cell r="H520">
            <v>1</v>
          </cell>
          <cell r="I520">
            <v>0</v>
          </cell>
          <cell r="J520">
            <v>41540</v>
          </cell>
          <cell r="K520" t="str">
            <v>5 an(s) 7 mois et 25 jour(s)</v>
          </cell>
          <cell r="L520" t="str">
            <v>Segonzac</v>
          </cell>
          <cell r="M520" t="str">
            <v>Champagne</v>
          </cell>
          <cell r="N520">
            <v>0</v>
          </cell>
        </row>
        <row r="521">
          <cell r="C521" t="str">
            <v>F88-1</v>
          </cell>
          <cell r="D521" t="str">
            <v>LUCAS/SALLAT</v>
          </cell>
          <cell r="E521" t="str">
            <v>SALLAT</v>
          </cell>
          <cell r="F521" t="str">
            <v>Anaïs</v>
          </cell>
          <cell r="G521">
            <v>0</v>
          </cell>
          <cell r="H521">
            <v>1</v>
          </cell>
          <cell r="I521">
            <v>0</v>
          </cell>
          <cell r="J521">
            <v>31892</v>
          </cell>
          <cell r="K521" t="str">
            <v>32 an(s) 0 mois et 23 jour(s)</v>
          </cell>
          <cell r="L521" t="str">
            <v>Les Métairies</v>
          </cell>
          <cell r="M521" t="str">
            <v>Jarnac</v>
          </cell>
          <cell r="N521" t="str">
            <v>sallataais@gmail.com</v>
          </cell>
        </row>
        <row r="522">
          <cell r="C522" t="str">
            <v>F88-2</v>
          </cell>
          <cell r="D522" t="str">
            <v>LUCAS/SALLAT</v>
          </cell>
          <cell r="E522" t="str">
            <v>LUCAS</v>
          </cell>
          <cell r="F522" t="str">
            <v>Maïwenn</v>
          </cell>
          <cell r="G522">
            <v>0</v>
          </cell>
          <cell r="H522">
            <v>1</v>
          </cell>
          <cell r="I522">
            <v>0</v>
          </cell>
          <cell r="J522">
            <v>41659</v>
          </cell>
          <cell r="K522" t="str">
            <v>5 an(s) 3 mois et 28 jour(s)</v>
          </cell>
          <cell r="L522" t="str">
            <v>Les Métairies</v>
          </cell>
          <cell r="M522" t="str">
            <v>Jarnac</v>
          </cell>
          <cell r="N522">
            <v>0</v>
          </cell>
        </row>
        <row r="523">
          <cell r="C523" t="str">
            <v>F88-3</v>
          </cell>
          <cell r="D523" t="str">
            <v>LUCAS/SALLAT</v>
          </cell>
          <cell r="E523" t="str">
            <v>LUCAS</v>
          </cell>
          <cell r="F523" t="str">
            <v>Loann</v>
          </cell>
          <cell r="G523">
            <v>0</v>
          </cell>
          <cell r="H523">
            <v>0</v>
          </cell>
          <cell r="I523">
            <v>1</v>
          </cell>
          <cell r="J523">
            <v>42389</v>
          </cell>
          <cell r="K523" t="str">
            <v>3 an(s) 3 mois et 28 jour(s)</v>
          </cell>
          <cell r="L523" t="str">
            <v>Les Métairies</v>
          </cell>
          <cell r="M523" t="str">
            <v>Jarnac</v>
          </cell>
          <cell r="N523">
            <v>0</v>
          </cell>
        </row>
        <row r="524">
          <cell r="C524" t="str">
            <v>F73-2</v>
          </cell>
          <cell r="D524" t="str">
            <v>PEYRELADE</v>
          </cell>
          <cell r="E524" t="str">
            <v>MAGNESSE-BRACCO</v>
          </cell>
          <cell r="F524" t="str">
            <v>Charles</v>
          </cell>
          <cell r="G524">
            <v>0</v>
          </cell>
          <cell r="H524">
            <v>0</v>
          </cell>
          <cell r="I524">
            <v>1</v>
          </cell>
          <cell r="J524">
            <v>42391</v>
          </cell>
          <cell r="K524" t="str">
            <v>3 an(s) 3 mois et 26 jour(s)</v>
          </cell>
          <cell r="L524" t="str">
            <v>ANGEAC CHAMPAGNE</v>
          </cell>
          <cell r="M524" t="str">
            <v>Champagne</v>
          </cell>
          <cell r="N524" t="str">
            <v>alegria-larrea-gabriel@hotmail.fr</v>
          </cell>
        </row>
        <row r="525">
          <cell r="C525" t="str">
            <v>F71-1</v>
          </cell>
          <cell r="D525" t="str">
            <v>PONS/BODERE</v>
          </cell>
          <cell r="E525" t="str">
            <v>BODERE</v>
          </cell>
          <cell r="F525" t="str">
            <v>Laëtitia</v>
          </cell>
          <cell r="G525">
            <v>0</v>
          </cell>
          <cell r="H525">
            <v>1</v>
          </cell>
          <cell r="I525">
            <v>0</v>
          </cell>
          <cell r="J525">
            <v>34521</v>
          </cell>
          <cell r="K525" t="str">
            <v>24 an(s) 10 mois et 12 jour(s)</v>
          </cell>
          <cell r="L525" t="str">
            <v>Douzat</v>
          </cell>
          <cell r="M525" t="str">
            <v>Hors_CDA</v>
          </cell>
          <cell r="N525">
            <v>0</v>
          </cell>
        </row>
        <row r="526">
          <cell r="C526" t="str">
            <v>F71-2</v>
          </cell>
          <cell r="D526" t="str">
            <v>PONS/BODERE</v>
          </cell>
          <cell r="E526" t="str">
            <v>BODERE</v>
          </cell>
          <cell r="F526" t="str">
            <v>Jocelyne</v>
          </cell>
          <cell r="G526">
            <v>0</v>
          </cell>
          <cell r="H526">
            <v>1</v>
          </cell>
          <cell r="I526">
            <v>0</v>
          </cell>
          <cell r="J526">
            <v>23274</v>
          </cell>
          <cell r="K526" t="str">
            <v>55 an(s) 7 mois et 28 jour(s)</v>
          </cell>
          <cell r="L526" t="str">
            <v>Douzat</v>
          </cell>
          <cell r="M526" t="str">
            <v>Hors_CDA</v>
          </cell>
          <cell r="N526">
            <v>0</v>
          </cell>
        </row>
        <row r="527">
          <cell r="C527" t="str">
            <v>F71-3</v>
          </cell>
          <cell r="D527" t="str">
            <v>PONS/BODERE</v>
          </cell>
          <cell r="E527" t="str">
            <v>PONS</v>
          </cell>
          <cell r="F527" t="str">
            <v>Nathan</v>
          </cell>
          <cell r="G527">
            <v>0</v>
          </cell>
          <cell r="H527">
            <v>0</v>
          </cell>
          <cell r="I527">
            <v>1</v>
          </cell>
          <cell r="J527">
            <v>41805</v>
          </cell>
          <cell r="K527" t="str">
            <v>4 an(s) 11 mois et 3 jour(s)</v>
          </cell>
          <cell r="L527" t="str">
            <v>Douzat</v>
          </cell>
          <cell r="M527" t="str">
            <v>Hors_CDA</v>
          </cell>
          <cell r="N527" t="str">
            <v>brimaud@alexandra@yahoo.fr</v>
          </cell>
        </row>
        <row r="528">
          <cell r="C528" t="str">
            <v>F29-1</v>
          </cell>
          <cell r="D528" t="str">
            <v>TRICAUD/LECLERC</v>
          </cell>
          <cell r="E528" t="str">
            <v>LECLERC</v>
          </cell>
          <cell r="F528" t="str">
            <v>Stéphanie</v>
          </cell>
          <cell r="G528">
            <v>0</v>
          </cell>
          <cell r="H528">
            <v>1</v>
          </cell>
          <cell r="I528">
            <v>0</v>
          </cell>
          <cell r="J528">
            <v>28504</v>
          </cell>
          <cell r="K528" t="str">
            <v>41 an(s) 4 mois et 4 jour(s)</v>
          </cell>
          <cell r="L528" t="str">
            <v>SEGONZAC</v>
          </cell>
          <cell r="M528" t="str">
            <v>Champagne</v>
          </cell>
          <cell r="N528" t="str">
            <v>stephanie.leclercq16@yahoo.fr</v>
          </cell>
        </row>
        <row r="529">
          <cell r="C529" t="str">
            <v>F29-2</v>
          </cell>
          <cell r="D529" t="str">
            <v>TRICAUD/LECLERC</v>
          </cell>
          <cell r="E529" t="str">
            <v>TRICAUD</v>
          </cell>
          <cell r="F529" t="str">
            <v>Gabin</v>
          </cell>
          <cell r="G529">
            <v>0</v>
          </cell>
          <cell r="H529">
            <v>0</v>
          </cell>
          <cell r="I529">
            <v>1</v>
          </cell>
          <cell r="J529">
            <v>40933</v>
          </cell>
          <cell r="K529" t="str">
            <v>7 an(s) 3 mois et 23 jour(s)</v>
          </cell>
          <cell r="L529" t="str">
            <v>SEGONZAC</v>
          </cell>
          <cell r="M529" t="str">
            <v>Champagne</v>
          </cell>
          <cell r="N529">
            <v>0</v>
          </cell>
        </row>
        <row r="530">
          <cell r="H530">
            <v>279</v>
          </cell>
          <cell r="I530">
            <v>248</v>
          </cell>
        </row>
        <row r="531">
          <cell r="H531">
            <v>527</v>
          </cell>
          <cell r="I531">
            <v>0</v>
          </cell>
        </row>
        <row r="533">
          <cell r="D533" t="str">
            <v>nombre familles 2019</v>
          </cell>
        </row>
        <row r="534">
          <cell r="D534" t="e">
            <v>#DIV/0!</v>
          </cell>
          <cell r="F534" t="str">
            <v>ASSMAT 2019</v>
          </cell>
          <cell r="G534">
            <v>0</v>
          </cell>
        </row>
        <row r="535">
          <cell r="F535" t="str">
            <v>Famille 2019</v>
          </cell>
          <cell r="G535">
            <v>231</v>
          </cell>
        </row>
        <row r="536">
          <cell r="G536">
            <v>231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10 janvier 2018"/>
      <sheetName val="17 janvier 2018"/>
      <sheetName val="24 janvier 2018"/>
      <sheetName val="31 janvier 2018"/>
      <sheetName val="07 fevrier 2018"/>
      <sheetName val="28 fevrier 2018"/>
      <sheetName val="07 mars 2018"/>
      <sheetName val="14 mars 2018"/>
      <sheetName val="21 mars 2018"/>
      <sheetName val="28 mars 2018"/>
      <sheetName val="04 avril 2018"/>
      <sheetName val="25 avril 2018"/>
      <sheetName val="02 mai 2018"/>
      <sheetName val="09 mai 2018"/>
      <sheetName val="16 mai 2018"/>
      <sheetName val="23 mai 2018"/>
      <sheetName val="30 mai 2018"/>
      <sheetName val="06 juin 2018"/>
      <sheetName val="13 juin 2018"/>
      <sheetName val="20 juin 2018"/>
      <sheetName val="27 juin 2018"/>
      <sheetName val="04 juillet 2018"/>
      <sheetName val="05 septembre 2018"/>
      <sheetName val="12 septembre 2018"/>
      <sheetName val="19 septembre 2018"/>
      <sheetName val="26 septembre 2018"/>
      <sheetName val="03 octobre 2018"/>
      <sheetName val="10 octobre 2018"/>
      <sheetName val="17 octobre 2018"/>
      <sheetName val="07 novembre 2018"/>
      <sheetName val="14 novembre 2018"/>
      <sheetName val="21 novembre 2018"/>
      <sheetName val="28 novembre 2018"/>
      <sheetName val="04 decembre 2018"/>
      <sheetName val="12 decembre 2018"/>
      <sheetName val="19 decembre 2018"/>
      <sheetName val="LISTE USAGERS MERCREDIS 201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40">
          <cell r="E40">
            <v>0</v>
          </cell>
        </row>
      </sheetData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S41"/>
  <sheetViews>
    <sheetView workbookViewId="0">
      <pane ySplit="4" topLeftCell="A14" activePane="bottomLeft" state="frozen"/>
      <selection pane="bottomLeft" activeCell="Q5" sqref="Q5:Q8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43474</v>
      </c>
      <c r="D2" s="60"/>
      <c r="E2" s="60"/>
      <c r="F2" s="60"/>
      <c r="G2" s="60"/>
      <c r="H2" s="60"/>
      <c r="I2" s="60"/>
      <c r="J2" s="62"/>
      <c r="K2" s="60" t="s">
        <v>85</v>
      </c>
      <c r="L2" s="60"/>
      <c r="M2" s="60"/>
      <c r="N2" s="60"/>
      <c r="R2" s="61">
        <v>1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3" t="s">
        <v>90</v>
      </c>
      <c r="B5" s="52" t="str">
        <f>VLOOKUP(A5,[1]!Tableau_cotisants,2,FALSE)</f>
        <v>GUYOT</v>
      </c>
      <c r="C5" s="52" t="str">
        <f>VLOOKUP(A5,[1]!Tableau_cotisants,3,FALSE)</f>
        <v>GUYOT</v>
      </c>
      <c r="D5" s="52" t="str">
        <f>VLOOKUP(A5,[1]!Tableau_cotisants,4,FALSE)</f>
        <v>Virginie</v>
      </c>
      <c r="E5" s="53">
        <f>VLOOKUP(A5,[1]!Tableau_cotisants,5,FALSE)</f>
        <v>1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30012</v>
      </c>
      <c r="I5" s="54" t="str">
        <f t="shared" ref="I5:I12" si="0">DATEDIF(H5,Date_du_jour,"y") &amp; " an(s) " &amp; DATEDIF(H5,$C$2,"ym") &amp; " mois et " &amp; DATEDIF(H5,$C$2,"md") &amp; " jour(s)"</f>
        <v>36 an(s) 10 mois et 7 jour(s)</v>
      </c>
      <c r="J5" s="52" t="str">
        <f>VLOOKUP(A5,[1]!Tableau_cotisants,10,FALSE)</f>
        <v>Chateaubernard</v>
      </c>
      <c r="K5" s="53" t="str">
        <f>VLOOKUP(A5,[1]!Tableau_cotisants,11,FALSE)</f>
        <v>Cognac</v>
      </c>
      <c r="L5" s="53">
        <v>1</v>
      </c>
      <c r="M5" s="57"/>
      <c r="N5" s="68">
        <v>1</v>
      </c>
      <c r="O5" s="86"/>
      <c r="P5" s="87"/>
      <c r="Q5" s="55"/>
      <c r="R5" s="55"/>
      <c r="S5" s="55"/>
    </row>
    <row r="6" spans="1:19" ht="12" customHeight="1">
      <c r="A6" s="103" t="s">
        <v>93</v>
      </c>
      <c r="B6" s="52" t="str">
        <f>VLOOKUP(A6,[1]!Tableau_cotisants,2,FALSE)</f>
        <v>GUYOT</v>
      </c>
      <c r="C6" s="52" t="str">
        <f>VLOOKUP(A6,[1]!Tableau_cotisants,3,FALSE)</f>
        <v>FARCY</v>
      </c>
      <c r="D6" s="52" t="str">
        <f>VLOOKUP(A6,[1]!Tableau_cotisants,4,FALSE)</f>
        <v>Sacha</v>
      </c>
      <c r="E6" s="53">
        <f>VLOOKUP(A6,[1]!Tableau_cotisants,5,FALSE)</f>
        <v>1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43040</v>
      </c>
      <c r="I6" s="54" t="str">
        <f t="shared" si="0"/>
        <v>1 an(s) 2 mois et 8 jour(s)</v>
      </c>
      <c r="J6" s="52" t="str">
        <f>VLOOKUP(A6,[1]!Tableau_cotisants,10,FALSE)</f>
        <v>Chateaubernard</v>
      </c>
      <c r="K6" s="53" t="str">
        <f>VLOOKUP(A6,[1]!Tableau_cotisants,11,FALSE)</f>
        <v>Cognac</v>
      </c>
      <c r="L6" s="53">
        <v>1</v>
      </c>
      <c r="M6" s="57"/>
      <c r="N6" s="68">
        <v>1</v>
      </c>
      <c r="O6" s="86"/>
      <c r="P6" s="87"/>
      <c r="Q6" s="55"/>
      <c r="R6" s="55"/>
      <c r="S6" s="55"/>
    </row>
    <row r="7" spans="1:19" ht="12" customHeight="1">
      <c r="A7" s="103" t="s">
        <v>91</v>
      </c>
      <c r="B7" s="52" t="str">
        <f>VLOOKUP(A7,[1]!Tableau_cotisants,2,FALSE)</f>
        <v>GUYOT</v>
      </c>
      <c r="C7" s="52" t="str">
        <f>VLOOKUP(A7,[1]!Tableau_cotisants,3,FALSE)</f>
        <v>FORGEARD</v>
      </c>
      <c r="D7" s="52" t="str">
        <f>VLOOKUP(A7,[1]!Tableau_cotisants,4,FALSE)</f>
        <v>Yanis</v>
      </c>
      <c r="E7" s="53">
        <f>VLOOKUP(A7,[1]!Tableau_cotisants,5,FALSE)</f>
        <v>1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43315</v>
      </c>
      <c r="I7" s="54" t="str">
        <f t="shared" si="0"/>
        <v>0 an(s) 5 mois et 6 jour(s)</v>
      </c>
      <c r="J7" s="52" t="str">
        <f>VLOOKUP(A7,[1]!Tableau_cotisants,10,FALSE)</f>
        <v>Chateaubernard</v>
      </c>
      <c r="K7" s="53" t="str">
        <f>VLOOKUP(A7,[1]!Tableau_cotisants,11,FALSE)</f>
        <v>Cognac</v>
      </c>
      <c r="L7" s="53">
        <v>1</v>
      </c>
      <c r="M7" s="57"/>
      <c r="N7" s="68">
        <v>1</v>
      </c>
      <c r="O7" s="86"/>
      <c r="P7" s="87"/>
      <c r="Q7" s="55"/>
      <c r="R7" s="55"/>
      <c r="S7" s="55"/>
    </row>
    <row r="8" spans="1:19" ht="12" customHeight="1">
      <c r="A8" s="113" t="s">
        <v>145</v>
      </c>
      <c r="B8" s="52" t="str">
        <f>VLOOKUP(A8,[1]!Tableau_cotisants,2,FALSE)</f>
        <v>COZIC</v>
      </c>
      <c r="C8" s="52" t="str">
        <f>VLOOKUP(A8,[1]!Tableau_cotisants,3,FALSE)</f>
        <v>PARTAUD</v>
      </c>
      <c r="D8" s="52" t="str">
        <f>VLOOKUP(A8,[1]!Tableau_cotisants,4,FALSE)</f>
        <v>Jannah</v>
      </c>
      <c r="E8" s="53">
        <f>VLOOKUP(A8,[1]!Tableau_cotisants,5,FALSE)</f>
        <v>1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41395</v>
      </c>
      <c r="I8" s="54" t="str">
        <f t="shared" ref="I8" si="1">DATEDIF(H8,Date_du_jour,"y") &amp; " an(s) " &amp; DATEDIF(H8,$C$2,"ym") &amp; " mois et " &amp; DATEDIF(H8,$C$2,"md") &amp; " jour(s)"</f>
        <v>5 an(s) 8 mois et 8 jour(s)</v>
      </c>
      <c r="J8" s="52" t="str">
        <f>VLOOKUP(A8,[1]!Tableau_cotisants,10,FALSE)</f>
        <v>Chateaubernard</v>
      </c>
      <c r="K8" s="53" t="str">
        <f>VLOOKUP(A8,[1]!Tableau_cotisants,11,FALSE)</f>
        <v>Cognac</v>
      </c>
      <c r="L8" s="53">
        <v>1</v>
      </c>
      <c r="M8" s="57"/>
      <c r="N8" s="68">
        <v>1</v>
      </c>
      <c r="O8" s="86"/>
      <c r="P8" s="87"/>
      <c r="Q8" s="55"/>
      <c r="R8" s="55"/>
      <c r="S8" s="55"/>
    </row>
    <row r="9" spans="1:19" ht="12" customHeight="1">
      <c r="A9" s="103" t="s">
        <v>94</v>
      </c>
      <c r="B9" s="52" t="str">
        <f>VLOOKUP(A9,[1]!Tableau_cotisants,2,FALSE)</f>
        <v>COZIC</v>
      </c>
      <c r="C9" s="52" t="str">
        <f>VLOOKUP(A9,[1]!Tableau_cotisants,3,FALSE)</f>
        <v>COZIC</v>
      </c>
      <c r="D9" s="52" t="str">
        <f>VLOOKUP(A9,[1]!Tableau_cotisants,4,FALSE)</f>
        <v>Jennifer</v>
      </c>
      <c r="E9" s="53">
        <f>VLOOKUP(A9,[1]!Tableau_cotisants,5,FALSE)</f>
        <v>1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30554</v>
      </c>
      <c r="I9" s="54" t="str">
        <f t="shared" si="0"/>
        <v>35 an(s) 4 mois et 14 jour(s)</v>
      </c>
      <c r="J9" s="52" t="str">
        <f>VLOOKUP(A9,[1]!Tableau_cotisants,10,FALSE)</f>
        <v>Chateaubernard</v>
      </c>
      <c r="K9" s="53" t="str">
        <f>VLOOKUP(A9,[1]!Tableau_cotisants,11,FALSE)</f>
        <v>Cognac</v>
      </c>
      <c r="L9" s="53">
        <v>1</v>
      </c>
      <c r="M9" s="57"/>
      <c r="N9" s="68">
        <v>1</v>
      </c>
      <c r="O9" s="86"/>
      <c r="P9" s="87"/>
      <c r="Q9" s="55"/>
      <c r="R9" s="55"/>
      <c r="S9" s="55"/>
    </row>
    <row r="10" spans="1:19" ht="12" customHeight="1">
      <c r="A10" s="103" t="s">
        <v>95</v>
      </c>
      <c r="B10" s="52" t="str">
        <f>VLOOKUP(A10,[1]!Tableau_cotisants,2,FALSE)</f>
        <v>COZIC</v>
      </c>
      <c r="C10" s="52" t="str">
        <f>VLOOKUP(A10,[1]!Tableau_cotisants,3,FALSE)</f>
        <v>FRAISSINET COZIC</v>
      </c>
      <c r="D10" s="52" t="str">
        <f>VLOOKUP(A10,[1]!Tableau_cotisants,4,FALSE)</f>
        <v>Kathleen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39909</v>
      </c>
      <c r="I10" s="54" t="str">
        <f t="shared" si="0"/>
        <v>9 an(s) 9 mois et 3 jour(s)</v>
      </c>
      <c r="J10" s="52" t="str">
        <f>VLOOKUP(A10,[1]!Tableau_cotisants,10,FALSE)</f>
        <v>Chateaubernard</v>
      </c>
      <c r="K10" s="53" t="str">
        <f>VLOOKUP(A10,[1]!Tableau_cotisants,11,FALSE)</f>
        <v>Cognac</v>
      </c>
      <c r="L10" s="85">
        <v>1</v>
      </c>
      <c r="M10" s="57"/>
      <c r="N10" s="68">
        <v>1</v>
      </c>
      <c r="O10" s="86"/>
      <c r="P10" s="87"/>
      <c r="Q10" s="55"/>
      <c r="R10" s="55"/>
      <c r="S10" s="55"/>
    </row>
    <row r="11" spans="1:19" ht="12" customHeight="1">
      <c r="A11" s="103" t="s">
        <v>96</v>
      </c>
      <c r="B11" s="52" t="str">
        <f>VLOOKUP(A11,[1]!Tableau_cotisants,2,FALSE)</f>
        <v>COZIC</v>
      </c>
      <c r="C11" s="52" t="str">
        <f>VLOOKUP(A11,[1]!Tableau_cotisants,3,FALSE)</f>
        <v>FRAISSINET COZIC</v>
      </c>
      <c r="D11" s="52" t="str">
        <f>VLOOKUP(A11,[1]!Tableau_cotisants,4,FALSE)</f>
        <v>Kendall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40770</v>
      </c>
      <c r="I11" s="54" t="str">
        <f t="shared" si="0"/>
        <v>7 an(s) 4 mois et 25 jour(s)</v>
      </c>
      <c r="J11" s="52" t="str">
        <f>VLOOKUP(A11,[1]!Tableau_cotisants,10,FALSE)</f>
        <v>Chateaubernard</v>
      </c>
      <c r="K11" s="53" t="str">
        <f>VLOOKUP(A11,[1]!Tableau_cotisants,11,FALSE)</f>
        <v>Cognac</v>
      </c>
      <c r="L11" s="85">
        <v>1</v>
      </c>
      <c r="M11" s="57"/>
      <c r="N11" s="68">
        <v>1</v>
      </c>
      <c r="O11" s="86"/>
      <c r="P11" s="87"/>
      <c r="Q11" s="55"/>
      <c r="R11" s="55"/>
      <c r="S11" s="55"/>
    </row>
    <row r="12" spans="1:19" ht="12" customHeight="1">
      <c r="A12" s="103" t="s">
        <v>97</v>
      </c>
      <c r="B12" s="52" t="str">
        <f>VLOOKUP(A12,[1]!Tableau_cotisants,2,FALSE)</f>
        <v>COZIC</v>
      </c>
      <c r="C12" s="52" t="str">
        <f>VLOOKUP(A12,[1]!Tableau_cotisants,3,FALSE)</f>
        <v>TARDIEU</v>
      </c>
      <c r="D12" s="52" t="str">
        <f>VLOOKUP(A12,[1]!Tableau_cotisants,4,FALSE)</f>
        <v>Gustave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42917</v>
      </c>
      <c r="I12" s="54" t="str">
        <f t="shared" si="0"/>
        <v>1 an(s) 6 mois et 8 jour(s)</v>
      </c>
      <c r="J12" s="52" t="str">
        <f>VLOOKUP(A12,[1]!Tableau_cotisants,10,FALSE)</f>
        <v>Chateaubernard</v>
      </c>
      <c r="K12" s="53" t="str">
        <f>VLOOKUP(A12,[1]!Tableau_cotisants,11,FALSE)</f>
        <v>Cognac</v>
      </c>
      <c r="L12" s="85">
        <v>1</v>
      </c>
      <c r="M12" s="57"/>
      <c r="N12" s="68"/>
      <c r="O12" s="86"/>
      <c r="P12" s="87">
        <v>1</v>
      </c>
      <c r="Q12" s="55"/>
      <c r="R12" s="55"/>
      <c r="S12" s="55"/>
    </row>
    <row r="13" spans="1:19" ht="12" customHeight="1">
      <c r="A13" s="103" t="s">
        <v>98</v>
      </c>
      <c r="B13" s="52" t="str">
        <f>VLOOKUP(A13,[1]!Tableau_cotisants,2,FALSE)</f>
        <v>COZIC</v>
      </c>
      <c r="C13" s="52" t="str">
        <f>VLOOKUP(A13,[1]!Tableau_cotisants,3,FALSE)</f>
        <v>BARAUD</v>
      </c>
      <c r="D13" s="52" t="str">
        <f>VLOOKUP(A13,[1]!Tableau_cotisants,4,FALSE)</f>
        <v>Théo</v>
      </c>
      <c r="E13" s="53">
        <f>VLOOKUP(A13,[1]!Tableau_cotisants,5,FALSE)</f>
        <v>1</v>
      </c>
      <c r="F13" s="52">
        <f>VLOOKUP(A13,[1]!Tableau_cotisants,6,FALSE)</f>
        <v>0</v>
      </c>
      <c r="G13" s="52">
        <f>VLOOKUP(A13,[1]!Tableau_cotisants,7,FALSE)</f>
        <v>1</v>
      </c>
      <c r="H13" s="54">
        <f>VLOOKUP(A13,[1]!Tableau_cotisants,8,FALSE)</f>
        <v>43016</v>
      </c>
      <c r="I13" s="54" t="str">
        <f t="shared" ref="I13:I19" si="2">DATEDIF(H13,Date_du_jour,"y") &amp; " an(s) " &amp; DATEDIF(H13,$C$2,"ym") &amp; " mois et " &amp; DATEDIF(H13,$C$2,"md") &amp; " jour(s)"</f>
        <v>1 an(s) 3 mois et 1 jour(s)</v>
      </c>
      <c r="J13" s="52" t="str">
        <f>VLOOKUP(A13,[1]!Tableau_cotisants,10,FALSE)</f>
        <v>Chateaubernard</v>
      </c>
      <c r="K13" s="53" t="str">
        <f>VLOOKUP(A13,[1]!Tableau_cotisants,11,FALSE)</f>
        <v>Cognac</v>
      </c>
      <c r="L13" s="85">
        <v>1</v>
      </c>
      <c r="M13" s="57"/>
      <c r="N13" s="68"/>
      <c r="O13" s="86"/>
      <c r="P13" s="87">
        <v>1</v>
      </c>
      <c r="Q13" s="55"/>
      <c r="R13" s="55"/>
      <c r="S13" s="55"/>
    </row>
    <row r="14" spans="1:19" ht="12" customHeight="1">
      <c r="A14" s="109" t="s">
        <v>72</v>
      </c>
      <c r="B14" s="52" t="str">
        <f>VLOOKUP(A14,[1]!Tableau_cotisants,2,FALSE)</f>
        <v>SAMOYEAU/RAPHOZ</v>
      </c>
      <c r="C14" s="52" t="str">
        <f>VLOOKUP(A14,[1]!Tableau_cotisants,3,FALSE)</f>
        <v>SAMOYEAU</v>
      </c>
      <c r="D14" s="52" t="str">
        <f>VLOOKUP(A14,[1]!Tableau_cotisants,4,FALSE)</f>
        <v>Thomas</v>
      </c>
      <c r="E14" s="53">
        <f>VLOOKUP(A14,[1]!Tableau_cotisants,5,FALSE)</f>
        <v>0</v>
      </c>
      <c r="F14" s="52">
        <f>VLOOKUP(A14,[1]!Tableau_cotisants,6,FALSE)</f>
        <v>0</v>
      </c>
      <c r="G14" s="52">
        <f>VLOOKUP(A14,[1]!Tableau_cotisants,7,FALSE)</f>
        <v>1</v>
      </c>
      <c r="H14" s="54">
        <f>VLOOKUP(A14,[1]!Tableau_cotisants,8,FALSE)</f>
        <v>41862</v>
      </c>
      <c r="I14" s="54" t="str">
        <f t="shared" si="2"/>
        <v>4 an(s) 4 mois et 29 jour(s)</v>
      </c>
      <c r="J14" s="52" t="str">
        <f>VLOOKUP(A14,[1]!Tableau_cotisants,10,FALSE)</f>
        <v>SEGONZAC</v>
      </c>
      <c r="K14" s="53" t="str">
        <f>VLOOKUP(A14,[1]!Tableau_cotisants,11,FALSE)</f>
        <v>Champagne</v>
      </c>
      <c r="L14" s="85">
        <v>1</v>
      </c>
      <c r="M14" s="57"/>
      <c r="N14" s="68"/>
      <c r="O14" s="86"/>
      <c r="P14" s="87">
        <v>1</v>
      </c>
      <c r="Q14" s="55"/>
      <c r="R14" s="55"/>
      <c r="S14" s="55"/>
    </row>
    <row r="15" spans="1:19" ht="12" customHeight="1">
      <c r="A15" s="109" t="s">
        <v>73</v>
      </c>
      <c r="B15" s="52" t="str">
        <f>VLOOKUP(A15,[1]!Tableau_cotisants,2,FALSE)</f>
        <v>SAMOYEAU/RAPHOZ</v>
      </c>
      <c r="C15" s="52" t="str">
        <f>VLOOKUP(A15,[1]!Tableau_cotisants,3,FALSE)</f>
        <v>RAPHOZ</v>
      </c>
      <c r="D15" s="52" t="str">
        <f>VLOOKUP(A15,[1]!Tableau_cotisants,4,FALSE)</f>
        <v>Martine</v>
      </c>
      <c r="E15" s="53">
        <f>VLOOKUP(A15,[1]!Tableau_cotisants,5,FALSE)</f>
        <v>0</v>
      </c>
      <c r="F15" s="52">
        <f>VLOOKUP(A15,[1]!Tableau_cotisants,6,FALSE)</f>
        <v>1</v>
      </c>
      <c r="G15" s="52">
        <f>VLOOKUP(A15,[1]!Tableau_cotisants,7,FALSE)</f>
        <v>0</v>
      </c>
      <c r="H15" s="54">
        <f>VLOOKUP(A15,[1]!Tableau_cotisants,8,FALSE)</f>
        <v>18714</v>
      </c>
      <c r="I15" s="54" t="str">
        <f t="shared" si="2"/>
        <v>67 an(s) 9 mois et 13 jour(s)</v>
      </c>
      <c r="J15" s="52" t="str">
        <f>VLOOKUP(A15,[1]!Tableau_cotisants,10,FALSE)</f>
        <v>SEGONZAC</v>
      </c>
      <c r="K15" s="53" t="str">
        <f>VLOOKUP(A15,[1]!Tableau_cotisants,11,FALSE)</f>
        <v>Champagne</v>
      </c>
      <c r="L15" s="85">
        <v>1</v>
      </c>
      <c r="M15" s="57"/>
      <c r="N15" s="68"/>
      <c r="O15" s="86"/>
      <c r="P15" s="87">
        <v>1</v>
      </c>
      <c r="Q15" s="55"/>
      <c r="R15" s="55"/>
      <c r="S15" s="55"/>
    </row>
    <row r="16" spans="1:19" ht="12" customHeight="1">
      <c r="A16" s="104"/>
      <c r="B16" s="125" t="s">
        <v>146</v>
      </c>
      <c r="C16" s="125"/>
      <c r="D16" s="125"/>
      <c r="E16" s="125"/>
      <c r="F16" s="52"/>
      <c r="G16" s="52"/>
      <c r="H16" s="54"/>
      <c r="I16" s="54"/>
      <c r="J16" s="52"/>
      <c r="K16" s="53"/>
      <c r="L16" s="99"/>
      <c r="M16" s="57"/>
      <c r="N16" s="68"/>
      <c r="O16" s="86"/>
      <c r="P16" s="87"/>
      <c r="Q16" s="55"/>
      <c r="R16" s="55"/>
      <c r="S16" s="55"/>
    </row>
    <row r="17" spans="1:19" ht="12" customHeight="1">
      <c r="A17" s="130" t="s">
        <v>147</v>
      </c>
      <c r="B17" s="52" t="str">
        <f>VLOOKUP(A17,[1]!Tableau_cotisants,2,FALSE)</f>
        <v>OZANNE</v>
      </c>
      <c r="C17" s="52" t="str">
        <f>VLOOKUP(A17,[1]!Tableau_cotisants,3,FALSE)</f>
        <v>OZANNE</v>
      </c>
      <c r="D17" s="52" t="str">
        <f>VLOOKUP(A17,[1]!Tableau_cotisants,4,FALSE)</f>
        <v>Hortense</v>
      </c>
      <c r="E17" s="53">
        <f>VLOOKUP(A17,[1]!Tableau_cotisants,5,FALSE)</f>
        <v>0</v>
      </c>
      <c r="F17" s="52">
        <f>VLOOKUP(A17,[1]!Tableau_cotisants,6,FALSE)</f>
        <v>1</v>
      </c>
      <c r="G17" s="52">
        <f>VLOOKUP(A17,[1]!Tableau_cotisants,7,FALSE)</f>
        <v>0</v>
      </c>
      <c r="H17" s="54">
        <f>VLOOKUP(A17,[1]!Tableau_cotisants,8,FALSE)</f>
        <v>30312</v>
      </c>
      <c r="I17" s="54" t="str">
        <f t="shared" si="2"/>
        <v>36 an(s) 0 mois et 13 jour(s)</v>
      </c>
      <c r="J17" s="52" t="str">
        <f>VLOOKUP(A17,[1]!Tableau_cotisants,10,FALSE)</f>
        <v>Cognac</v>
      </c>
      <c r="K17" s="53" t="str">
        <f>VLOOKUP(A17,[1]!Tableau_cotisants,11,FALSE)</f>
        <v>Cognac</v>
      </c>
      <c r="L17" s="99"/>
      <c r="M17" s="57">
        <v>1</v>
      </c>
      <c r="N17" s="68">
        <v>1</v>
      </c>
      <c r="O17" s="86"/>
      <c r="P17" s="87"/>
      <c r="Q17" s="55"/>
      <c r="R17" s="55"/>
      <c r="S17" s="55"/>
    </row>
    <row r="18" spans="1:19" ht="12" customHeight="1">
      <c r="A18" s="130" t="s">
        <v>148</v>
      </c>
      <c r="B18" s="52" t="str">
        <f>VLOOKUP(A18,[1]!Tableau_cotisants,2,FALSE)</f>
        <v>OZANNE</v>
      </c>
      <c r="C18" s="52" t="str">
        <f>VLOOKUP(A18,[1]!Tableau_cotisants,3,FALSE)</f>
        <v>OZANNE</v>
      </c>
      <c r="D18" s="52" t="str">
        <f>VLOOKUP(A18,[1]!Tableau_cotisants,4,FALSE)</f>
        <v>Georges</v>
      </c>
      <c r="E18" s="53">
        <f>VLOOKUP(A18,[1]!Tableau_cotisants,5,FALSE)</f>
        <v>0</v>
      </c>
      <c r="F18" s="52">
        <f>VLOOKUP(A18,[1]!Tableau_cotisants,6,FALSE)</f>
        <v>0</v>
      </c>
      <c r="G18" s="52">
        <f>VLOOKUP(A18,[1]!Tableau_cotisants,7,FALSE)</f>
        <v>1</v>
      </c>
      <c r="H18" s="54">
        <f>VLOOKUP(A18,[1]!Tableau_cotisants,8,FALSE)</f>
        <v>41702</v>
      </c>
      <c r="I18" s="54" t="str">
        <f t="shared" si="2"/>
        <v>4 an(s) 10 mois et 5 jour(s)</v>
      </c>
      <c r="J18" s="52" t="str">
        <f>VLOOKUP(A18,[1]!Tableau_cotisants,10,FALSE)</f>
        <v>Cognac</v>
      </c>
      <c r="K18" s="53" t="str">
        <f>VLOOKUP(A18,[1]!Tableau_cotisants,11,FALSE)</f>
        <v>Cognac</v>
      </c>
      <c r="L18" s="99"/>
      <c r="M18" s="57">
        <v>1</v>
      </c>
      <c r="N18" s="68">
        <v>1</v>
      </c>
      <c r="O18" s="86"/>
      <c r="P18" s="87"/>
      <c r="Q18" s="55"/>
      <c r="R18" s="55"/>
      <c r="S18" s="55"/>
    </row>
    <row r="19" spans="1:19" ht="12" customHeight="1">
      <c r="A19" s="130" t="s">
        <v>149</v>
      </c>
      <c r="B19" s="52" t="str">
        <f>VLOOKUP(A19,[1]!Tableau_cotisants,2,FALSE)</f>
        <v>OZANNE</v>
      </c>
      <c r="C19" s="52" t="str">
        <f>VLOOKUP(A19,[1]!Tableau_cotisants,3,FALSE)</f>
        <v>OZANNE</v>
      </c>
      <c r="D19" s="52" t="str">
        <f>VLOOKUP(A19,[1]!Tableau_cotisants,4,FALSE)</f>
        <v>Arnaud</v>
      </c>
      <c r="E19" s="53">
        <f>VLOOKUP(A19,[1]!Tableau_cotisants,5,FALSE)</f>
        <v>0</v>
      </c>
      <c r="F19" s="52">
        <f>VLOOKUP(A19,[1]!Tableau_cotisants,6,FALSE)</f>
        <v>0</v>
      </c>
      <c r="G19" s="52">
        <f>VLOOKUP(A19,[1]!Tableau_cotisants,7,FALSE)</f>
        <v>1</v>
      </c>
      <c r="H19" s="54">
        <f>VLOOKUP(A19,[1]!Tableau_cotisants,8,FALSE)</f>
        <v>42313</v>
      </c>
      <c r="I19" s="54" t="str">
        <f t="shared" si="2"/>
        <v>3 an(s) 2 mois et 4 jour(s)</v>
      </c>
      <c r="J19" s="52" t="str">
        <f>VLOOKUP(A19,[1]!Tableau_cotisants,10,FALSE)</f>
        <v>Cognac</v>
      </c>
      <c r="K19" s="53" t="str">
        <f>VLOOKUP(A19,[1]!Tableau_cotisants,11,FALSE)</f>
        <v>Cognac</v>
      </c>
      <c r="L19" s="99"/>
      <c r="M19" s="57">
        <v>1</v>
      </c>
      <c r="N19" s="68">
        <v>1</v>
      </c>
      <c r="O19" s="86"/>
      <c r="P19" s="87"/>
      <c r="Q19" s="55"/>
      <c r="R19" s="55"/>
      <c r="S19" s="55"/>
    </row>
    <row r="20" spans="1:19" ht="12" customHeight="1">
      <c r="A20" s="130" t="s">
        <v>150</v>
      </c>
      <c r="B20" s="52" t="str">
        <f>VLOOKUP(A20,[1]!Tableau_cotisants,2,FALSE)</f>
        <v>OZANNE</v>
      </c>
      <c r="C20" s="52" t="str">
        <f>VLOOKUP(A20,[1]!Tableau_cotisants,3,FALSE)</f>
        <v>OZANNE</v>
      </c>
      <c r="D20" s="52" t="str">
        <f>VLOOKUP(A20,[1]!Tableau_cotisants,4,FALSE)</f>
        <v>Constantin</v>
      </c>
      <c r="E20" s="53">
        <f>VLOOKUP(A20,[1]!Tableau_cotisants,5,FALSE)</f>
        <v>0</v>
      </c>
      <c r="F20" s="52">
        <f>VLOOKUP(A20,[1]!Tableau_cotisants,6,FALSE)</f>
        <v>0</v>
      </c>
      <c r="G20" s="52">
        <f>VLOOKUP(A20,[1]!Tableau_cotisants,7,FALSE)</f>
        <v>1</v>
      </c>
      <c r="H20" s="54">
        <f>VLOOKUP(A20,[1]!Tableau_cotisants,8,FALSE)</f>
        <v>43119</v>
      </c>
      <c r="I20" s="54" t="str">
        <f t="shared" ref="I20:I32" si="3">DATEDIF(H20,Date_du_jour,"y") &amp; " an(s) " &amp; DATEDIF(H20,$C$2,"ym") &amp; " mois et " &amp; DATEDIF(H20,$C$2,"md") &amp; " jour(s)"</f>
        <v>0 an(s) 11 mois et 21 jour(s)</v>
      </c>
      <c r="J20" s="52" t="str">
        <f>VLOOKUP(A20,[1]!Tableau_cotisants,10,FALSE)</f>
        <v>Cognac</v>
      </c>
      <c r="K20" s="53" t="str">
        <f>VLOOKUP(A20,[1]!Tableau_cotisants,11,FALSE)</f>
        <v>Cognac</v>
      </c>
      <c r="L20" s="99"/>
      <c r="M20" s="57">
        <v>1</v>
      </c>
      <c r="N20" s="68">
        <v>1</v>
      </c>
      <c r="O20" s="86"/>
      <c r="P20" s="87"/>
      <c r="Q20" s="55"/>
      <c r="R20" s="55"/>
      <c r="S20" s="55"/>
    </row>
    <row r="21" spans="1:19" ht="12" customHeight="1">
      <c r="A21" s="131" t="s">
        <v>151</v>
      </c>
      <c r="B21" s="52" t="str">
        <f>VLOOKUP(A21,[1]!Tableau_cotisants,2,FALSE)</f>
        <v>DERUFFE/FLEURY</v>
      </c>
      <c r="C21" s="52" t="str">
        <f>VLOOKUP(A21,[1]!Tableau_cotisants,3,FALSE)</f>
        <v>FLEURY</v>
      </c>
      <c r="D21" s="52" t="str">
        <f>VLOOKUP(A21,[1]!Tableau_cotisants,4,FALSE)</f>
        <v>Fanny</v>
      </c>
      <c r="E21" s="53">
        <f>VLOOKUP(A21,[1]!Tableau_cotisants,5,FALSE)</f>
        <v>0</v>
      </c>
      <c r="F21" s="52">
        <f>VLOOKUP(A21,[1]!Tableau_cotisants,6,FALSE)</f>
        <v>1</v>
      </c>
      <c r="G21" s="52">
        <f>VLOOKUP(A21,[1]!Tableau_cotisants,7,FALSE)</f>
        <v>0</v>
      </c>
      <c r="H21" s="54">
        <f>VLOOKUP(A21,[1]!Tableau_cotisants,8,FALSE)</f>
        <v>31330</v>
      </c>
      <c r="I21" s="54" t="str">
        <f t="shared" si="3"/>
        <v>33 an(s) 2 mois et 30 jour(s)</v>
      </c>
      <c r="J21" s="52" t="str">
        <f>VLOOKUP(A21,[1]!Tableau_cotisants,10,FALSE)</f>
        <v>Chateauneuf</v>
      </c>
      <c r="K21" s="53" t="str">
        <f>VLOOKUP(A21,[1]!Tableau_cotisants,11,FALSE)</f>
        <v>Chateauneuf</v>
      </c>
      <c r="L21" s="99"/>
      <c r="M21" s="57">
        <v>1</v>
      </c>
      <c r="N21" s="68"/>
      <c r="O21" s="86"/>
      <c r="P21" s="87">
        <v>1</v>
      </c>
      <c r="Q21" s="55"/>
      <c r="R21" s="55"/>
      <c r="S21" s="55"/>
    </row>
    <row r="22" spans="1:19" ht="12" customHeight="1">
      <c r="A22" s="131" t="s">
        <v>152</v>
      </c>
      <c r="B22" s="52" t="str">
        <f>VLOOKUP(A22,[1]!Tableau_cotisants,2,FALSE)</f>
        <v>DERUFFE/FLEURY</v>
      </c>
      <c r="C22" s="52" t="str">
        <f>VLOOKUP(A22,[1]!Tableau_cotisants,3,FALSE)</f>
        <v>DERUFFE</v>
      </c>
      <c r="D22" s="52" t="str">
        <f>VLOOKUP(A22,[1]!Tableau_cotisants,4,FALSE)</f>
        <v>Johnny</v>
      </c>
      <c r="E22" s="53">
        <f>VLOOKUP(A22,[1]!Tableau_cotisants,5,FALSE)</f>
        <v>0</v>
      </c>
      <c r="F22" s="52">
        <f>VLOOKUP(A22,[1]!Tableau_cotisants,6,FALSE)</f>
        <v>0</v>
      </c>
      <c r="G22" s="52">
        <f>VLOOKUP(A22,[1]!Tableau_cotisants,7,FALSE)</f>
        <v>1</v>
      </c>
      <c r="H22" s="54">
        <f>VLOOKUP(A22,[1]!Tableau_cotisants,8,FALSE)</f>
        <v>27585</v>
      </c>
      <c r="I22" s="54" t="str">
        <f t="shared" si="3"/>
        <v>43 an(s) 5 mois et 30 jour(s)</v>
      </c>
      <c r="J22" s="52" t="str">
        <f>VLOOKUP(A22,[1]!Tableau_cotisants,10,FALSE)</f>
        <v>Chateauneuf</v>
      </c>
      <c r="K22" s="53" t="str">
        <f>VLOOKUP(A22,[1]!Tableau_cotisants,11,FALSE)</f>
        <v>Chateauneuf</v>
      </c>
      <c r="L22" s="99"/>
      <c r="M22" s="57">
        <v>1</v>
      </c>
      <c r="N22" s="68"/>
      <c r="O22" s="86"/>
      <c r="P22" s="87">
        <v>1</v>
      </c>
      <c r="Q22" s="55"/>
      <c r="R22" s="55"/>
      <c r="S22" s="55"/>
    </row>
    <row r="23" spans="1:19" ht="12" customHeight="1">
      <c r="A23" s="131" t="s">
        <v>153</v>
      </c>
      <c r="B23" s="52" t="str">
        <f>VLOOKUP(A23,[1]!Tableau_cotisants,2,FALSE)</f>
        <v>DERUFFE/FLEURY</v>
      </c>
      <c r="C23" s="52" t="str">
        <f>VLOOKUP(A23,[1]!Tableau_cotisants,3,FALSE)</f>
        <v>DERUFFE</v>
      </c>
      <c r="D23" s="52" t="str">
        <f>VLOOKUP(A23,[1]!Tableau_cotisants,4,FALSE)</f>
        <v>Marilou</v>
      </c>
      <c r="E23" s="53">
        <f>VLOOKUP(A23,[1]!Tableau_cotisants,5,FALSE)</f>
        <v>0</v>
      </c>
      <c r="F23" s="52">
        <f>VLOOKUP(A23,[1]!Tableau_cotisants,6,FALSE)</f>
        <v>1</v>
      </c>
      <c r="G23" s="52">
        <f>VLOOKUP(A23,[1]!Tableau_cotisants,7,FALSE)</f>
        <v>0</v>
      </c>
      <c r="H23" s="54">
        <f>VLOOKUP(A23,[1]!Tableau_cotisants,8,FALSE)</f>
        <v>40532</v>
      </c>
      <c r="I23" s="54" t="str">
        <f t="shared" si="3"/>
        <v>8 an(s) 0 mois et 20 jour(s)</v>
      </c>
      <c r="J23" s="52" t="str">
        <f>VLOOKUP(A23,[1]!Tableau_cotisants,10,FALSE)</f>
        <v>Chateauneuf</v>
      </c>
      <c r="K23" s="53" t="str">
        <f>VLOOKUP(A23,[1]!Tableau_cotisants,11,FALSE)</f>
        <v>Chateauneuf</v>
      </c>
      <c r="L23" s="99"/>
      <c r="M23" s="57">
        <v>1</v>
      </c>
      <c r="N23" s="68"/>
      <c r="O23" s="86"/>
      <c r="P23" s="87">
        <v>1</v>
      </c>
      <c r="Q23" s="55"/>
      <c r="R23" s="55"/>
      <c r="S23" s="55"/>
    </row>
    <row r="24" spans="1:19" ht="12" customHeight="1">
      <c r="A24" s="131" t="s">
        <v>154</v>
      </c>
      <c r="B24" s="52" t="str">
        <f>VLOOKUP(A24,[1]!Tableau_cotisants,2,FALSE)</f>
        <v>DERUFFE/FLEURY</v>
      </c>
      <c r="C24" s="52" t="str">
        <f>VLOOKUP(A24,[1]!Tableau_cotisants,3,FALSE)</f>
        <v>DERUFFE</v>
      </c>
      <c r="D24" s="52" t="str">
        <f>VLOOKUP(A24,[1]!Tableau_cotisants,4,FALSE)</f>
        <v>Tristan</v>
      </c>
      <c r="E24" s="53">
        <f>VLOOKUP(A24,[1]!Tableau_cotisants,5,FALSE)</f>
        <v>0</v>
      </c>
      <c r="F24" s="52">
        <f>VLOOKUP(A24,[1]!Tableau_cotisants,6,FALSE)</f>
        <v>0</v>
      </c>
      <c r="G24" s="52">
        <f>VLOOKUP(A24,[1]!Tableau_cotisants,7,FALSE)</f>
        <v>1</v>
      </c>
      <c r="H24" s="54">
        <f>VLOOKUP(A24,[1]!Tableau_cotisants,8,FALSE)</f>
        <v>43138</v>
      </c>
      <c r="I24" s="54" t="str">
        <f t="shared" si="3"/>
        <v>0 an(s) 11 mois et 2 jour(s)</v>
      </c>
      <c r="J24" s="52" t="str">
        <f>VLOOKUP(A24,[1]!Tableau_cotisants,10,FALSE)</f>
        <v>Chateauneuf</v>
      </c>
      <c r="K24" s="53" t="str">
        <f>VLOOKUP(A24,[1]!Tableau_cotisants,11,FALSE)</f>
        <v>Chateauneuf</v>
      </c>
      <c r="L24" s="99"/>
      <c r="M24" s="57">
        <v>1</v>
      </c>
      <c r="N24" s="68"/>
      <c r="O24" s="86"/>
      <c r="P24" s="87">
        <v>1</v>
      </c>
      <c r="Q24" s="55"/>
      <c r="R24" s="55"/>
      <c r="S24" s="55"/>
    </row>
    <row r="25" spans="1:19" ht="12" customHeight="1">
      <c r="A25" s="132" t="s">
        <v>155</v>
      </c>
      <c r="B25" s="52" t="str">
        <f>VLOOKUP(A25,[1]!Tableau_cotisants,2,FALSE)</f>
        <v>DEDEBAN</v>
      </c>
      <c r="C25" s="52" t="str">
        <f>VLOOKUP(A25,[1]!Tableau_cotisants,3,FALSE)</f>
        <v>DEDEBAN</v>
      </c>
      <c r="D25" s="52" t="str">
        <f>VLOOKUP(A25,[1]!Tableau_cotisants,4,FALSE)</f>
        <v>Julie</v>
      </c>
      <c r="E25" s="53">
        <f>VLOOKUP(A25,[1]!Tableau_cotisants,5,FALSE)</f>
        <v>0</v>
      </c>
      <c r="F25" s="52">
        <f>VLOOKUP(A25,[1]!Tableau_cotisants,6,FALSE)</f>
        <v>1</v>
      </c>
      <c r="G25" s="52">
        <f>VLOOKUP(A25,[1]!Tableau_cotisants,7,FALSE)</f>
        <v>0</v>
      </c>
      <c r="H25" s="54">
        <f>VLOOKUP(A25,[1]!Tableau_cotisants,8,FALSE)</f>
        <v>29812</v>
      </c>
      <c r="I25" s="54" t="str">
        <f t="shared" si="3"/>
        <v>37 an(s) 4 mois et 26 jour(s)</v>
      </c>
      <c r="J25" s="52" t="str">
        <f>VLOOKUP(A25,[1]!Tableau_cotisants,10,FALSE)</f>
        <v>GENTE</v>
      </c>
      <c r="K25" s="53" t="str">
        <f>VLOOKUP(A25,[1]!Tableau_cotisants,11,FALSE)</f>
        <v>Champagne</v>
      </c>
      <c r="L25" s="99"/>
      <c r="M25" s="57">
        <v>1</v>
      </c>
      <c r="N25" s="68"/>
      <c r="O25" s="86">
        <v>1</v>
      </c>
      <c r="P25" s="87"/>
      <c r="Q25" s="55"/>
      <c r="R25" s="55"/>
      <c r="S25" s="55"/>
    </row>
    <row r="26" spans="1:19" ht="12" customHeight="1">
      <c r="A26" s="133" t="s">
        <v>156</v>
      </c>
      <c r="B26" s="52" t="str">
        <f>VLOOKUP(A26,[1]!Tableau_cotisants,2,FALSE)</f>
        <v>MONTGOMERY</v>
      </c>
      <c r="C26" s="52" t="str">
        <f>VLOOKUP(A26,[1]!Tableau_cotisants,3,FALSE)</f>
        <v>MONTGOMERY</v>
      </c>
      <c r="D26" s="52" t="str">
        <f>VLOOKUP(A26,[1]!Tableau_cotisants,4,FALSE)</f>
        <v>Rebecca</v>
      </c>
      <c r="E26" s="53">
        <f>VLOOKUP(A26,[1]!Tableau_cotisants,5,FALSE)</f>
        <v>0</v>
      </c>
      <c r="F26" s="52">
        <f>VLOOKUP(A26,[1]!Tableau_cotisants,6,FALSE)</f>
        <v>1</v>
      </c>
      <c r="G26" s="52">
        <f>VLOOKUP(A26,[1]!Tableau_cotisants,7,FALSE)</f>
        <v>0</v>
      </c>
      <c r="H26" s="54">
        <f>VLOOKUP(A26,[1]!Tableau_cotisants,8,FALSE)</f>
        <v>26339</v>
      </c>
      <c r="I26" s="54" t="str">
        <f t="shared" si="3"/>
        <v>46 an(s) 10 mois et 30 jour(s)</v>
      </c>
      <c r="J26" s="52" t="str">
        <f>VLOOKUP(A26,[1]!Tableau_cotisants,10,FALSE)</f>
        <v>SEGONZAC</v>
      </c>
      <c r="K26" s="53" t="str">
        <f>VLOOKUP(A26,[1]!Tableau_cotisants,11,FALSE)</f>
        <v>Champagne</v>
      </c>
      <c r="L26" s="99"/>
      <c r="M26" s="57">
        <v>1</v>
      </c>
      <c r="N26" s="68"/>
      <c r="O26" s="86">
        <v>1</v>
      </c>
      <c r="P26" s="87"/>
      <c r="Q26" s="55"/>
      <c r="R26" s="55"/>
      <c r="S26" s="55"/>
    </row>
    <row r="27" spans="1:19" ht="12" customHeight="1">
      <c r="A27" s="133" t="s">
        <v>157</v>
      </c>
      <c r="B27" s="52" t="str">
        <f>VLOOKUP(A27,[1]!Tableau_cotisants,2,FALSE)</f>
        <v>MONTGOMERY</v>
      </c>
      <c r="C27" s="52" t="str">
        <f>VLOOKUP(A27,[1]!Tableau_cotisants,3,FALSE)</f>
        <v>MONTGOMERY</v>
      </c>
      <c r="D27" s="52" t="str">
        <f>VLOOKUP(A27,[1]!Tableau_cotisants,4,FALSE)</f>
        <v>William</v>
      </c>
      <c r="E27" s="53">
        <f>VLOOKUP(A27,[1]!Tableau_cotisants,5,FALSE)</f>
        <v>0</v>
      </c>
      <c r="F27" s="52">
        <f>VLOOKUP(A27,[1]!Tableau_cotisants,6,FALSE)</f>
        <v>0</v>
      </c>
      <c r="G27" s="52">
        <f>VLOOKUP(A27,[1]!Tableau_cotisants,7,FALSE)</f>
        <v>1</v>
      </c>
      <c r="H27" s="54">
        <f>VLOOKUP(A27,[1]!Tableau_cotisants,8,FALSE)</f>
        <v>40227</v>
      </c>
      <c r="I27" s="54" t="str">
        <f t="shared" si="3"/>
        <v>8 an(s) 10 mois et 22 jour(s)</v>
      </c>
      <c r="J27" s="52" t="str">
        <f>VLOOKUP(A27,[1]!Tableau_cotisants,10,FALSE)</f>
        <v>SEGONZAC</v>
      </c>
      <c r="K27" s="53" t="str">
        <f>VLOOKUP(A27,[1]!Tableau_cotisants,11,FALSE)</f>
        <v>Champagne</v>
      </c>
      <c r="L27" s="99"/>
      <c r="M27" s="57">
        <v>1</v>
      </c>
      <c r="N27" s="68"/>
      <c r="O27" s="86">
        <v>1</v>
      </c>
      <c r="P27" s="87"/>
      <c r="Q27" s="55"/>
      <c r="R27" s="55"/>
      <c r="S27" s="55"/>
    </row>
    <row r="28" spans="1:19" ht="12" customHeight="1">
      <c r="A28" s="117" t="s">
        <v>125</v>
      </c>
      <c r="B28" s="52" t="str">
        <f>VLOOKUP(A28,[1]!Tableau_cotisants,2,FALSE)</f>
        <v>SANSAUD/MOREAU</v>
      </c>
      <c r="C28" s="52" t="str">
        <f>VLOOKUP(A28,[1]!Tableau_cotisants,3,FALSE)</f>
        <v>MOREAU</v>
      </c>
      <c r="D28" s="52" t="str">
        <f>VLOOKUP(A28,[1]!Tableau_cotisants,4,FALSE)</f>
        <v>Emmanuelle</v>
      </c>
      <c r="E28" s="53">
        <f>VLOOKUP(A28,[1]!Tableau_cotisants,5,FALSE)</f>
        <v>0</v>
      </c>
      <c r="F28" s="52">
        <f>VLOOKUP(A28,[1]!Tableau_cotisants,6,FALSE)</f>
        <v>1</v>
      </c>
      <c r="G28" s="52">
        <f>VLOOKUP(A28,[1]!Tableau_cotisants,7,FALSE)</f>
        <v>0</v>
      </c>
      <c r="H28" s="54">
        <f>VLOOKUP(A28,[1]!Tableau_cotisants,8,FALSE)</f>
        <v>29187</v>
      </c>
      <c r="I28" s="54" t="str">
        <f t="shared" si="3"/>
        <v>39 an(s) 1 mois et 12 jour(s)</v>
      </c>
      <c r="J28" s="52" t="str">
        <f>VLOOKUP(A28,[1]!Tableau_cotisants,10,FALSE)</f>
        <v>SEGONZAC</v>
      </c>
      <c r="K28" s="53" t="str">
        <f>VLOOKUP(A28,[1]!Tableau_cotisants,11,FALSE)</f>
        <v>Champagne</v>
      </c>
      <c r="L28" s="99"/>
      <c r="M28" s="57">
        <v>1</v>
      </c>
      <c r="N28" s="68">
        <v>1</v>
      </c>
      <c r="O28" s="86"/>
      <c r="P28" s="87"/>
      <c r="Q28" s="55"/>
      <c r="R28" s="55"/>
      <c r="S28" s="55"/>
    </row>
    <row r="29" spans="1:19" ht="12" customHeight="1">
      <c r="A29" s="117" t="s">
        <v>126</v>
      </c>
      <c r="B29" s="52" t="str">
        <f>VLOOKUP(A29,[1]!Tableau_cotisants,2,FALSE)</f>
        <v>SANSAUD/MOREAU</v>
      </c>
      <c r="C29" s="52" t="str">
        <f>VLOOKUP(A29,[1]!Tableau_cotisants,3,FALSE)</f>
        <v>SANSAUD</v>
      </c>
      <c r="D29" s="52" t="str">
        <f>VLOOKUP(A29,[1]!Tableau_cotisants,4,FALSE)</f>
        <v>Ethan</v>
      </c>
      <c r="E29" s="53">
        <f>VLOOKUP(A29,[1]!Tableau_cotisants,5,FALSE)</f>
        <v>0</v>
      </c>
      <c r="F29" s="52">
        <f>VLOOKUP(A29,[1]!Tableau_cotisants,6,FALSE)</f>
        <v>0</v>
      </c>
      <c r="G29" s="52">
        <f>VLOOKUP(A29,[1]!Tableau_cotisants,7,FALSE)</f>
        <v>1</v>
      </c>
      <c r="H29" s="54">
        <f>VLOOKUP(A29,[1]!Tableau_cotisants,8,FALSE)</f>
        <v>41015</v>
      </c>
      <c r="I29" s="54" t="str">
        <f t="shared" si="3"/>
        <v>6 an(s) 8 mois et 24 jour(s)</v>
      </c>
      <c r="J29" s="52" t="str">
        <f>VLOOKUP(A29,[1]!Tableau_cotisants,10,FALSE)</f>
        <v>SEGONZAC</v>
      </c>
      <c r="K29" s="53" t="str">
        <f>VLOOKUP(A29,[1]!Tableau_cotisants,11,FALSE)</f>
        <v>Champagne</v>
      </c>
      <c r="L29" s="99"/>
      <c r="M29" s="57">
        <v>1</v>
      </c>
      <c r="N29" s="68">
        <v>1</v>
      </c>
      <c r="O29" s="86"/>
      <c r="P29" s="87"/>
      <c r="Q29" s="55"/>
      <c r="R29" s="55"/>
      <c r="S29" s="55"/>
    </row>
    <row r="30" spans="1:19" ht="12" customHeight="1">
      <c r="A30" s="117" t="s">
        <v>127</v>
      </c>
      <c r="B30" s="52" t="str">
        <f>VLOOKUP(A30,[1]!Tableau_cotisants,2,FALSE)</f>
        <v>SANSAUD/MOREAU</v>
      </c>
      <c r="C30" s="52" t="str">
        <f>VLOOKUP(A30,[1]!Tableau_cotisants,3,FALSE)</f>
        <v>SANSAUD</v>
      </c>
      <c r="D30" s="52" t="str">
        <f>VLOOKUP(A30,[1]!Tableau_cotisants,4,FALSE)</f>
        <v>Axel</v>
      </c>
      <c r="E30" s="53">
        <f>VLOOKUP(A30,[1]!Tableau_cotisants,5,FALSE)</f>
        <v>0</v>
      </c>
      <c r="F30" s="52">
        <f>VLOOKUP(A30,[1]!Tableau_cotisants,6,FALSE)</f>
        <v>0</v>
      </c>
      <c r="G30" s="52">
        <f>VLOOKUP(A30,[1]!Tableau_cotisants,7,FALSE)</f>
        <v>1</v>
      </c>
      <c r="H30" s="54">
        <f>VLOOKUP(A30,[1]!Tableau_cotisants,8,FALSE)</f>
        <v>42407</v>
      </c>
      <c r="I30" s="54" t="str">
        <f t="shared" si="3"/>
        <v>2 an(s) 11 mois et 2 jour(s)</v>
      </c>
      <c r="J30" s="52" t="str">
        <f>VLOOKUP(A30,[1]!Tableau_cotisants,10,FALSE)</f>
        <v>SEGONZAC</v>
      </c>
      <c r="K30" s="53" t="str">
        <f>VLOOKUP(A30,[1]!Tableau_cotisants,11,FALSE)</f>
        <v>Champagne</v>
      </c>
      <c r="L30" s="99"/>
      <c r="M30" s="57">
        <v>1</v>
      </c>
      <c r="N30" s="68">
        <v>1</v>
      </c>
      <c r="O30" s="86"/>
      <c r="P30" s="87"/>
      <c r="Q30" s="55"/>
      <c r="R30" s="55"/>
      <c r="S30" s="55"/>
    </row>
    <row r="31" spans="1:19" ht="12" customHeight="1">
      <c r="A31" s="110" t="s">
        <v>158</v>
      </c>
      <c r="B31" s="52" t="str">
        <f>VLOOKUP(A31,[1]!Tableau_cotisants,2,FALSE)</f>
        <v>MENON</v>
      </c>
      <c r="C31" s="52" t="str">
        <f>VLOOKUP(A31,[1]!Tableau_cotisants,3,FALSE)</f>
        <v>MENON</v>
      </c>
      <c r="D31" s="52" t="str">
        <f>VLOOKUP(A31,[1]!Tableau_cotisants,4,FALSE)</f>
        <v>Caroline</v>
      </c>
      <c r="E31" s="53">
        <f>VLOOKUP(A31,[1]!Tableau_cotisants,5,FALSE)</f>
        <v>0</v>
      </c>
      <c r="F31" s="52">
        <f>VLOOKUP(A31,[1]!Tableau_cotisants,6,FALSE)</f>
        <v>1</v>
      </c>
      <c r="G31" s="52">
        <f>VLOOKUP(A31,[1]!Tableau_cotisants,7,FALSE)</f>
        <v>0</v>
      </c>
      <c r="H31" s="54">
        <f>VLOOKUP(A31,[1]!Tableau_cotisants,8,FALSE)</f>
        <v>29713</v>
      </c>
      <c r="I31" s="54" t="str">
        <f t="shared" si="3"/>
        <v>37 an(s) 8 mois et 2 jour(s)</v>
      </c>
      <c r="J31" s="52" t="str">
        <f>VLOOKUP(A31,[1]!Tableau_cotisants,10,FALSE)</f>
        <v>Genté</v>
      </c>
      <c r="K31" s="53" t="str">
        <f>VLOOKUP(A31,[1]!Tableau_cotisants,11,FALSE)</f>
        <v>Champagne</v>
      </c>
      <c r="L31" s="99"/>
      <c r="M31" s="57">
        <v>1</v>
      </c>
      <c r="N31" s="68"/>
      <c r="O31" s="86">
        <v>1</v>
      </c>
      <c r="P31" s="87"/>
      <c r="Q31" s="55"/>
      <c r="R31" s="55"/>
      <c r="S31" s="55"/>
    </row>
    <row r="32" spans="1:19" ht="12" customHeight="1">
      <c r="A32" s="110" t="s">
        <v>159</v>
      </c>
      <c r="B32" s="52" t="str">
        <f>VLOOKUP(A32,[1]!Tableau_cotisants,2,FALSE)</f>
        <v>MENON</v>
      </c>
      <c r="C32" s="52" t="str">
        <f>VLOOKUP(A32,[1]!Tableau_cotisants,3,FALSE)</f>
        <v>MENON</v>
      </c>
      <c r="D32" s="52" t="str">
        <f>VLOOKUP(A32,[1]!Tableau_cotisants,4,FALSE)</f>
        <v>Victor</v>
      </c>
      <c r="E32" s="53">
        <f>VLOOKUP(A32,[1]!Tableau_cotisants,5,FALSE)</f>
        <v>0</v>
      </c>
      <c r="F32" s="52">
        <f>VLOOKUP(A32,[1]!Tableau_cotisants,6,FALSE)</f>
        <v>0</v>
      </c>
      <c r="G32" s="52">
        <f>VLOOKUP(A32,[1]!Tableau_cotisants,7,FALSE)</f>
        <v>1</v>
      </c>
      <c r="H32" s="54">
        <f>VLOOKUP(A32,[1]!Tableau_cotisants,8,FALSE)</f>
        <v>40687</v>
      </c>
      <c r="I32" s="54" t="str">
        <f t="shared" si="3"/>
        <v>7 an(s) 7 mois et 16 jour(s)</v>
      </c>
      <c r="J32" s="52" t="str">
        <f>VLOOKUP(A32,[1]!Tableau_cotisants,10,FALSE)</f>
        <v>Genté</v>
      </c>
      <c r="K32" s="53" t="str">
        <f>VLOOKUP(A32,[1]!Tableau_cotisants,11,FALSE)</f>
        <v>Champagne</v>
      </c>
      <c r="L32" s="99"/>
      <c r="M32" s="57">
        <v>1</v>
      </c>
      <c r="N32" s="68"/>
      <c r="O32" s="86">
        <v>1</v>
      </c>
      <c r="P32" s="87"/>
      <c r="Q32" s="55"/>
      <c r="R32" s="55"/>
      <c r="S32" s="55"/>
    </row>
    <row r="33" spans="1:19" ht="12" customHeight="1">
      <c r="A33" s="134"/>
      <c r="B33" s="52"/>
      <c r="C33" s="52"/>
      <c r="D33" s="52"/>
      <c r="E33" s="53"/>
      <c r="F33" s="52"/>
      <c r="G33" s="52"/>
      <c r="H33" s="54"/>
      <c r="I33" s="54"/>
      <c r="J33" s="52"/>
      <c r="K33" s="53"/>
      <c r="L33" s="99"/>
      <c r="M33" s="57"/>
      <c r="N33" s="68"/>
      <c r="O33" s="86"/>
      <c r="P33" s="87"/>
      <c r="Q33" s="55"/>
      <c r="R33" s="55"/>
      <c r="S33" s="55"/>
    </row>
    <row r="34" spans="1:19" ht="12" customHeight="1" thickBot="1">
      <c r="A34" s="7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99"/>
      <c r="M34" s="57"/>
      <c r="N34" s="68"/>
      <c r="O34" s="86"/>
      <c r="P34" s="87"/>
      <c r="Q34" s="55"/>
      <c r="R34" s="55"/>
      <c r="S34" s="55"/>
    </row>
    <row r="35" spans="1:19" ht="19.5" thickBot="1">
      <c r="A35" s="17"/>
      <c r="B35" s="4"/>
      <c r="C35" s="4"/>
      <c r="D35" s="4"/>
      <c r="E35" s="4">
        <f>SUM(E7:E34)</f>
        <v>7</v>
      </c>
      <c r="F35" s="4">
        <f>SUM(F5:F34)</f>
        <v>12</v>
      </c>
      <c r="G35" s="4">
        <f>SUM(G5:G34)</f>
        <v>15</v>
      </c>
      <c r="H35" s="4"/>
      <c r="I35" s="4"/>
      <c r="J35" s="4"/>
      <c r="K35" s="18">
        <f>SUM(K7:K34)</f>
        <v>0</v>
      </c>
      <c r="L35" s="93">
        <f t="shared" ref="L35:S35" si="4">SUM(L5:L34)</f>
        <v>11</v>
      </c>
      <c r="M35" s="19">
        <f t="shared" si="4"/>
        <v>16</v>
      </c>
      <c r="N35" s="20">
        <f t="shared" si="4"/>
        <v>14</v>
      </c>
      <c r="O35" s="28">
        <f t="shared" si="4"/>
        <v>5</v>
      </c>
      <c r="P35" s="72">
        <f t="shared" si="4"/>
        <v>8</v>
      </c>
      <c r="Q35" s="79">
        <f t="shared" si="4"/>
        <v>0</v>
      </c>
      <c r="R35" s="80">
        <f t="shared" si="4"/>
        <v>0</v>
      </c>
      <c r="S35" s="81">
        <f t="shared" si="4"/>
        <v>0</v>
      </c>
    </row>
    <row r="36" spans="1:19" ht="24" thickBot="1">
      <c r="B36" t="s">
        <v>28</v>
      </c>
      <c r="C36" s="98"/>
      <c r="F36" s="201">
        <f>F35+G35</f>
        <v>27</v>
      </c>
      <c r="G36" s="201"/>
      <c r="L36" s="201">
        <f>L35+M35</f>
        <v>27</v>
      </c>
      <c r="M36" s="201"/>
      <c r="N36" s="202">
        <f>N35+O35+P35</f>
        <v>27</v>
      </c>
      <c r="O36" s="202"/>
      <c r="P36" s="202"/>
      <c r="Q36" s="102"/>
      <c r="R36" s="102"/>
      <c r="S36" s="102"/>
    </row>
    <row r="37" spans="1:19" ht="15.75" thickBot="1">
      <c r="B37" t="s">
        <v>75</v>
      </c>
      <c r="L37" s="22">
        <f>L35</f>
        <v>11</v>
      </c>
      <c r="M37" s="22">
        <f t="shared" ref="M37:S37" si="5">M35</f>
        <v>16</v>
      </c>
      <c r="N37" s="22">
        <f t="shared" si="5"/>
        <v>14</v>
      </c>
      <c r="O37" s="22">
        <f t="shared" si="5"/>
        <v>5</v>
      </c>
      <c r="P37" s="22">
        <f t="shared" si="5"/>
        <v>8</v>
      </c>
      <c r="Q37" s="22">
        <f t="shared" si="5"/>
        <v>0</v>
      </c>
      <c r="R37" s="22">
        <f t="shared" si="5"/>
        <v>0</v>
      </c>
      <c r="S37" s="22">
        <f t="shared" si="5"/>
        <v>0</v>
      </c>
    </row>
    <row r="38" spans="1:19" ht="33" thickBot="1">
      <c r="L38" s="203">
        <f>L36</f>
        <v>27</v>
      </c>
      <c r="M38" s="204"/>
      <c r="N38" s="205">
        <f>N36</f>
        <v>27</v>
      </c>
      <c r="O38" s="206"/>
      <c r="P38" s="207"/>
    </row>
    <row r="39" spans="1:19" ht="24" customHeight="1">
      <c r="B39" t="s">
        <v>181</v>
      </c>
      <c r="C39" s="137" t="s">
        <v>185</v>
      </c>
      <c r="D39" t="s">
        <v>181</v>
      </c>
      <c r="E39" s="197" t="s">
        <v>182</v>
      </c>
      <c r="F39" s="198"/>
    </row>
    <row r="40" spans="1:19" ht="45">
      <c r="A40" s="140" t="s">
        <v>183</v>
      </c>
      <c r="B40" s="138">
        <v>0</v>
      </c>
      <c r="C40" s="139">
        <f>B40</f>
        <v>0</v>
      </c>
      <c r="D40" s="138">
        <v>0</v>
      </c>
      <c r="E40" s="195">
        <f>'[2]12 decembre 2018'!E40+D40</f>
        <v>0</v>
      </c>
      <c r="F40" s="196"/>
    </row>
    <row r="41" spans="1:19" ht="32.25">
      <c r="A41" s="141" t="s">
        <v>184</v>
      </c>
      <c r="B41" s="138">
        <v>1</v>
      </c>
      <c r="C41" s="139">
        <f>B41</f>
        <v>1</v>
      </c>
      <c r="D41" s="138">
        <v>10</v>
      </c>
      <c r="E41" s="195">
        <f>D41</f>
        <v>10</v>
      </c>
      <c r="F41" s="196"/>
    </row>
  </sheetData>
  <mergeCells count="9">
    <mergeCell ref="N36:P36"/>
    <mergeCell ref="L38:M38"/>
    <mergeCell ref="N38:P38"/>
    <mergeCell ref="E40:F40"/>
    <mergeCell ref="E41:F41"/>
    <mergeCell ref="E39:F39"/>
    <mergeCell ref="F3:G3"/>
    <mergeCell ref="F36:G36"/>
    <mergeCell ref="L36:M36"/>
  </mergeCells>
  <conditionalFormatting sqref="N38">
    <cfRule type="cellIs" dxfId="77" priority="4" operator="equal">
      <formula>$N$37+$O$37</formula>
    </cfRule>
  </conditionalFormatting>
  <conditionalFormatting sqref="N38">
    <cfRule type="cellIs" dxfId="76" priority="3" operator="equal">
      <formula>$N$43+$O$43</formula>
    </cfRule>
  </conditionalFormatting>
  <conditionalFormatting sqref="F36:G36 N36">
    <cfRule type="cellIs" dxfId="75" priority="1" operator="notEqual">
      <formula>$L$36</formula>
    </cfRule>
    <cfRule type="cellIs" dxfId="74" priority="2" operator="equal">
      <formula>$L$36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S37"/>
  <sheetViews>
    <sheetView workbookViewId="0">
      <pane ySplit="4" topLeftCell="A17" activePane="bottomLeft" state="frozen"/>
      <selection pane="bottomLeft" activeCell="A17" sqref="A17:S28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43481</v>
      </c>
      <c r="D2" s="60"/>
      <c r="E2" s="60"/>
      <c r="F2" s="60"/>
      <c r="G2" s="60"/>
      <c r="H2" s="60"/>
      <c r="I2" s="60"/>
      <c r="J2" s="62"/>
      <c r="K2" s="60" t="s">
        <v>85</v>
      </c>
      <c r="L2" s="60"/>
      <c r="M2" s="60"/>
      <c r="N2" s="60"/>
      <c r="R2" s="61">
        <v>2</v>
      </c>
    </row>
    <row r="3" spans="1:19" ht="21.75" thickBot="1">
      <c r="B3" s="126" t="s">
        <v>139</v>
      </c>
      <c r="C3" s="60"/>
      <c r="D3" s="60"/>
      <c r="F3" s="199" t="s">
        <v>6</v>
      </c>
      <c r="G3" s="200"/>
      <c r="P3" s="17"/>
      <c r="Q3" s="97"/>
      <c r="R3" s="97"/>
      <c r="S3" s="97" t="s">
        <v>81</v>
      </c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9" t="s">
        <v>72</v>
      </c>
      <c r="B5" s="52" t="str">
        <f>VLOOKUP(A5,[1]!Tableau_cotisants,2,FALSE)</f>
        <v>SAMOYEAU/RAPHOZ</v>
      </c>
      <c r="C5" s="52" t="str">
        <f>VLOOKUP(A5,[1]!Tableau_cotisants,3,FALSE)</f>
        <v>SAMOYEAU</v>
      </c>
      <c r="D5" s="52" t="str">
        <f>VLOOKUP(A5,[1]!Tableau_cotisants,4,FALSE)</f>
        <v>Thomas</v>
      </c>
      <c r="E5" s="53">
        <f>VLOOKUP(A5,[1]!Tableau_cotisants,5,FALSE)</f>
        <v>0</v>
      </c>
      <c r="F5" s="52">
        <f>VLOOKUP(A5,[1]!Tableau_cotisants,6,FALSE)</f>
        <v>0</v>
      </c>
      <c r="G5" s="52">
        <f>VLOOKUP(A5,[1]!Tableau_cotisants,7,FALSE)</f>
        <v>1</v>
      </c>
      <c r="H5" s="54">
        <f>VLOOKUP(A5,[1]!Tableau_cotisants,8,FALSE)</f>
        <v>41862</v>
      </c>
      <c r="I5" s="54" t="str">
        <f t="shared" ref="I5:I15" si="0">DATEDIF(H5,Date_du_jour,"y") &amp; " an(s) " &amp; DATEDIF(H5,$C$2,"ym") &amp; " mois et " &amp; DATEDIF(H5,$C$2,"md") &amp; " jour(s)"</f>
        <v>4 an(s) 5 mois et 5 jour(s)</v>
      </c>
      <c r="J5" s="52" t="str">
        <f>VLOOKUP(A5,[1]!Tableau_cotisants,10,FALSE)</f>
        <v>SEGONZAC</v>
      </c>
      <c r="K5" s="53" t="str">
        <f>VLOOKUP(A5,[1]!Tableau_cotisants,11,FALSE)</f>
        <v>Champagne</v>
      </c>
      <c r="L5" s="53">
        <v>1</v>
      </c>
      <c r="M5" s="57"/>
      <c r="N5" s="68"/>
      <c r="O5" s="86"/>
      <c r="P5" s="87">
        <v>1</v>
      </c>
      <c r="Q5" s="55"/>
      <c r="R5" s="55"/>
      <c r="S5" s="55"/>
    </row>
    <row r="6" spans="1:19" ht="12" customHeight="1">
      <c r="A6" s="109" t="s">
        <v>73</v>
      </c>
      <c r="B6" s="52" t="str">
        <f>VLOOKUP(A6,[1]!Tableau_cotisants,2,FALSE)</f>
        <v>SAMOYEAU/RAPHOZ</v>
      </c>
      <c r="C6" s="52" t="str">
        <f>VLOOKUP(A6,[1]!Tableau_cotisants,3,FALSE)</f>
        <v>RAPHOZ</v>
      </c>
      <c r="D6" s="52" t="str">
        <f>VLOOKUP(A6,[1]!Tableau_cotisants,4,FALSE)</f>
        <v>Martine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18714</v>
      </c>
      <c r="I6" s="54" t="str">
        <f t="shared" si="0"/>
        <v>67 an(s) 9 mois et 20 jour(s)</v>
      </c>
      <c r="J6" s="52" t="str">
        <f>VLOOKUP(A6,[1]!Tableau_cotisants,10,FALSE)</f>
        <v>SEGONZAC</v>
      </c>
      <c r="K6" s="53" t="str">
        <f>VLOOKUP(A6,[1]!Tableau_cotisants,11,FALSE)</f>
        <v>Champagne</v>
      </c>
      <c r="L6" s="53">
        <v>1</v>
      </c>
      <c r="M6" s="57"/>
      <c r="N6" s="68"/>
      <c r="O6" s="86"/>
      <c r="P6" s="87">
        <v>1</v>
      </c>
      <c r="Q6" s="55"/>
      <c r="R6" s="55"/>
      <c r="S6" s="55"/>
    </row>
    <row r="7" spans="1:19" ht="12" customHeight="1">
      <c r="A7" s="120" t="s">
        <v>130</v>
      </c>
      <c r="B7" s="52" t="str">
        <f>VLOOKUP(A7,[1]!Tableau_cotisants,2,FALSE)</f>
        <v>DESSET</v>
      </c>
      <c r="C7" s="52" t="str">
        <f>VLOOKUP(A7,[1]!Tableau_cotisants,3,FALSE)</f>
        <v>DESSET</v>
      </c>
      <c r="D7" s="52" t="str">
        <f>VLOOKUP(A7,[1]!Tableau_cotisants,4,FALSE)</f>
        <v>Yelena</v>
      </c>
      <c r="E7" s="53">
        <f>VLOOKUP(A7,[1]!Tableau_cotisants,5,FALSE)</f>
        <v>0</v>
      </c>
      <c r="F7" s="52">
        <f>VLOOKUP(A7,[1]!Tableau_cotisants,6,FALSE)</f>
        <v>1</v>
      </c>
      <c r="G7" s="52">
        <f>VLOOKUP(A7,[1]!Tableau_cotisants,7,FALSE)</f>
        <v>0</v>
      </c>
      <c r="H7" s="54">
        <f>VLOOKUP(A7,[1]!Tableau_cotisants,8,FALSE)</f>
        <v>40596</v>
      </c>
      <c r="I7" s="54" t="str">
        <f t="shared" si="0"/>
        <v>7 an(s) 10 mois et 25 jour(s)</v>
      </c>
      <c r="J7" s="52" t="str">
        <f>VLOOKUP(A7,[1]!Tableau_cotisants,10,FALSE)</f>
        <v>BOURG-CHARENTE</v>
      </c>
      <c r="K7" s="53" t="str">
        <f>VLOOKUP(A7,[1]!Tableau_cotisants,11,FALSE)</f>
        <v>Jarnac</v>
      </c>
      <c r="L7" s="53">
        <v>1</v>
      </c>
      <c r="M7" s="57"/>
      <c r="N7" s="68"/>
      <c r="O7" s="86"/>
      <c r="P7" s="87">
        <v>1</v>
      </c>
      <c r="Q7" s="55"/>
      <c r="R7" s="55"/>
      <c r="S7" s="55"/>
    </row>
    <row r="8" spans="1:19" ht="12" customHeight="1">
      <c r="A8" s="120" t="s">
        <v>131</v>
      </c>
      <c r="B8" s="52" t="str">
        <f>VLOOKUP(A8,[1]!Tableau_cotisants,2,FALSE)</f>
        <v>DESSET</v>
      </c>
      <c r="C8" s="52" t="str">
        <f>VLOOKUP(A8,[1]!Tableau_cotisants,3,FALSE)</f>
        <v>MARTINEZ PONCE</v>
      </c>
      <c r="D8" s="52" t="str">
        <f>VLOOKUP(A8,[1]!Tableau_cotisants,4,FALSE)</f>
        <v>Valentina</v>
      </c>
      <c r="E8" s="53">
        <f>VLOOKUP(A8,[1]!Tableau_cotisants,5,FALSE)</f>
        <v>0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36516</v>
      </c>
      <c r="I8" s="54" t="str">
        <f t="shared" si="0"/>
        <v>19 an(s) 0 mois et 25 jour(s)</v>
      </c>
      <c r="J8" s="52" t="str">
        <f>VLOOKUP(A8,[1]!Tableau_cotisants,10,FALSE)</f>
        <v>BOURG-CHARENTE</v>
      </c>
      <c r="K8" s="53" t="str">
        <f>VLOOKUP(A8,[1]!Tableau_cotisants,11,FALSE)</f>
        <v>Jarnac</v>
      </c>
      <c r="L8" s="53">
        <v>1</v>
      </c>
      <c r="M8" s="57"/>
      <c r="N8" s="68"/>
      <c r="O8" s="86"/>
      <c r="P8" s="87">
        <v>1</v>
      </c>
      <c r="Q8" s="55"/>
      <c r="R8" s="55"/>
      <c r="S8" s="55"/>
    </row>
    <row r="9" spans="1:19" ht="12" customHeight="1">
      <c r="A9" s="121" t="s">
        <v>77</v>
      </c>
      <c r="B9" s="52" t="str">
        <f>VLOOKUP(A9,[1]!Tableau_cotisants,2,FALSE)</f>
        <v>DEGRIS</v>
      </c>
      <c r="C9" s="52" t="str">
        <f>VLOOKUP(A9,[1]!Tableau_cotisants,3,FALSE)</f>
        <v>DEGRIS</v>
      </c>
      <c r="D9" s="52" t="str">
        <f>VLOOKUP(A9,[1]!Tableau_cotisants,4,FALSE)</f>
        <v>Laura</v>
      </c>
      <c r="E9" s="53">
        <f>VLOOKUP(A9,[1]!Tableau_cotisants,5,FALSE)</f>
        <v>1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32556</v>
      </c>
      <c r="I9" s="54" t="str">
        <f t="shared" si="0"/>
        <v>29 an(s) 10 mois et 30 jour(s)</v>
      </c>
      <c r="J9" s="52" t="str">
        <f>VLOOKUP(A9,[1]!Tableau_cotisants,10,FALSE)</f>
        <v>SALLES D'ANGLES</v>
      </c>
      <c r="K9" s="53" t="str">
        <f>VLOOKUP(A9,[1]!Tableau_cotisants,11,FALSE)</f>
        <v>Champagne</v>
      </c>
      <c r="L9" s="53">
        <v>1</v>
      </c>
      <c r="M9" s="57"/>
      <c r="N9" s="68">
        <v>1</v>
      </c>
      <c r="O9" s="86"/>
      <c r="P9" s="87"/>
      <c r="Q9" s="55"/>
      <c r="R9" s="55"/>
      <c r="S9" s="55"/>
    </row>
    <row r="10" spans="1:19" ht="12" customHeight="1">
      <c r="A10" s="121" t="s">
        <v>79</v>
      </c>
      <c r="B10" s="52" t="str">
        <f>VLOOKUP(A10,[1]!Tableau_cotisants,2,FALSE)</f>
        <v>DEGRIS</v>
      </c>
      <c r="C10" s="52" t="str">
        <f>VLOOKUP(A10,[1]!Tableau_cotisants,3,FALSE)</f>
        <v>GUYOT</v>
      </c>
      <c r="D10" s="52" t="str">
        <f>VLOOKUP(A10,[1]!Tableau_cotisants,4,FALSE)</f>
        <v>Léanne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41202</v>
      </c>
      <c r="I10" s="54" t="str">
        <f t="shared" si="0"/>
        <v>6 an(s) 2 mois et 27 jour(s)</v>
      </c>
      <c r="J10" s="52" t="str">
        <f>VLOOKUP(A10,[1]!Tableau_cotisants,10,FALSE)</f>
        <v>SALLES D'ANGLES</v>
      </c>
      <c r="K10" s="53" t="str">
        <f>VLOOKUP(A10,[1]!Tableau_cotisants,11,FALSE)</f>
        <v>Champagne</v>
      </c>
      <c r="L10" s="85">
        <v>1</v>
      </c>
      <c r="M10" s="57"/>
      <c r="N10" s="68">
        <v>1</v>
      </c>
      <c r="O10" s="86"/>
      <c r="P10" s="87"/>
      <c r="Q10" s="55"/>
      <c r="R10" s="55"/>
      <c r="S10" s="55"/>
    </row>
    <row r="11" spans="1:19" ht="12" customHeight="1">
      <c r="A11" s="121" t="s">
        <v>78</v>
      </c>
      <c r="B11" s="52" t="str">
        <f>VLOOKUP(A11,[1]!Tableau_cotisants,2,FALSE)</f>
        <v>DEGRIS</v>
      </c>
      <c r="C11" s="52" t="str">
        <f>VLOOKUP(A11,[1]!Tableau_cotisants,3,FALSE)</f>
        <v>GUYOT</v>
      </c>
      <c r="D11" s="52" t="str">
        <f>VLOOKUP(A11,[1]!Tableau_cotisants,4,FALSE)</f>
        <v>Nathan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42354</v>
      </c>
      <c r="I11" s="54" t="str">
        <f t="shared" si="0"/>
        <v>3 an(s) 1 mois et 0 jour(s)</v>
      </c>
      <c r="J11" s="52" t="str">
        <f>VLOOKUP(A11,[1]!Tableau_cotisants,10,FALSE)</f>
        <v>SALLES D'ANGLES</v>
      </c>
      <c r="K11" s="53" t="str">
        <f>VLOOKUP(A11,[1]!Tableau_cotisants,11,FALSE)</f>
        <v>Champagne</v>
      </c>
      <c r="L11" s="85">
        <v>1</v>
      </c>
      <c r="M11" s="57"/>
      <c r="N11" s="68">
        <v>1</v>
      </c>
      <c r="O11" s="86"/>
      <c r="P11" s="87"/>
      <c r="Q11" s="55"/>
      <c r="R11" s="55"/>
      <c r="S11" s="55"/>
    </row>
    <row r="12" spans="1:19" ht="12" customHeight="1">
      <c r="A12" s="121" t="s">
        <v>132</v>
      </c>
      <c r="B12" s="52" t="str">
        <f>VLOOKUP(A12,[1]!Tableau_cotisants,2,FALSE)</f>
        <v>DEGRIS</v>
      </c>
      <c r="C12" s="52" t="str">
        <f>VLOOKUP(A12,[1]!Tableau_cotisants,3,FALSE)</f>
        <v>GABORIT TRIJOL</v>
      </c>
      <c r="D12" s="52" t="str">
        <f>VLOOKUP(A12,[1]!Tableau_cotisants,4,FALSE)</f>
        <v>Marceau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43002</v>
      </c>
      <c r="I12" s="54" t="str">
        <f t="shared" si="0"/>
        <v>1 an(s) 3 mois et 23 jour(s)</v>
      </c>
      <c r="J12" s="52" t="str">
        <f>VLOOKUP(A12,[1]!Tableau_cotisants,10,FALSE)</f>
        <v>SALLES D'ANGLES</v>
      </c>
      <c r="K12" s="53" t="str">
        <f>VLOOKUP(A12,[1]!Tableau_cotisants,11,FALSE)</f>
        <v>Champagne</v>
      </c>
      <c r="L12" s="85">
        <v>1</v>
      </c>
      <c r="M12" s="57"/>
      <c r="N12" s="68">
        <v>1</v>
      </c>
      <c r="O12" s="86"/>
      <c r="P12" s="87"/>
      <c r="Q12" s="55"/>
      <c r="R12" s="55"/>
      <c r="S12" s="55"/>
    </row>
    <row r="13" spans="1:19" ht="12" customHeight="1">
      <c r="A13" s="121" t="s">
        <v>133</v>
      </c>
      <c r="B13" s="52" t="str">
        <f>VLOOKUP(A13,[1]!Tableau_cotisants,2,FALSE)</f>
        <v>DEGRIS</v>
      </c>
      <c r="C13" s="52" t="str">
        <f>VLOOKUP(A13,[1]!Tableau_cotisants,3,FALSE)</f>
        <v>Enfant gardé</v>
      </c>
      <c r="D13" s="52" t="str">
        <f>VLOOKUP(A13,[1]!Tableau_cotisants,4,FALSE)</f>
        <v>Aëlynn</v>
      </c>
      <c r="E13" s="53">
        <f>VLOOKUP(A13,[1]!Tableau_cotisants,5,FALSE)</f>
        <v>1</v>
      </c>
      <c r="F13" s="52">
        <f>VLOOKUP(A13,[1]!Tableau_cotisants,6,FALSE)</f>
        <v>1</v>
      </c>
      <c r="G13" s="52">
        <f>VLOOKUP(A13,[1]!Tableau_cotisants,7,FALSE)</f>
        <v>0</v>
      </c>
      <c r="H13" s="54">
        <f>VLOOKUP(A13,[1]!Tableau_cotisants,8,FALSE)</f>
        <v>43313</v>
      </c>
      <c r="I13" s="54" t="str">
        <f t="shared" si="0"/>
        <v>0 an(s) 5 mois et 15 jour(s)</v>
      </c>
      <c r="J13" s="52" t="str">
        <f>VLOOKUP(A13,[1]!Tableau_cotisants,10,FALSE)</f>
        <v>SALLES D'ANGLES</v>
      </c>
      <c r="K13" s="53" t="str">
        <f>VLOOKUP(A13,[1]!Tableau_cotisants,11,FALSE)</f>
        <v>Champagne</v>
      </c>
      <c r="L13" s="85">
        <v>1</v>
      </c>
      <c r="M13" s="57"/>
      <c r="N13" s="68">
        <v>1</v>
      </c>
      <c r="O13" s="86"/>
      <c r="P13" s="87"/>
      <c r="Q13" s="55"/>
      <c r="R13" s="55"/>
      <c r="S13" s="55"/>
    </row>
    <row r="14" spans="1:19" ht="12" customHeight="1">
      <c r="A14" s="122" t="s">
        <v>134</v>
      </c>
      <c r="B14" s="52" t="str">
        <f>VLOOKUP(A14,[1]!Tableau_cotisants,2,FALSE)</f>
        <v>RATIE/LONJARD</v>
      </c>
      <c r="C14" s="52" t="str">
        <f>VLOOKUP(A14,[1]!Tableau_cotisants,3,FALSE)</f>
        <v>LONJARD</v>
      </c>
      <c r="D14" s="52" t="str">
        <f>VLOOKUP(A14,[1]!Tableau_cotisants,4,FALSE)</f>
        <v>Nathalie</v>
      </c>
      <c r="E14" s="53">
        <f>VLOOKUP(A14,[1]!Tableau_cotisants,5,FALSE)</f>
        <v>0</v>
      </c>
      <c r="F14" s="52">
        <f>VLOOKUP(A14,[1]!Tableau_cotisants,6,FALSE)</f>
        <v>1</v>
      </c>
      <c r="G14" s="52">
        <f>VLOOKUP(A14,[1]!Tableau_cotisants,7,FALSE)</f>
        <v>0</v>
      </c>
      <c r="H14" s="54">
        <f>VLOOKUP(A14,[1]!Tableau_cotisants,8,FALSE)</f>
        <v>23531</v>
      </c>
      <c r="I14" s="54" t="str">
        <f t="shared" si="0"/>
        <v>54 an(s) 7 mois et 13 jour(s)</v>
      </c>
      <c r="J14" s="52" t="str">
        <f>VLOOKUP(A14,[1]!Tableau_cotisants,10,FALSE)</f>
        <v>SEGONZAC</v>
      </c>
      <c r="K14" s="53" t="str">
        <f>VLOOKUP(A14,[1]!Tableau_cotisants,11,FALSE)</f>
        <v>Champagne</v>
      </c>
      <c r="L14" s="85">
        <v>1</v>
      </c>
      <c r="M14" s="57"/>
      <c r="N14" s="68"/>
      <c r="O14" s="86">
        <v>1</v>
      </c>
      <c r="P14" s="87"/>
      <c r="Q14" s="55"/>
      <c r="R14" s="55"/>
      <c r="S14" s="55"/>
    </row>
    <row r="15" spans="1:19" ht="12" customHeight="1">
      <c r="A15" s="122" t="s">
        <v>135</v>
      </c>
      <c r="B15" s="52" t="str">
        <f>VLOOKUP(A15,[1]!Tableau_cotisants,2,FALSE)</f>
        <v>RATIE/LONJARD</v>
      </c>
      <c r="C15" s="52" t="str">
        <f>VLOOKUP(A15,[1]!Tableau_cotisants,3,FALSE)</f>
        <v>RATIE</v>
      </c>
      <c r="D15" s="52" t="str">
        <f>VLOOKUP(A15,[1]!Tableau_cotisants,4,FALSE)</f>
        <v>Nathan</v>
      </c>
      <c r="E15" s="53">
        <f>VLOOKUP(A15,[1]!Tableau_cotisants,5,FALSE)</f>
        <v>0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40448</v>
      </c>
      <c r="I15" s="54" t="str">
        <f t="shared" si="0"/>
        <v>8 an(s) 3 mois et 20 jour(s)</v>
      </c>
      <c r="J15" s="52" t="str">
        <f>VLOOKUP(A15,[1]!Tableau_cotisants,10,FALSE)</f>
        <v>SEGONZAC</v>
      </c>
      <c r="K15" s="53" t="str">
        <f>VLOOKUP(A15,[1]!Tableau_cotisants,11,FALSE)</f>
        <v>Champagne</v>
      </c>
      <c r="L15" s="85">
        <v>1</v>
      </c>
      <c r="M15" s="57"/>
      <c r="N15" s="68"/>
      <c r="O15" s="86">
        <v>1</v>
      </c>
      <c r="P15" s="87"/>
      <c r="Q15" s="55"/>
      <c r="R15" s="55"/>
      <c r="S15" s="55"/>
    </row>
    <row r="16" spans="1:19" ht="12" customHeight="1">
      <c r="A16" s="100"/>
      <c r="B16" s="125" t="s">
        <v>136</v>
      </c>
      <c r="C16" s="124"/>
      <c r="D16" s="52"/>
      <c r="E16" s="53"/>
      <c r="F16" s="52"/>
      <c r="G16" s="52"/>
      <c r="H16" s="54"/>
      <c r="I16" s="54"/>
      <c r="J16" s="52"/>
      <c r="K16" s="53"/>
      <c r="L16" s="85"/>
      <c r="M16" s="57"/>
      <c r="N16" s="68"/>
      <c r="O16" s="86"/>
      <c r="P16" s="87"/>
      <c r="Q16" s="55"/>
      <c r="R16" s="55"/>
      <c r="S16" s="55"/>
    </row>
    <row r="17" spans="1:19" ht="12" customHeight="1">
      <c r="A17" s="110" t="s">
        <v>120</v>
      </c>
      <c r="B17" s="56" t="str">
        <f>VLOOKUP(A17,[1]!Tableau_cotisants,2,FALSE)</f>
        <v>PETIT</v>
      </c>
      <c r="C17" s="56" t="str">
        <f>VLOOKUP(A17,[1]!Tableau_cotisants,3,FALSE)</f>
        <v>PETIT</v>
      </c>
      <c r="D17" s="56" t="str">
        <f>VLOOKUP(A17,[1]!Tableau_cotisants,4,FALSE)</f>
        <v>Stéphanie</v>
      </c>
      <c r="E17" s="57">
        <f>VLOOKUP(A17,[1]!Tableau_cotisants,5,FALSE)</f>
        <v>0</v>
      </c>
      <c r="F17" s="56">
        <f>VLOOKUP(A17,[1]!Tableau_cotisants,6,FALSE)</f>
        <v>1</v>
      </c>
      <c r="G17" s="56">
        <f>VLOOKUP(A17,[1]!Tableau_cotisants,7,FALSE)</f>
        <v>0</v>
      </c>
      <c r="H17" s="58">
        <f>VLOOKUP(A17,[1]!Tableau_cotisants,8,FALSE)</f>
        <v>30411</v>
      </c>
      <c r="I17" s="58" t="str">
        <f>DATEDIF(H17,Date_du_jour,"y") &amp; " an(s) " &amp; DATEDIF(H17,$C$2,"ym") &amp; " mois et " &amp; DATEDIF(H17,$C$2,"md") &amp; " jour(s)"</f>
        <v>35 an(s) 9 mois et 11 jour(s)</v>
      </c>
      <c r="J17" s="56" t="str">
        <f>VLOOKUP(A17,[1]!Tableau_cotisants,10,FALSE)</f>
        <v>Saint Fort</v>
      </c>
      <c r="K17" s="57" t="str">
        <f>VLOOKUP(A17,[1]!Tableau_cotisants,11,FALSE)</f>
        <v>Champagne</v>
      </c>
      <c r="L17" s="99"/>
      <c r="M17" s="57">
        <v>1</v>
      </c>
      <c r="N17" s="68">
        <v>1</v>
      </c>
      <c r="O17" s="86"/>
      <c r="P17" s="87"/>
      <c r="Q17" s="55"/>
      <c r="R17" s="55"/>
      <c r="S17" s="55"/>
    </row>
    <row r="18" spans="1:19" ht="12" customHeight="1">
      <c r="A18" s="110" t="s">
        <v>121</v>
      </c>
      <c r="B18" s="56" t="str">
        <f>VLOOKUP(A18,[1]!Tableau_cotisants,2,FALSE)</f>
        <v>PETIT</v>
      </c>
      <c r="C18" s="56" t="str">
        <f>VLOOKUP(A18,[1]!Tableau_cotisants,3,FALSE)</f>
        <v>PETIT</v>
      </c>
      <c r="D18" s="56" t="str">
        <f>VLOOKUP(A18,[1]!Tableau_cotisants,4,FALSE)</f>
        <v>Priscillia</v>
      </c>
      <c r="E18" s="57">
        <f>VLOOKUP(A18,[1]!Tableau_cotisants,5,FALSE)</f>
        <v>0</v>
      </c>
      <c r="F18" s="56">
        <f>VLOOKUP(A18,[1]!Tableau_cotisants,6,FALSE)</f>
        <v>1</v>
      </c>
      <c r="G18" s="56">
        <f>VLOOKUP(A18,[1]!Tableau_cotisants,7,FALSE)</f>
        <v>0</v>
      </c>
      <c r="H18" s="58">
        <f>VLOOKUP(A18,[1]!Tableau_cotisants,8,FALSE)</f>
        <v>39648</v>
      </c>
      <c r="I18" s="58" t="str">
        <f t="shared" ref="I18:I27" si="1">DATEDIF(H18,Date_du_jour,"y") &amp; " an(s) " &amp; DATEDIF(H18,$C$2,"ym") &amp; " mois et " &amp; DATEDIF(H18,$C$2,"md") &amp; " jour(s)"</f>
        <v>10 an(s) 5 mois et 28 jour(s)</v>
      </c>
      <c r="J18" s="56" t="str">
        <f>VLOOKUP(A18,[1]!Tableau_cotisants,10,FALSE)</f>
        <v>Saint Fort</v>
      </c>
      <c r="K18" s="57" t="str">
        <f>VLOOKUP(A18,[1]!Tableau_cotisants,11,FALSE)</f>
        <v>Champagne</v>
      </c>
      <c r="L18" s="99"/>
      <c r="M18" s="57">
        <v>1</v>
      </c>
      <c r="N18" s="68">
        <v>1</v>
      </c>
      <c r="O18" s="86"/>
      <c r="P18" s="87"/>
      <c r="Q18" s="55"/>
      <c r="R18" s="55"/>
      <c r="S18" s="55"/>
    </row>
    <row r="19" spans="1:19" ht="12" customHeight="1">
      <c r="A19" s="113" t="s">
        <v>113</v>
      </c>
      <c r="B19" s="56" t="str">
        <f>VLOOKUP(A19,[1]!Tableau_cotisants,2,FALSE)</f>
        <v>Barett De Coutures</v>
      </c>
      <c r="C19" s="56" t="str">
        <f>VLOOKUP(A19,[1]!Tableau_cotisants,3,FALSE)</f>
        <v>Barett De Coutures</v>
      </c>
      <c r="D19" s="56" t="str">
        <f>VLOOKUP(A19,[1]!Tableau_cotisants,4,FALSE)</f>
        <v>Sophie</v>
      </c>
      <c r="E19" s="57">
        <f>VLOOKUP(A19,[1]!Tableau_cotisants,5,FALSE)</f>
        <v>0</v>
      </c>
      <c r="F19" s="56">
        <f>VLOOKUP(A19,[1]!Tableau_cotisants,6,FALSE)</f>
        <v>1</v>
      </c>
      <c r="G19" s="56">
        <f>VLOOKUP(A19,[1]!Tableau_cotisants,7,FALSE)</f>
        <v>0</v>
      </c>
      <c r="H19" s="58">
        <f>VLOOKUP(A19,[1]!Tableau_cotisants,8,FALSE)</f>
        <v>26736</v>
      </c>
      <c r="I19" s="58" t="str">
        <f t="shared" si="1"/>
        <v>45 an(s) 10 mois et 3 jour(s)</v>
      </c>
      <c r="J19" s="56" t="str">
        <f>VLOOKUP(A19,[1]!Tableau_cotisants,10,FALSE)</f>
        <v>Bourg Charente</v>
      </c>
      <c r="K19" s="57" t="str">
        <f>VLOOKUP(A19,[1]!Tableau_cotisants,11,FALSE)</f>
        <v>Jarnac</v>
      </c>
      <c r="L19" s="99"/>
      <c r="M19" s="57">
        <v>1</v>
      </c>
      <c r="N19" s="68">
        <v>1</v>
      </c>
      <c r="O19" s="86"/>
      <c r="P19" s="87"/>
      <c r="Q19" s="55"/>
      <c r="R19" s="55"/>
      <c r="S19" s="55"/>
    </row>
    <row r="20" spans="1:19" ht="12" customHeight="1">
      <c r="A20" s="113" t="s">
        <v>114</v>
      </c>
      <c r="B20" s="56" t="str">
        <f>VLOOKUP(A20,[1]!Tableau_cotisants,2,FALSE)</f>
        <v>Barett De Coutures</v>
      </c>
      <c r="C20" s="56" t="str">
        <f>VLOOKUP(A20,[1]!Tableau_cotisants,3,FALSE)</f>
        <v>Barett De Coutures</v>
      </c>
      <c r="D20" s="56" t="str">
        <f>VLOOKUP(A20,[1]!Tableau_cotisants,4,FALSE)</f>
        <v>Louise</v>
      </c>
      <c r="E20" s="57">
        <f>VLOOKUP(A20,[1]!Tableau_cotisants,5,FALSE)</f>
        <v>0</v>
      </c>
      <c r="F20" s="56">
        <f>VLOOKUP(A20,[1]!Tableau_cotisants,6,FALSE)</f>
        <v>1</v>
      </c>
      <c r="G20" s="56">
        <f>VLOOKUP(A20,[1]!Tableau_cotisants,7,FALSE)</f>
        <v>0</v>
      </c>
      <c r="H20" s="58">
        <f>VLOOKUP(A20,[1]!Tableau_cotisants,8,FALSE)</f>
        <v>41504</v>
      </c>
      <c r="I20" s="58" t="str">
        <f t="shared" si="1"/>
        <v>5 an(s) 4 mois et 29 jour(s)</v>
      </c>
      <c r="J20" s="56" t="str">
        <f>VLOOKUP(A20,[1]!Tableau_cotisants,10,FALSE)</f>
        <v>Bourg Charente</v>
      </c>
      <c r="K20" s="57" t="str">
        <f>VLOOKUP(A20,[1]!Tableau_cotisants,11,FALSE)</f>
        <v>Jarnac</v>
      </c>
      <c r="L20" s="99"/>
      <c r="M20" s="57">
        <v>1</v>
      </c>
      <c r="N20" s="68">
        <v>1</v>
      </c>
      <c r="O20" s="86"/>
      <c r="P20" s="87"/>
      <c r="Q20" s="55"/>
      <c r="R20" s="55"/>
      <c r="S20" s="55"/>
    </row>
    <row r="21" spans="1:19" ht="12" customHeight="1">
      <c r="A21" s="108" t="s">
        <v>122</v>
      </c>
      <c r="B21" s="56" t="str">
        <f>VLOOKUP(A21,[1]!Tableau_cotisants,2,FALSE)</f>
        <v>MARY/SYLVESTRE</v>
      </c>
      <c r="C21" s="56" t="str">
        <f>VLOOKUP(A21,[1]!Tableau_cotisants,3,FALSE)</f>
        <v>SILVESTRE</v>
      </c>
      <c r="D21" s="56" t="str">
        <f>VLOOKUP(A21,[1]!Tableau_cotisants,4,FALSE)</f>
        <v>Aurélie</v>
      </c>
      <c r="E21" s="57">
        <f>VLOOKUP(A21,[1]!Tableau_cotisants,5,FALSE)</f>
        <v>0</v>
      </c>
      <c r="F21" s="56">
        <f>VLOOKUP(A21,[1]!Tableau_cotisants,6,FALSE)</f>
        <v>1</v>
      </c>
      <c r="G21" s="56">
        <f>VLOOKUP(A21,[1]!Tableau_cotisants,7,FALSE)</f>
        <v>0</v>
      </c>
      <c r="H21" s="58">
        <f>VLOOKUP(A21,[1]!Tableau_cotisants,8,FALSE)</f>
        <v>30890</v>
      </c>
      <c r="I21" s="58" t="str">
        <f t="shared" si="1"/>
        <v>34 an(s) 5 mois et 20 jour(s)</v>
      </c>
      <c r="J21" s="56" t="str">
        <f>VLOOKUP(A21,[1]!Tableau_cotisants,10,FALSE)</f>
        <v>Juillac</v>
      </c>
      <c r="K21" s="57" t="str">
        <f>VLOOKUP(A21,[1]!Tableau_cotisants,11,FALSE)</f>
        <v>Champagne</v>
      </c>
      <c r="L21" s="99"/>
      <c r="M21" s="57">
        <v>1</v>
      </c>
      <c r="N21" s="68"/>
      <c r="O21" s="86"/>
      <c r="P21" s="87">
        <v>1</v>
      </c>
      <c r="Q21" s="55"/>
      <c r="R21" s="55"/>
      <c r="S21" s="55"/>
    </row>
    <row r="22" spans="1:19" ht="12" customHeight="1">
      <c r="A22" s="108" t="s">
        <v>123</v>
      </c>
      <c r="B22" s="56" t="str">
        <f>VLOOKUP(A22,[1]!Tableau_cotisants,2,FALSE)</f>
        <v>MARY/SYLVESTRE</v>
      </c>
      <c r="C22" s="56" t="str">
        <f>VLOOKUP(A22,[1]!Tableau_cotisants,3,FALSE)</f>
        <v>MARY</v>
      </c>
      <c r="D22" s="56" t="str">
        <f>VLOOKUP(A22,[1]!Tableau_cotisants,4,FALSE)</f>
        <v>Elouan</v>
      </c>
      <c r="E22" s="57">
        <f>VLOOKUP(A22,[1]!Tableau_cotisants,5,FALSE)</f>
        <v>0</v>
      </c>
      <c r="F22" s="56">
        <f>VLOOKUP(A22,[1]!Tableau_cotisants,6,FALSE)</f>
        <v>0</v>
      </c>
      <c r="G22" s="56">
        <f>VLOOKUP(A22,[1]!Tableau_cotisants,7,FALSE)</f>
        <v>1</v>
      </c>
      <c r="H22" s="58">
        <f>VLOOKUP(A22,[1]!Tableau_cotisants,8,FALSE)</f>
        <v>39466</v>
      </c>
      <c r="I22" s="58" t="str">
        <f t="shared" si="1"/>
        <v>10 an(s) 11 mois et 28 jour(s)</v>
      </c>
      <c r="J22" s="56" t="str">
        <f>VLOOKUP(A22,[1]!Tableau_cotisants,10,FALSE)</f>
        <v>Juillac</v>
      </c>
      <c r="K22" s="57" t="str">
        <f>VLOOKUP(A22,[1]!Tableau_cotisants,11,FALSE)</f>
        <v>Champagne</v>
      </c>
      <c r="L22" s="99"/>
      <c r="M22" s="57">
        <v>1</v>
      </c>
      <c r="N22" s="68"/>
      <c r="O22" s="86"/>
      <c r="P22" s="87">
        <v>1</v>
      </c>
      <c r="Q22" s="55"/>
      <c r="R22" s="55"/>
      <c r="S22" s="55"/>
    </row>
    <row r="23" spans="1:19" ht="12" customHeight="1">
      <c r="A23" s="108" t="s">
        <v>124</v>
      </c>
      <c r="B23" s="56" t="str">
        <f>VLOOKUP(A23,[1]!Tableau_cotisants,2,FALSE)</f>
        <v>MARY/SYLVESTRE</v>
      </c>
      <c r="C23" s="56" t="str">
        <f>VLOOKUP(A23,[1]!Tableau_cotisants,3,FALSE)</f>
        <v>MARY</v>
      </c>
      <c r="D23" s="56" t="str">
        <f>VLOOKUP(A23,[1]!Tableau_cotisants,4,FALSE)</f>
        <v>Jules</v>
      </c>
      <c r="E23" s="57">
        <f>VLOOKUP(A23,[1]!Tableau_cotisants,5,FALSE)</f>
        <v>0</v>
      </c>
      <c r="F23" s="56">
        <f>VLOOKUP(A23,[1]!Tableau_cotisants,6,FALSE)</f>
        <v>0</v>
      </c>
      <c r="G23" s="56">
        <f>VLOOKUP(A23,[1]!Tableau_cotisants,7,FALSE)</f>
        <v>1</v>
      </c>
      <c r="H23" s="58">
        <f>VLOOKUP(A23,[1]!Tableau_cotisants,8,FALSE)</f>
        <v>40806</v>
      </c>
      <c r="I23" s="58" t="str">
        <f t="shared" si="1"/>
        <v>7 an(s) 3 mois et 27 jour(s)</v>
      </c>
      <c r="J23" s="56" t="str">
        <f>VLOOKUP(A23,[1]!Tableau_cotisants,10,FALSE)</f>
        <v>Juillac</v>
      </c>
      <c r="K23" s="57" t="str">
        <f>VLOOKUP(A23,[1]!Tableau_cotisants,11,FALSE)</f>
        <v>Champagne</v>
      </c>
      <c r="L23" s="99"/>
      <c r="M23" s="57">
        <v>1</v>
      </c>
      <c r="N23" s="68"/>
      <c r="O23" s="86"/>
      <c r="P23" s="87">
        <v>1</v>
      </c>
      <c r="Q23" s="55"/>
      <c r="R23" s="55"/>
      <c r="S23" s="55"/>
    </row>
    <row r="24" spans="1:19" ht="12" customHeight="1">
      <c r="A24" s="117" t="s">
        <v>125</v>
      </c>
      <c r="B24" s="56" t="str">
        <f>VLOOKUP(A24,[1]!Tableau_cotisants,2,FALSE)</f>
        <v>SANSAUD/MOREAU</v>
      </c>
      <c r="C24" s="56" t="str">
        <f>VLOOKUP(A24,[1]!Tableau_cotisants,3,FALSE)</f>
        <v>MOREAU</v>
      </c>
      <c r="D24" s="56" t="str">
        <f>VLOOKUP(A24,[1]!Tableau_cotisants,4,FALSE)</f>
        <v>Emmanuelle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29187</v>
      </c>
      <c r="I24" s="58" t="str">
        <f t="shared" si="1"/>
        <v>39 an(s) 1 mois et 19 jour(s)</v>
      </c>
      <c r="J24" s="56" t="str">
        <f>VLOOKUP(A24,[1]!Tableau_cotisants,10,FALSE)</f>
        <v>SEGONZAC</v>
      </c>
      <c r="K24" s="57" t="str">
        <f>VLOOKUP(A24,[1]!Tableau_cotisants,11,FALSE)</f>
        <v>Champagne</v>
      </c>
      <c r="L24" s="99"/>
      <c r="M24" s="57">
        <v>1</v>
      </c>
      <c r="N24" s="68"/>
      <c r="O24" s="86"/>
      <c r="P24" s="87">
        <v>1</v>
      </c>
      <c r="Q24" s="55"/>
      <c r="R24" s="55"/>
      <c r="S24" s="55"/>
    </row>
    <row r="25" spans="1:19" ht="12" customHeight="1">
      <c r="A25" s="117" t="s">
        <v>126</v>
      </c>
      <c r="B25" s="56" t="str">
        <f>VLOOKUP(A25,[1]!Tableau_cotisants,2,FALSE)</f>
        <v>SANSAUD/MOREAU</v>
      </c>
      <c r="C25" s="56" t="str">
        <f>VLOOKUP(A25,[1]!Tableau_cotisants,3,FALSE)</f>
        <v>SANSAUD</v>
      </c>
      <c r="D25" s="56" t="str">
        <f>VLOOKUP(A25,[1]!Tableau_cotisants,4,FALSE)</f>
        <v>Ethan</v>
      </c>
      <c r="E25" s="57">
        <f>VLOOKUP(A25,[1]!Tableau_cotisants,5,FALSE)</f>
        <v>0</v>
      </c>
      <c r="F25" s="56">
        <f>VLOOKUP(A25,[1]!Tableau_cotisants,6,FALSE)</f>
        <v>0</v>
      </c>
      <c r="G25" s="56">
        <f>VLOOKUP(A25,[1]!Tableau_cotisants,7,FALSE)</f>
        <v>1</v>
      </c>
      <c r="H25" s="58">
        <f>VLOOKUP(A25,[1]!Tableau_cotisants,8,FALSE)</f>
        <v>41015</v>
      </c>
      <c r="I25" s="58" t="str">
        <f t="shared" si="1"/>
        <v>6 an(s) 9 mois et 0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99"/>
      <c r="M25" s="57">
        <v>1</v>
      </c>
      <c r="N25" s="68"/>
      <c r="O25" s="86"/>
      <c r="P25" s="87">
        <v>1</v>
      </c>
      <c r="Q25" s="55"/>
      <c r="R25" s="55"/>
      <c r="S25" s="55"/>
    </row>
    <row r="26" spans="1:19" ht="12" customHeight="1">
      <c r="A26" s="117" t="s">
        <v>127</v>
      </c>
      <c r="B26" s="56" t="str">
        <f>VLOOKUP(A26,[1]!Tableau_cotisants,2,FALSE)</f>
        <v>SANSAUD/MOREAU</v>
      </c>
      <c r="C26" s="56" t="str">
        <f>VLOOKUP(A26,[1]!Tableau_cotisants,3,FALSE)</f>
        <v>SANSAUD</v>
      </c>
      <c r="D26" s="56" t="str">
        <f>VLOOKUP(A26,[1]!Tableau_cotisants,4,FALSE)</f>
        <v>Axel</v>
      </c>
      <c r="E26" s="57">
        <f>VLOOKUP(A26,[1]!Tableau_cotisants,5,FALSE)</f>
        <v>0</v>
      </c>
      <c r="F26" s="56">
        <f>VLOOKUP(A26,[1]!Tableau_cotisants,6,FALSE)</f>
        <v>0</v>
      </c>
      <c r="G26" s="56">
        <f>VLOOKUP(A26,[1]!Tableau_cotisants,7,FALSE)</f>
        <v>1</v>
      </c>
      <c r="H26" s="58">
        <f>VLOOKUP(A26,[1]!Tableau_cotisants,8,FALSE)</f>
        <v>42407</v>
      </c>
      <c r="I26" s="58" t="str">
        <f t="shared" si="1"/>
        <v>2 an(s) 11 mois et 9 jour(s)</v>
      </c>
      <c r="J26" s="56" t="str">
        <f>VLOOKUP(A26,[1]!Tableau_cotisants,10,FALSE)</f>
        <v>SEGONZAC</v>
      </c>
      <c r="K26" s="57" t="str">
        <f>VLOOKUP(A26,[1]!Tableau_cotisants,11,FALSE)</f>
        <v>Champagne</v>
      </c>
      <c r="L26" s="99"/>
      <c r="M26" s="57">
        <v>1</v>
      </c>
      <c r="N26" s="68"/>
      <c r="O26" s="86"/>
      <c r="P26" s="87">
        <v>1</v>
      </c>
      <c r="Q26" s="55"/>
      <c r="R26" s="55"/>
      <c r="S26" s="55"/>
    </row>
    <row r="27" spans="1:19" ht="12" customHeight="1">
      <c r="A27" s="118" t="s">
        <v>128</v>
      </c>
      <c r="B27" s="56" t="str">
        <f>VLOOKUP(A27,[1]!Tableau_cotisants,2,FALSE)</f>
        <v>G7-1</v>
      </c>
      <c r="C27" s="56" t="str">
        <f>VLOOKUP(A27,[1]!Tableau_cotisants,3,FALSE)</f>
        <v>BARRY</v>
      </c>
      <c r="D27" s="56" t="str">
        <f>VLOOKUP(A27,[1]!Tableau_cotisants,4,FALSE)</f>
        <v>Oksana</v>
      </c>
      <c r="E27" s="57">
        <f>VLOOKUP(A27,[1]!Tableau_cotisants,5,FALSE)</f>
        <v>0</v>
      </c>
      <c r="F27" s="56">
        <f>VLOOKUP(A27,[1]!Tableau_cotisants,6,FALSE)</f>
        <v>1</v>
      </c>
      <c r="G27" s="56">
        <f>VLOOKUP(A27,[1]!Tableau_cotisants,7,FALSE)</f>
        <v>0</v>
      </c>
      <c r="H27" s="58">
        <f>VLOOKUP(A27,[1]!Tableau_cotisants,8,FALSE)</f>
        <v>30016</v>
      </c>
      <c r="I27" s="58" t="str">
        <f t="shared" si="1"/>
        <v>36 an(s) 10 mois et 10 jour(s)</v>
      </c>
      <c r="J27" s="56" t="str">
        <f>VLOOKUP(A27,[1]!Tableau_cotisants,10,FALSE)</f>
        <v>Bourg Charente</v>
      </c>
      <c r="K27" s="57" t="str">
        <f>VLOOKUP(A27,[1]!Tableau_cotisants,11,FALSE)</f>
        <v>Jarnac</v>
      </c>
      <c r="L27" s="99"/>
      <c r="M27" s="57">
        <v>1</v>
      </c>
      <c r="N27" s="68"/>
      <c r="O27" s="86">
        <v>1</v>
      </c>
      <c r="P27" s="87"/>
      <c r="Q27" s="55"/>
      <c r="R27" s="55"/>
      <c r="S27" s="55"/>
    </row>
    <row r="28" spans="1:19" ht="12" customHeight="1">
      <c r="A28" s="118" t="s">
        <v>129</v>
      </c>
      <c r="B28" s="56" t="str">
        <f>VLOOKUP(A28,[1]!Tableau_cotisants,2,FALSE)</f>
        <v>G7-2</v>
      </c>
      <c r="C28" s="56" t="str">
        <f>VLOOKUP(A28,[1]!Tableau_cotisants,3,FALSE)</f>
        <v>BARRY</v>
      </c>
      <c r="D28" s="56" t="str">
        <f>VLOOKUP(A28,[1]!Tableau_cotisants,4,FALSE)</f>
        <v>Anastasia</v>
      </c>
      <c r="E28" s="57">
        <f>VLOOKUP(A28,[1]!Tableau_cotisants,5,FALSE)</f>
        <v>0</v>
      </c>
      <c r="F28" s="56">
        <f>VLOOKUP(A28,[1]!Tableau_cotisants,6,FALSE)</f>
        <v>1</v>
      </c>
      <c r="G28" s="56">
        <f>VLOOKUP(A28,[1]!Tableau_cotisants,7,FALSE)</f>
        <v>0</v>
      </c>
      <c r="H28" s="58">
        <f>VLOOKUP(A28,[1]!Tableau_cotisants,8,FALSE)</f>
        <v>42267</v>
      </c>
      <c r="I28" s="58" t="str">
        <f t="shared" ref="I28" si="2">DATEDIF(H28,Date_du_jour,"y") &amp; " an(s) " &amp; DATEDIF(H28,$C$2,"ym") &amp; " mois et " &amp; DATEDIF(H28,$C$2,"md") &amp; " jour(s)"</f>
        <v>3 an(s) 3 mois et 27 jour(s)</v>
      </c>
      <c r="J28" s="56" t="str">
        <f>VLOOKUP(A28,[1]!Tableau_cotisants,10,FALSE)</f>
        <v>Bourg Charente</v>
      </c>
      <c r="K28" s="57" t="str">
        <f>VLOOKUP(A28,[1]!Tableau_cotisants,11,FALSE)</f>
        <v>Jarnac</v>
      </c>
      <c r="L28" s="99"/>
      <c r="M28" s="57">
        <v>1</v>
      </c>
      <c r="N28" s="68"/>
      <c r="O28" s="86">
        <v>1</v>
      </c>
      <c r="P28" s="87"/>
      <c r="Q28" s="55"/>
      <c r="R28" s="55"/>
      <c r="S28" s="55"/>
    </row>
    <row r="29" spans="1:19" ht="12" customHeight="1">
      <c r="A29" s="7"/>
      <c r="B29" s="123" t="s">
        <v>138</v>
      </c>
      <c r="C29" s="119"/>
      <c r="D29" s="56"/>
      <c r="E29" s="57"/>
      <c r="F29" s="56"/>
      <c r="G29" s="56"/>
      <c r="H29" s="58"/>
      <c r="I29" s="58"/>
      <c r="J29" s="56"/>
      <c r="K29" s="57"/>
      <c r="L29" s="99"/>
      <c r="M29" s="57"/>
      <c r="N29" s="68"/>
      <c r="O29" s="86"/>
      <c r="P29" s="87"/>
      <c r="Q29" s="55"/>
      <c r="R29" s="55"/>
      <c r="S29" s="55"/>
    </row>
    <row r="30" spans="1:19" ht="12" customHeight="1" thickBot="1">
      <c r="A30" s="7"/>
      <c r="B30" s="123" t="s">
        <v>137</v>
      </c>
      <c r="C30" s="119"/>
      <c r="D30" s="56"/>
      <c r="E30" s="57"/>
      <c r="F30" s="56"/>
      <c r="G30" s="56"/>
      <c r="H30" s="58"/>
      <c r="I30" s="58"/>
      <c r="J30" s="56"/>
      <c r="K30" s="57"/>
      <c r="L30" s="99"/>
      <c r="M30" s="57"/>
      <c r="N30" s="68"/>
      <c r="O30" s="86"/>
      <c r="P30" s="87"/>
      <c r="Q30" s="55"/>
      <c r="R30" s="55"/>
      <c r="S30" s="55"/>
    </row>
    <row r="31" spans="1:19" ht="19.5" thickBot="1">
      <c r="A31" s="17"/>
      <c r="B31" s="4"/>
      <c r="C31" s="4"/>
      <c r="D31" s="4"/>
      <c r="E31" s="4">
        <f>SUM(E7:E30)</f>
        <v>5</v>
      </c>
      <c r="F31" s="4">
        <f>SUM(F5:F30)</f>
        <v>15</v>
      </c>
      <c r="G31" s="4">
        <f>SUM(G5:G30)</f>
        <v>8</v>
      </c>
      <c r="H31" s="4"/>
      <c r="I31" s="4"/>
      <c r="J31" s="4"/>
      <c r="K31" s="18">
        <f>SUM(K7:K30)</f>
        <v>0</v>
      </c>
      <c r="L31" s="93">
        <f t="shared" ref="L31:S31" si="3">SUM(L5:L30)</f>
        <v>11</v>
      </c>
      <c r="M31" s="19">
        <f t="shared" si="3"/>
        <v>12</v>
      </c>
      <c r="N31" s="20">
        <f t="shared" si="3"/>
        <v>9</v>
      </c>
      <c r="O31" s="28">
        <f t="shared" si="3"/>
        <v>4</v>
      </c>
      <c r="P31" s="72">
        <f t="shared" si="3"/>
        <v>10</v>
      </c>
      <c r="Q31" s="79">
        <f t="shared" si="3"/>
        <v>0</v>
      </c>
      <c r="R31" s="80">
        <f t="shared" si="3"/>
        <v>0</v>
      </c>
      <c r="S31" s="81">
        <f t="shared" si="3"/>
        <v>0</v>
      </c>
    </row>
    <row r="32" spans="1:19" ht="24" thickBot="1">
      <c r="B32" t="s">
        <v>28</v>
      </c>
      <c r="C32" s="98"/>
      <c r="F32" s="201">
        <f>F31+G31</f>
        <v>23</v>
      </c>
      <c r="G32" s="201"/>
      <c r="L32" s="201">
        <f>L31+M31</f>
        <v>23</v>
      </c>
      <c r="M32" s="201"/>
      <c r="N32" s="202">
        <f>N31+O31+P31</f>
        <v>23</v>
      </c>
      <c r="O32" s="202"/>
      <c r="P32" s="202"/>
      <c r="Q32" s="102"/>
      <c r="R32" s="102"/>
      <c r="S32" s="102"/>
    </row>
    <row r="33" spans="1:19" ht="15.75" thickBot="1">
      <c r="B33" t="s">
        <v>82</v>
      </c>
      <c r="L33" s="22">
        <f>L31+'09 janvier 2019'!L37</f>
        <v>22</v>
      </c>
      <c r="M33" s="23">
        <f>M31+'09 janvier 2019'!M37</f>
        <v>28</v>
      </c>
      <c r="N33" s="24">
        <f>N31+'09 janvier 2019'!N37</f>
        <v>23</v>
      </c>
      <c r="O33" s="25">
        <f>O31+'09 janvier 2019'!O37</f>
        <v>9</v>
      </c>
      <c r="P33" s="84">
        <f>P31+'09 janvier 2019'!P37</f>
        <v>18</v>
      </c>
      <c r="Q33" s="82">
        <f>Q31+'09 janvier 2019'!Q37</f>
        <v>0</v>
      </c>
      <c r="R33" s="90">
        <f>R31+'09 janvier 2019'!R37</f>
        <v>0</v>
      </c>
      <c r="S33" s="83">
        <f>S31+'09 janvier 2019'!S37</f>
        <v>0</v>
      </c>
    </row>
    <row r="34" spans="1:19" ht="33" thickBot="1">
      <c r="L34" s="203">
        <f>L32+'09 janvier 2019'!L38:M38</f>
        <v>50</v>
      </c>
      <c r="M34" s="204"/>
      <c r="N34" s="205">
        <f>N32+'09 janvier 2019'!N38:P38</f>
        <v>50</v>
      </c>
      <c r="O34" s="206"/>
      <c r="P34" s="207"/>
    </row>
    <row r="35" spans="1:19" ht="15" customHeight="1">
      <c r="B35" t="s">
        <v>181</v>
      </c>
      <c r="C35" s="142" t="s">
        <v>185</v>
      </c>
      <c r="D35" t="s">
        <v>181</v>
      </c>
      <c r="E35" s="208" t="s">
        <v>182</v>
      </c>
      <c r="F35" s="209"/>
    </row>
    <row r="36" spans="1:19" ht="45">
      <c r="A36" s="140" t="s">
        <v>183</v>
      </c>
      <c r="B36" s="138">
        <v>1</v>
      </c>
      <c r="C36" s="139">
        <f>B36+'09 janvier 2019'!B40</f>
        <v>1</v>
      </c>
      <c r="D36" s="138">
        <v>7</v>
      </c>
      <c r="E36" s="195">
        <f>D36+'09 janvier 2019'!E40:F40</f>
        <v>7</v>
      </c>
      <c r="F36" s="196"/>
    </row>
    <row r="37" spans="1:19" ht="32.25">
      <c r="A37" s="141" t="s">
        <v>184</v>
      </c>
      <c r="B37" s="138">
        <v>2</v>
      </c>
      <c r="C37" s="139">
        <f>B37+'09 janvier 2019'!B41</f>
        <v>3</v>
      </c>
      <c r="D37" s="138">
        <v>11</v>
      </c>
      <c r="E37" s="195">
        <f>D37+'09 janvier 2019'!E41:F41</f>
        <v>21</v>
      </c>
      <c r="F37" s="196"/>
    </row>
  </sheetData>
  <mergeCells count="9">
    <mergeCell ref="E37:F37"/>
    <mergeCell ref="F3:G3"/>
    <mergeCell ref="F32:G32"/>
    <mergeCell ref="L32:M32"/>
    <mergeCell ref="N32:P32"/>
    <mergeCell ref="L34:M34"/>
    <mergeCell ref="N34:P34"/>
    <mergeCell ref="E35:F35"/>
    <mergeCell ref="E36:F36"/>
  </mergeCells>
  <conditionalFormatting sqref="N34">
    <cfRule type="cellIs" dxfId="73" priority="8" operator="equal">
      <formula>$N$33+$O$33</formula>
    </cfRule>
  </conditionalFormatting>
  <conditionalFormatting sqref="N34">
    <cfRule type="cellIs" dxfId="72" priority="7" operator="equal">
      <formula>$N$39+$O$39</formula>
    </cfRule>
  </conditionalFormatting>
  <conditionalFormatting sqref="F32:G32 N32">
    <cfRule type="cellIs" dxfId="71" priority="5" operator="notEqual">
      <formula>$L$32</formula>
    </cfRule>
    <cfRule type="cellIs" dxfId="70" priority="6" operator="equal">
      <formula>$L$32</formula>
    </cfRule>
  </conditionalFormatting>
  <dataValidations count="1">
    <dataValidation type="list" showInputMessage="1" showErrorMessage="1" errorTitle="ERREUR" error="Choisir une valeur de la liste !" sqref="K16 K30">
      <formula1>"Champagne,Chateauneuf,Cognac,Jarnac,Hors_CDA,Hors_Charente"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S51"/>
  <sheetViews>
    <sheetView workbookViewId="0">
      <pane ySplit="4" topLeftCell="A29" activePane="bottomLeft" state="frozen"/>
      <selection pane="bottomLeft" activeCell="A30" sqref="A30:S44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43488</v>
      </c>
      <c r="D2" s="60"/>
      <c r="E2" s="60"/>
      <c r="F2" s="60"/>
      <c r="G2" s="60"/>
      <c r="H2" s="60"/>
      <c r="I2" s="60"/>
      <c r="J2" s="62"/>
      <c r="K2" s="60" t="s">
        <v>85</v>
      </c>
      <c r="L2" s="60"/>
      <c r="M2" s="60"/>
      <c r="N2" s="60"/>
      <c r="R2" s="61">
        <v>3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 t="s">
        <v>81</v>
      </c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3" t="s">
        <v>90</v>
      </c>
      <c r="B5" s="52" t="str">
        <f>VLOOKUP(A5,[1]!Tableau_cotisants,2,FALSE)</f>
        <v>GUYOT</v>
      </c>
      <c r="C5" s="52" t="str">
        <f>VLOOKUP(A5,[1]!Tableau_cotisants,3,FALSE)</f>
        <v>GUYOT</v>
      </c>
      <c r="D5" s="52" t="str">
        <f>VLOOKUP(A5,[1]!Tableau_cotisants,4,FALSE)</f>
        <v>Virginie</v>
      </c>
      <c r="E5" s="53">
        <f>VLOOKUP(A5,[1]!Tableau_cotisants,5,FALSE)</f>
        <v>1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30012</v>
      </c>
      <c r="I5" s="54" t="str">
        <f t="shared" ref="I5:I28" si="0">DATEDIF(H5,Date_du_jour,"y") &amp; " an(s) " &amp; DATEDIF(H5,$C$2,"ym") &amp; " mois et " &amp; DATEDIF(H5,$C$2,"md") &amp; " jour(s)"</f>
        <v>36 an(s) 10 mois et 21 jour(s)</v>
      </c>
      <c r="J5" s="52" t="str">
        <f>VLOOKUP(A5,[1]!Tableau_cotisants,10,FALSE)</f>
        <v>Chateaubernard</v>
      </c>
      <c r="K5" s="53" t="str">
        <f>VLOOKUP(A5,[1]!Tableau_cotisants,11,FALSE)</f>
        <v>Cognac</v>
      </c>
      <c r="L5" s="6">
        <v>1</v>
      </c>
      <c r="M5" s="5"/>
      <c r="N5" s="27"/>
      <c r="O5" s="26"/>
      <c r="P5" s="74">
        <v>1</v>
      </c>
      <c r="Q5" s="55"/>
      <c r="R5" s="55"/>
      <c r="S5" s="55">
        <v>1</v>
      </c>
    </row>
    <row r="6" spans="1:19" ht="12" customHeight="1">
      <c r="A6" s="103" t="s">
        <v>93</v>
      </c>
      <c r="B6" s="52" t="str">
        <f>VLOOKUP(A6,[1]!Tableau_cotisants,2,FALSE)</f>
        <v>GUYOT</v>
      </c>
      <c r="C6" s="52" t="str">
        <f>VLOOKUP(A6,[1]!Tableau_cotisants,3,FALSE)</f>
        <v>FARCY</v>
      </c>
      <c r="D6" s="52" t="str">
        <f>VLOOKUP(A6,[1]!Tableau_cotisants,4,FALSE)</f>
        <v>Sacha</v>
      </c>
      <c r="E6" s="53">
        <f>VLOOKUP(A6,[1]!Tableau_cotisants,5,FALSE)</f>
        <v>1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43040</v>
      </c>
      <c r="I6" s="54" t="str">
        <f t="shared" si="0"/>
        <v>1 an(s) 2 mois et 22 jour(s)</v>
      </c>
      <c r="J6" s="52" t="str">
        <f>VLOOKUP(A6,[1]!Tableau_cotisants,10,FALSE)</f>
        <v>Chateaubernard</v>
      </c>
      <c r="K6" s="53" t="str">
        <f>VLOOKUP(A6,[1]!Tableau_cotisants,11,FALSE)</f>
        <v>Cognac</v>
      </c>
      <c r="L6" s="6">
        <v>1</v>
      </c>
      <c r="M6" s="5"/>
      <c r="N6" s="27"/>
      <c r="O6" s="26"/>
      <c r="P6" s="74">
        <v>1</v>
      </c>
      <c r="Q6" s="55"/>
      <c r="R6" s="55"/>
      <c r="S6" s="55"/>
    </row>
    <row r="7" spans="1:19" ht="12" customHeight="1">
      <c r="A7" s="103" t="s">
        <v>91</v>
      </c>
      <c r="B7" s="52" t="str">
        <f>VLOOKUP(A7,[1]!Tableau_cotisants,2,FALSE)</f>
        <v>GUYOT</v>
      </c>
      <c r="C7" s="52" t="str">
        <f>VLOOKUP(A7,[1]!Tableau_cotisants,3,FALSE)</f>
        <v>FORGEARD</v>
      </c>
      <c r="D7" s="52" t="str">
        <f>VLOOKUP(A7,[1]!Tableau_cotisants,4,FALSE)</f>
        <v>Yanis</v>
      </c>
      <c r="E7" s="53">
        <f>VLOOKUP(A7,[1]!Tableau_cotisants,5,FALSE)</f>
        <v>1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43315</v>
      </c>
      <c r="I7" s="54" t="str">
        <f t="shared" si="0"/>
        <v>0 an(s) 5 mois et 20 jour(s)</v>
      </c>
      <c r="J7" s="52" t="str">
        <f>VLOOKUP(A7,[1]!Tableau_cotisants,10,FALSE)</f>
        <v>Chateaubernard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>
        <v>1</v>
      </c>
    </row>
    <row r="8" spans="1:19" ht="12" customHeight="1">
      <c r="A8" s="103" t="s">
        <v>92</v>
      </c>
      <c r="B8" s="52" t="str">
        <f>VLOOKUP(A8,[1]!Tableau_cotisants,2,FALSE)</f>
        <v>GUYOT</v>
      </c>
      <c r="C8" s="52" t="str">
        <f>VLOOKUP(A8,[1]!Tableau_cotisants,3,FALSE)</f>
        <v>FRIOUX-GARCIA</v>
      </c>
      <c r="D8" s="52" t="str">
        <f>VLOOKUP(A8,[1]!Tableau_cotisants,4,FALSE)</f>
        <v>Marius</v>
      </c>
      <c r="E8" s="53">
        <f>VLOOKUP(A8,[1]!Tableau_cotisants,5,FALSE)</f>
        <v>1</v>
      </c>
      <c r="F8" s="52">
        <f>VLOOKUP(A8,[1]!Tableau_cotisants,6,FALSE)</f>
        <v>0</v>
      </c>
      <c r="G8" s="52">
        <f>VLOOKUP(A8,[1]!Tableau_cotisants,7,FALSE)</f>
        <v>1</v>
      </c>
      <c r="H8" s="54">
        <f>VLOOKUP(A8,[1]!Tableau_cotisants,8,FALSE)</f>
        <v>43395</v>
      </c>
      <c r="I8" s="54" t="str">
        <f t="shared" si="0"/>
        <v>0 an(s) 3 mois et 1 jour(s)</v>
      </c>
      <c r="J8" s="52" t="str">
        <f>VLOOKUP(A8,[1]!Tableau_cotisants,10,FALSE)</f>
        <v>Chateaubernard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>
        <v>1</v>
      </c>
    </row>
    <row r="9" spans="1:19" ht="12" customHeight="1">
      <c r="A9" s="103" t="s">
        <v>94</v>
      </c>
      <c r="B9" s="52" t="str">
        <f>VLOOKUP(A9,[1]!Tableau_cotisants,2,FALSE)</f>
        <v>COZIC</v>
      </c>
      <c r="C9" s="52" t="str">
        <f>VLOOKUP(A9,[1]!Tableau_cotisants,3,FALSE)</f>
        <v>COZIC</v>
      </c>
      <c r="D9" s="52" t="str">
        <f>VLOOKUP(A9,[1]!Tableau_cotisants,4,FALSE)</f>
        <v>Jennifer</v>
      </c>
      <c r="E9" s="53">
        <f>VLOOKUP(A9,[1]!Tableau_cotisants,5,FALSE)</f>
        <v>1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30554</v>
      </c>
      <c r="I9" s="54" t="str">
        <f t="shared" si="0"/>
        <v>35 an(s) 4 mois et 28 jour(s)</v>
      </c>
      <c r="J9" s="52" t="str">
        <f>VLOOKUP(A9,[1]!Tableau_cotisants,10,FALSE)</f>
        <v>Chateaubernard</v>
      </c>
      <c r="K9" s="53" t="str">
        <f>VLOOKUP(A9,[1]!Tableau_cotisants,11,FALSE)</f>
        <v>Cognac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03" t="s">
        <v>95</v>
      </c>
      <c r="B10" s="52" t="str">
        <f>VLOOKUP(A10,[1]!Tableau_cotisants,2,FALSE)</f>
        <v>COZIC</v>
      </c>
      <c r="C10" s="52" t="str">
        <f>VLOOKUP(A10,[1]!Tableau_cotisants,3,FALSE)</f>
        <v>FRAISSINET COZIC</v>
      </c>
      <c r="D10" s="52" t="str">
        <f>VLOOKUP(A10,[1]!Tableau_cotisants,4,FALSE)</f>
        <v>Kathleen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39909</v>
      </c>
      <c r="I10" s="54" t="str">
        <f t="shared" si="0"/>
        <v>9 an(s) 9 mois et 17 jour(s)</v>
      </c>
      <c r="J10" s="52" t="str">
        <f>VLOOKUP(A10,[1]!Tableau_cotisants,10,FALSE)</f>
        <v>Chateaubernard</v>
      </c>
      <c r="K10" s="53" t="str">
        <f>VLOOKUP(A10,[1]!Tableau_cotisants,11,FALSE)</f>
        <v>Cognac</v>
      </c>
      <c r="L10" s="6">
        <v>1</v>
      </c>
      <c r="M10" s="5"/>
      <c r="N10" s="27"/>
      <c r="O10" s="26"/>
      <c r="P10" s="74">
        <v>1</v>
      </c>
      <c r="Q10" s="55"/>
      <c r="R10" s="55"/>
      <c r="S10" s="55"/>
    </row>
    <row r="11" spans="1:19" ht="12" customHeight="1">
      <c r="A11" s="103" t="s">
        <v>96</v>
      </c>
      <c r="B11" s="52" t="str">
        <f>VLOOKUP(A11,[1]!Tableau_cotisants,2,FALSE)</f>
        <v>COZIC</v>
      </c>
      <c r="C11" s="52" t="str">
        <f>VLOOKUP(A11,[1]!Tableau_cotisants,3,FALSE)</f>
        <v>FRAISSINET COZIC</v>
      </c>
      <c r="D11" s="52" t="str">
        <f>VLOOKUP(A11,[1]!Tableau_cotisants,4,FALSE)</f>
        <v>Kendall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40770</v>
      </c>
      <c r="I11" s="54" t="str">
        <f t="shared" si="0"/>
        <v>7 an(s) 5 mois et 8 jour(s)</v>
      </c>
      <c r="J11" s="52" t="str">
        <f>VLOOKUP(A11,[1]!Tableau_cotisants,10,FALSE)</f>
        <v>Chateaubernard</v>
      </c>
      <c r="K11" s="53" t="str">
        <f>VLOOKUP(A11,[1]!Tableau_cotisants,11,FALSE)</f>
        <v>Cognac</v>
      </c>
      <c r="L11" s="6">
        <v>1</v>
      </c>
      <c r="M11" s="5"/>
      <c r="N11" s="27"/>
      <c r="O11" s="26"/>
      <c r="P11" s="74">
        <v>1</v>
      </c>
      <c r="Q11" s="55"/>
      <c r="R11" s="55"/>
      <c r="S11" s="55"/>
    </row>
    <row r="12" spans="1:19" ht="12" customHeight="1">
      <c r="A12" s="103" t="s">
        <v>97</v>
      </c>
      <c r="B12" s="52" t="str">
        <f>VLOOKUP(A12,[1]!Tableau_cotisants,2,FALSE)</f>
        <v>COZIC</v>
      </c>
      <c r="C12" s="52" t="str">
        <f>VLOOKUP(A12,[1]!Tableau_cotisants,3,FALSE)</f>
        <v>TARDIEU</v>
      </c>
      <c r="D12" s="52" t="str">
        <f>VLOOKUP(A12,[1]!Tableau_cotisants,4,FALSE)</f>
        <v>Gustave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42917</v>
      </c>
      <c r="I12" s="54" t="str">
        <f t="shared" si="0"/>
        <v>1 an(s) 6 mois et 22 jour(s)</v>
      </c>
      <c r="J12" s="52" t="str">
        <f>VLOOKUP(A12,[1]!Tableau_cotisants,10,FALSE)</f>
        <v>Chateaubernard</v>
      </c>
      <c r="K12" s="53" t="str">
        <f>VLOOKUP(A12,[1]!Tableau_cotisants,11,FALSE)</f>
        <v>Cognac</v>
      </c>
      <c r="L12" s="6">
        <v>1</v>
      </c>
      <c r="M12" s="5"/>
      <c r="N12" s="27"/>
      <c r="O12" s="26"/>
      <c r="P12" s="74">
        <v>1</v>
      </c>
      <c r="Q12" s="55"/>
      <c r="R12" s="55"/>
      <c r="S12" s="55"/>
    </row>
    <row r="13" spans="1:19" ht="12" customHeight="1">
      <c r="A13" s="103" t="s">
        <v>98</v>
      </c>
      <c r="B13" s="52" t="str">
        <f>VLOOKUP(A13,[1]!Tableau_cotisants,2,FALSE)</f>
        <v>COZIC</v>
      </c>
      <c r="C13" s="52" t="str">
        <f>VLOOKUP(A13,[1]!Tableau_cotisants,3,FALSE)</f>
        <v>BARAUD</v>
      </c>
      <c r="D13" s="52" t="str">
        <f>VLOOKUP(A13,[1]!Tableau_cotisants,4,FALSE)</f>
        <v>Théo</v>
      </c>
      <c r="E13" s="53">
        <f>VLOOKUP(A13,[1]!Tableau_cotisants,5,FALSE)</f>
        <v>1</v>
      </c>
      <c r="F13" s="52">
        <f>VLOOKUP(A13,[1]!Tableau_cotisants,6,FALSE)</f>
        <v>0</v>
      </c>
      <c r="G13" s="52">
        <f>VLOOKUP(A13,[1]!Tableau_cotisants,7,FALSE)</f>
        <v>1</v>
      </c>
      <c r="H13" s="54">
        <f>VLOOKUP(A13,[1]!Tableau_cotisants,8,FALSE)</f>
        <v>43016</v>
      </c>
      <c r="I13" s="54" t="str">
        <f t="shared" si="0"/>
        <v>1 an(s) 3 mois et 15 jour(s)</v>
      </c>
      <c r="J13" s="52" t="str">
        <f>VLOOKUP(A13,[1]!Tableau_cotisants,10,FALSE)</f>
        <v>Chateaubernard</v>
      </c>
      <c r="K13" s="53" t="str">
        <f>VLOOKUP(A13,[1]!Tableau_cotisants,11,FALSE)</f>
        <v>Cognac</v>
      </c>
      <c r="L13" s="6">
        <v>1</v>
      </c>
      <c r="M13" s="5"/>
      <c r="N13" s="27"/>
      <c r="O13" s="26"/>
      <c r="P13" s="74">
        <v>1</v>
      </c>
      <c r="Q13" s="55"/>
      <c r="R13" s="55"/>
      <c r="S13" s="55"/>
    </row>
    <row r="14" spans="1:19" ht="12" customHeight="1">
      <c r="A14" s="108" t="s">
        <v>99</v>
      </c>
      <c r="B14" s="52" t="str">
        <f>VLOOKUP(A14,[1]!Tableau_cotisants,2,FALSE)</f>
        <v>CASTAINGS/LACROIX</v>
      </c>
      <c r="C14" s="52" t="str">
        <f>VLOOKUP(A14,[1]!Tableau_cotisants,3,FALSE)</f>
        <v>LACROIX</v>
      </c>
      <c r="D14" s="52" t="str">
        <f>VLOOKUP(A14,[1]!Tableau_cotisants,4,FALSE)</f>
        <v>Elodie</v>
      </c>
      <c r="E14" s="53">
        <f>VLOOKUP(A14,[1]!Tableau_cotisants,5,FALSE)</f>
        <v>0</v>
      </c>
      <c r="F14" s="52">
        <f>VLOOKUP(A14,[1]!Tableau_cotisants,6,FALSE)</f>
        <v>1</v>
      </c>
      <c r="G14" s="52">
        <f>VLOOKUP(A14,[1]!Tableau_cotisants,7,FALSE)</f>
        <v>0</v>
      </c>
      <c r="H14" s="54">
        <f>VLOOKUP(A14,[1]!Tableau_cotisants,8,FALSE)</f>
        <v>30513</v>
      </c>
      <c r="I14" s="54" t="str">
        <f t="shared" si="0"/>
        <v>35 an(s) 6 mois et 7 jour(s)</v>
      </c>
      <c r="J14" s="52" t="str">
        <f>VLOOKUP(A14,[1]!Tableau_cotisants,10,FALSE)</f>
        <v>Cognac</v>
      </c>
      <c r="K14" s="53" t="str">
        <f>VLOOKUP(A14,[1]!Tableau_cotisants,11,FALSE)</f>
        <v>Cognac</v>
      </c>
      <c r="L14" s="6">
        <v>1</v>
      </c>
      <c r="M14" s="5"/>
      <c r="N14" s="27"/>
      <c r="O14" s="26"/>
      <c r="P14" s="74">
        <v>1</v>
      </c>
      <c r="Q14" s="55"/>
      <c r="R14" s="55"/>
      <c r="S14" s="55"/>
    </row>
    <row r="15" spans="1:19" ht="12" customHeight="1">
      <c r="A15" s="108" t="s">
        <v>100</v>
      </c>
      <c r="B15" s="52" t="str">
        <f>VLOOKUP(A15,[1]!Tableau_cotisants,2,FALSE)</f>
        <v>CASTAINGS/LACROIX</v>
      </c>
      <c r="C15" s="52" t="str">
        <f>VLOOKUP(A15,[1]!Tableau_cotisants,3,FALSE)</f>
        <v>CASTAINGS</v>
      </c>
      <c r="D15" s="52" t="str">
        <f>VLOOKUP(A15,[1]!Tableau_cotisants,4,FALSE)</f>
        <v>Léonard</v>
      </c>
      <c r="E15" s="53">
        <f>VLOOKUP(A15,[1]!Tableau_cotisants,5,FALSE)</f>
        <v>0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41472</v>
      </c>
      <c r="I15" s="54" t="str">
        <f t="shared" si="0"/>
        <v>5 an(s) 6 mois et 6 jour(s)</v>
      </c>
      <c r="J15" s="52" t="str">
        <f>VLOOKUP(A15,[1]!Tableau_cotisants,10,FALSE)</f>
        <v>Cognac</v>
      </c>
      <c r="K15" s="53" t="str">
        <f>VLOOKUP(A15,[1]!Tableau_cotisants,11,FALSE)</f>
        <v>Cognac</v>
      </c>
      <c r="L15" s="6">
        <v>1</v>
      </c>
      <c r="M15" s="5"/>
      <c r="N15" s="27"/>
      <c r="O15" s="26"/>
      <c r="P15" s="74">
        <v>1</v>
      </c>
      <c r="Q15" s="55"/>
      <c r="R15" s="55"/>
      <c r="S15" s="55"/>
    </row>
    <row r="16" spans="1:19" ht="12" customHeight="1">
      <c r="A16" s="108" t="s">
        <v>101</v>
      </c>
      <c r="B16" s="52" t="str">
        <f>VLOOKUP(A16,[1]!Tableau_cotisants,2,FALSE)</f>
        <v>CASTAINGS/LACROIX</v>
      </c>
      <c r="C16" s="52" t="str">
        <f>VLOOKUP(A16,[1]!Tableau_cotisants,3,FALSE)</f>
        <v>CASTAINGS</v>
      </c>
      <c r="D16" s="52" t="str">
        <f>VLOOKUP(A16,[1]!Tableau_cotisants,4,FALSE)</f>
        <v>Marilou</v>
      </c>
      <c r="E16" s="53">
        <f>VLOOKUP(A16,[1]!Tableau_cotisants,5,FALSE)</f>
        <v>0</v>
      </c>
      <c r="F16" s="52">
        <f>VLOOKUP(A16,[1]!Tableau_cotisants,6,FALSE)</f>
        <v>1</v>
      </c>
      <c r="G16" s="52">
        <f>VLOOKUP(A16,[1]!Tableau_cotisants,7,FALSE)</f>
        <v>0</v>
      </c>
      <c r="H16" s="54">
        <f>VLOOKUP(A16,[1]!Tableau_cotisants,8,FALSE)</f>
        <v>42277</v>
      </c>
      <c r="I16" s="54" t="str">
        <f t="shared" si="0"/>
        <v>3 an(s) 3 mois et 24 jour(s)</v>
      </c>
      <c r="J16" s="52" t="str">
        <f>VLOOKUP(A16,[1]!Tableau_cotisants,10,FALSE)</f>
        <v>Cognac</v>
      </c>
      <c r="K16" s="53" t="str">
        <f>VLOOKUP(A16,[1]!Tableau_cotisants,11,FALSE)</f>
        <v>Cognac</v>
      </c>
      <c r="L16" s="6">
        <v>1</v>
      </c>
      <c r="M16" s="5"/>
      <c r="N16" s="27"/>
      <c r="O16" s="26"/>
      <c r="P16" s="74">
        <v>1</v>
      </c>
      <c r="Q16" s="55"/>
      <c r="R16" s="55"/>
      <c r="S16" s="55"/>
    </row>
    <row r="17" spans="1:19" ht="12" customHeight="1">
      <c r="A17" s="109" t="s">
        <v>102</v>
      </c>
      <c r="B17" s="52" t="str">
        <f>VLOOKUP(A17,[1]!Tableau_cotisants,2,FALSE)</f>
        <v>SAMOYEAU/RAPHOZ</v>
      </c>
      <c r="C17" s="52" t="str">
        <f>VLOOKUP(A17,[1]!Tableau_cotisants,3,FALSE)</f>
        <v>SAMOYEAU</v>
      </c>
      <c r="D17" s="52" t="str">
        <f>VLOOKUP(A17,[1]!Tableau_cotisants,4,FALSE)</f>
        <v>Romain</v>
      </c>
      <c r="E17" s="53">
        <f>VLOOKUP(A17,[1]!Tableau_cotisants,5,FALSE)</f>
        <v>0</v>
      </c>
      <c r="F17" s="52">
        <f>VLOOKUP(A17,[1]!Tableau_cotisants,6,FALSE)</f>
        <v>0</v>
      </c>
      <c r="G17" s="52">
        <f>VLOOKUP(A17,[1]!Tableau_cotisants,7,FALSE)</f>
        <v>1</v>
      </c>
      <c r="H17" s="54">
        <f>VLOOKUP(A17,[1]!Tableau_cotisants,8,FALSE)</f>
        <v>30741</v>
      </c>
      <c r="I17" s="54" t="str">
        <f t="shared" si="0"/>
        <v>34 an(s) 10 mois et 25 jour(s)</v>
      </c>
      <c r="J17" s="52" t="str">
        <f>VLOOKUP(A17,[1]!Tableau_cotisants,10,FALSE)</f>
        <v>SEGONZAC</v>
      </c>
      <c r="K17" s="53" t="str">
        <f>VLOOKUP(A17,[1]!Tableau_cotisants,11,FALSE)</f>
        <v>Champagne</v>
      </c>
      <c r="L17" s="6">
        <v>1</v>
      </c>
      <c r="M17" s="5"/>
      <c r="N17" s="27">
        <v>1</v>
      </c>
      <c r="O17" s="26"/>
      <c r="P17" s="74"/>
      <c r="Q17" s="55"/>
      <c r="R17" s="55"/>
      <c r="S17" s="55"/>
    </row>
    <row r="18" spans="1:19" ht="12" customHeight="1">
      <c r="A18" s="109" t="s">
        <v>103</v>
      </c>
      <c r="B18" s="52" t="str">
        <f>VLOOKUP(A18,[1]!Tableau_cotisants,2,FALSE)</f>
        <v>SAMOYEAU/RAPHOZ</v>
      </c>
      <c r="C18" s="52" t="str">
        <f>VLOOKUP(A18,[1]!Tableau_cotisants,3,FALSE)</f>
        <v>RAPHOZ_LASSAYS</v>
      </c>
      <c r="D18" s="52" t="str">
        <f>VLOOKUP(A18,[1]!Tableau_cotisants,4,FALSE)</f>
        <v>Laurène</v>
      </c>
      <c r="E18" s="53">
        <f>VLOOKUP(A18,[1]!Tableau_cotisants,5,FALSE)</f>
        <v>0</v>
      </c>
      <c r="F18" s="52">
        <f>VLOOKUP(A18,[1]!Tableau_cotisants,6,FALSE)</f>
        <v>1</v>
      </c>
      <c r="G18" s="52">
        <f>VLOOKUP(A18,[1]!Tableau_cotisants,7,FALSE)</f>
        <v>0</v>
      </c>
      <c r="H18" s="54">
        <f>VLOOKUP(A18,[1]!Tableau_cotisants,8,FALSE)</f>
        <v>31367</v>
      </c>
      <c r="I18" s="54" t="str">
        <f t="shared" si="0"/>
        <v>33 an(s) 2 mois et 7 jour(s)</v>
      </c>
      <c r="J18" s="52" t="str">
        <f>VLOOKUP(A18,[1]!Tableau_cotisants,10,FALSE)</f>
        <v>SEGONZAC</v>
      </c>
      <c r="K18" s="53" t="str">
        <f>VLOOKUP(A18,[1]!Tableau_cotisants,11,FALSE)</f>
        <v>Champagne</v>
      </c>
      <c r="L18" s="6">
        <v>1</v>
      </c>
      <c r="M18" s="5"/>
      <c r="N18" s="27">
        <v>1</v>
      </c>
      <c r="O18" s="26"/>
      <c r="P18" s="74"/>
      <c r="Q18" s="55"/>
      <c r="R18" s="55"/>
      <c r="S18" s="55"/>
    </row>
    <row r="19" spans="1:19" ht="12" customHeight="1">
      <c r="A19" s="109" t="s">
        <v>72</v>
      </c>
      <c r="B19" s="52" t="str">
        <f>VLOOKUP(A19,[1]!Tableau_cotisants,2,FALSE)</f>
        <v>SAMOYEAU/RAPHOZ</v>
      </c>
      <c r="C19" s="52" t="str">
        <f>VLOOKUP(A19,[1]!Tableau_cotisants,3,FALSE)</f>
        <v>SAMOYEAU</v>
      </c>
      <c r="D19" s="52" t="str">
        <f>VLOOKUP(A19,[1]!Tableau_cotisants,4,FALSE)</f>
        <v>Thomas</v>
      </c>
      <c r="E19" s="53">
        <f>VLOOKUP(A19,[1]!Tableau_cotisants,5,FALSE)</f>
        <v>0</v>
      </c>
      <c r="F19" s="52">
        <f>VLOOKUP(A19,[1]!Tableau_cotisants,6,FALSE)</f>
        <v>0</v>
      </c>
      <c r="G19" s="52">
        <f>VLOOKUP(A19,[1]!Tableau_cotisants,7,FALSE)</f>
        <v>1</v>
      </c>
      <c r="H19" s="54">
        <f>VLOOKUP(A19,[1]!Tableau_cotisants,8,FALSE)</f>
        <v>41862</v>
      </c>
      <c r="I19" s="54" t="str">
        <f t="shared" si="0"/>
        <v>4 an(s) 5 mois et 12 jour(s)</v>
      </c>
      <c r="J19" s="52" t="str">
        <f>VLOOKUP(A19,[1]!Tableau_cotisants,10,FALSE)</f>
        <v>SEGONZAC</v>
      </c>
      <c r="K19" s="53" t="str">
        <f>VLOOKUP(A19,[1]!Tableau_cotisants,11,FALSE)</f>
        <v>Champagne</v>
      </c>
      <c r="L19" s="6">
        <v>1</v>
      </c>
      <c r="M19" s="5"/>
      <c r="N19" s="27">
        <v>1</v>
      </c>
      <c r="O19" s="26"/>
      <c r="P19" s="74"/>
      <c r="Q19" s="55"/>
      <c r="R19" s="55"/>
      <c r="S19" s="55"/>
    </row>
    <row r="20" spans="1:19" ht="12" customHeight="1">
      <c r="A20" s="110" t="s">
        <v>104</v>
      </c>
      <c r="B20" s="52" t="str">
        <f>VLOOKUP(A20,[1]!Tableau_cotisants,2,FALSE)</f>
        <v>BOUBEE-SAUNIER</v>
      </c>
      <c r="C20" s="52" t="str">
        <f>VLOOKUP(A20,[1]!Tableau_cotisants,3,FALSE)</f>
        <v>SAUNIER</v>
      </c>
      <c r="D20" s="52" t="str">
        <f>VLOOKUP(A20,[1]!Tableau_cotisants,4,FALSE)</f>
        <v>Amélie</v>
      </c>
      <c r="E20" s="53">
        <f>VLOOKUP(A20,[1]!Tableau_cotisants,5,FALSE)</f>
        <v>0</v>
      </c>
      <c r="F20" s="52">
        <f>VLOOKUP(A20,[1]!Tableau_cotisants,6,FALSE)</f>
        <v>1</v>
      </c>
      <c r="G20" s="52">
        <f>VLOOKUP(A20,[1]!Tableau_cotisants,7,FALSE)</f>
        <v>0</v>
      </c>
      <c r="H20" s="54">
        <f>VLOOKUP(A20,[1]!Tableau_cotisants,8,FALSE)</f>
        <v>31304</v>
      </c>
      <c r="I20" s="54" t="str">
        <f t="shared" si="0"/>
        <v>33 an(s) 4 mois et 9 jour(s)</v>
      </c>
      <c r="J20" s="52" t="str">
        <f>VLOOKUP(A20,[1]!Tableau_cotisants,10,FALSE)</f>
        <v>SEGONZAC</v>
      </c>
      <c r="K20" s="53" t="str">
        <f>VLOOKUP(A20,[1]!Tableau_cotisants,11,FALSE)</f>
        <v>Champagne</v>
      </c>
      <c r="L20" s="6">
        <v>1</v>
      </c>
      <c r="M20" s="5"/>
      <c r="N20" s="27">
        <v>1</v>
      </c>
      <c r="O20" s="26"/>
      <c r="P20" s="74"/>
      <c r="Q20" s="55"/>
      <c r="R20" s="55"/>
      <c r="S20" s="55"/>
    </row>
    <row r="21" spans="1:19" ht="12" customHeight="1">
      <c r="A21" s="110" t="s">
        <v>105</v>
      </c>
      <c r="B21" s="52" t="str">
        <f>VLOOKUP(A21,[1]!Tableau_cotisants,2,FALSE)</f>
        <v>BOUBEE-SAUNIER</v>
      </c>
      <c r="C21" s="52" t="str">
        <f>VLOOKUP(A21,[1]!Tableau_cotisants,3,FALSE)</f>
        <v>BOUBEE-SAUNIER</v>
      </c>
      <c r="D21" s="52" t="str">
        <f>VLOOKUP(A21,[1]!Tableau_cotisants,4,FALSE)</f>
        <v>Lisa</v>
      </c>
      <c r="E21" s="53">
        <f>VLOOKUP(A21,[1]!Tableau_cotisants,5,FALSE)</f>
        <v>0</v>
      </c>
      <c r="F21" s="52">
        <f>VLOOKUP(A21,[1]!Tableau_cotisants,6,FALSE)</f>
        <v>1</v>
      </c>
      <c r="G21" s="52">
        <f>VLOOKUP(A21,[1]!Tableau_cotisants,7,FALSE)</f>
        <v>0</v>
      </c>
      <c r="H21" s="54">
        <f>VLOOKUP(A21,[1]!Tableau_cotisants,8,FALSE)</f>
        <v>41245</v>
      </c>
      <c r="I21" s="54" t="str">
        <f t="shared" si="0"/>
        <v>6 an(s) 1 mois et 21 jour(s)</v>
      </c>
      <c r="J21" s="52" t="str">
        <f>VLOOKUP(A21,[1]!Tableau_cotisants,10,FALSE)</f>
        <v>SEGONZAC</v>
      </c>
      <c r="K21" s="53" t="str">
        <f>VLOOKUP(A21,[1]!Tableau_cotisants,11,FALSE)</f>
        <v>Champagne</v>
      </c>
      <c r="L21" s="6">
        <v>1</v>
      </c>
      <c r="M21" s="5"/>
      <c r="N21" s="27">
        <v>1</v>
      </c>
      <c r="O21" s="26"/>
      <c r="P21" s="74"/>
      <c r="Q21" s="55"/>
      <c r="R21" s="55"/>
      <c r="S21" s="55"/>
    </row>
    <row r="22" spans="1:19" ht="12" customHeight="1">
      <c r="A22" s="110" t="s">
        <v>106</v>
      </c>
      <c r="B22" s="52" t="str">
        <f>VLOOKUP(A22,[1]!Tableau_cotisants,2,FALSE)</f>
        <v>BOUBEE-SAUNIER</v>
      </c>
      <c r="C22" s="52" t="str">
        <f>VLOOKUP(A22,[1]!Tableau_cotisants,3,FALSE)</f>
        <v>BOUBEE-SAUNIER</v>
      </c>
      <c r="D22" s="52" t="str">
        <f>VLOOKUP(A22,[1]!Tableau_cotisants,4,FALSE)</f>
        <v>Lucas</v>
      </c>
      <c r="E22" s="53">
        <f>VLOOKUP(A22,[1]!Tableau_cotisants,5,FALSE)</f>
        <v>0</v>
      </c>
      <c r="F22" s="52">
        <f>VLOOKUP(A22,[1]!Tableau_cotisants,6,FALSE)</f>
        <v>0</v>
      </c>
      <c r="G22" s="52">
        <f>VLOOKUP(A22,[1]!Tableau_cotisants,7,FALSE)</f>
        <v>1</v>
      </c>
      <c r="H22" s="54">
        <f>VLOOKUP(A22,[1]!Tableau_cotisants,8,FALSE)</f>
        <v>42216</v>
      </c>
      <c r="I22" s="54" t="str">
        <f t="shared" si="0"/>
        <v>3 an(s) 5 mois et 23 jour(s)</v>
      </c>
      <c r="J22" s="52" t="str">
        <f>VLOOKUP(A22,[1]!Tableau_cotisants,10,FALSE)</f>
        <v>SEGONZAC</v>
      </c>
      <c r="K22" s="53" t="str">
        <f>VLOOKUP(A22,[1]!Tableau_cotisants,11,FALSE)</f>
        <v>Champagne</v>
      </c>
      <c r="L22" s="6">
        <v>1</v>
      </c>
      <c r="M22" s="5"/>
      <c r="N22" s="27">
        <v>1</v>
      </c>
      <c r="O22" s="26"/>
      <c r="P22" s="74"/>
      <c r="Q22" s="55"/>
      <c r="R22" s="55"/>
      <c r="S22" s="55"/>
    </row>
    <row r="23" spans="1:19" ht="12" customHeight="1">
      <c r="A23" s="111" t="s">
        <v>107</v>
      </c>
      <c r="B23" s="52" t="str">
        <f>VLOOKUP(A23,[1]!Tableau_cotisants,2,FALSE)</f>
        <v>PRESSON-HALLYG</v>
      </c>
      <c r="C23" s="52" t="str">
        <f>VLOOKUP(A23,[1]!Tableau_cotisants,3,FALSE)</f>
        <v>HALLYG</v>
      </c>
      <c r="D23" s="52" t="str">
        <f>VLOOKUP(A23,[1]!Tableau_cotisants,4,FALSE)</f>
        <v>Bérangère</v>
      </c>
      <c r="E23" s="53">
        <f>VLOOKUP(A23,[1]!Tableau_cotisants,5,FALSE)</f>
        <v>0</v>
      </c>
      <c r="F23" s="52">
        <f>VLOOKUP(A23,[1]!Tableau_cotisants,6,FALSE)</f>
        <v>1</v>
      </c>
      <c r="G23" s="52">
        <f>VLOOKUP(A23,[1]!Tableau_cotisants,7,FALSE)</f>
        <v>0</v>
      </c>
      <c r="H23" s="54">
        <f>VLOOKUP(A23,[1]!Tableau_cotisants,8,FALSE)</f>
        <v>27325</v>
      </c>
      <c r="I23" s="54" t="str">
        <f t="shared" si="0"/>
        <v>44 an(s) 3 mois et 0 jour(s)</v>
      </c>
      <c r="J23" s="52" t="str">
        <f>VLOOKUP(A23,[1]!Tableau_cotisants,10,FALSE)</f>
        <v>COGNAC</v>
      </c>
      <c r="K23" s="53" t="str">
        <f>VLOOKUP(A23,[1]!Tableau_cotisants,11,FALSE)</f>
        <v>Cognac</v>
      </c>
      <c r="L23" s="6">
        <v>1</v>
      </c>
      <c r="M23" s="5"/>
      <c r="N23" s="27"/>
      <c r="O23" s="26"/>
      <c r="P23" s="74">
        <v>1</v>
      </c>
      <c r="Q23" s="55"/>
      <c r="R23" s="55"/>
      <c r="S23" s="55"/>
    </row>
    <row r="24" spans="1:19" ht="12" customHeight="1">
      <c r="A24" s="111" t="s">
        <v>108</v>
      </c>
      <c r="B24" s="52" t="str">
        <f>VLOOKUP(A24,[1]!Tableau_cotisants,2,FALSE)</f>
        <v>PRESSON-HALLYG</v>
      </c>
      <c r="C24" s="52" t="str">
        <f>VLOOKUP(A24,[1]!Tableau_cotisants,3,FALSE)</f>
        <v>PRESSON-HALLYG</v>
      </c>
      <c r="D24" s="52" t="str">
        <f>VLOOKUP(A24,[1]!Tableau_cotisants,4,FALSE)</f>
        <v>Sasha</v>
      </c>
      <c r="E24" s="53">
        <f>VLOOKUP(A24,[1]!Tableau_cotisants,5,FALSE)</f>
        <v>0</v>
      </c>
      <c r="F24" s="52">
        <f>VLOOKUP(A24,[1]!Tableau_cotisants,6,FALSE)</f>
        <v>0</v>
      </c>
      <c r="G24" s="52">
        <f>VLOOKUP(A24,[1]!Tableau_cotisants,7,FALSE)</f>
        <v>1</v>
      </c>
      <c r="H24" s="54">
        <f>VLOOKUP(A24,[1]!Tableau_cotisants,8,FALSE)</f>
        <v>41634</v>
      </c>
      <c r="I24" s="54" t="str">
        <f t="shared" si="0"/>
        <v>5 an(s) 0 mois et 28 jour(s)</v>
      </c>
      <c r="J24" s="52" t="str">
        <f>VLOOKUP(A24,[1]!Tableau_cotisants,10,FALSE)</f>
        <v>Cognac</v>
      </c>
      <c r="K24" s="53" t="str">
        <f>VLOOKUP(A24,[1]!Tableau_cotisants,11,FALSE)</f>
        <v>Cognac</v>
      </c>
      <c r="L24" s="6">
        <v>1</v>
      </c>
      <c r="M24" s="5"/>
      <c r="N24" s="27"/>
      <c r="O24" s="26"/>
      <c r="P24" s="74">
        <v>1</v>
      </c>
      <c r="Q24" s="55"/>
      <c r="R24" s="55"/>
      <c r="S24" s="55"/>
    </row>
    <row r="25" spans="1:19" ht="12" customHeight="1">
      <c r="A25" s="109" t="s">
        <v>109</v>
      </c>
      <c r="B25" s="52" t="str">
        <f>VLOOKUP(A25,[1]!Tableau_cotisants,2,FALSE)</f>
        <v>LIENART DELABEYE</v>
      </c>
      <c r="C25" s="52" t="str">
        <f>VLOOKUP(A25,[1]!Tableau_cotisants,3,FALSE)</f>
        <v>LIENART DELABEYE</v>
      </c>
      <c r="D25" s="52" t="str">
        <f>VLOOKUP(A25,[1]!Tableau_cotisants,4,FALSE)</f>
        <v>Brigitte</v>
      </c>
      <c r="E25" s="53">
        <f>VLOOKUP(A25,[1]!Tableau_cotisants,5,FALSE)</f>
        <v>0</v>
      </c>
      <c r="F25" s="52">
        <f>VLOOKUP(A25,[1]!Tableau_cotisants,6,FALSE)</f>
        <v>1</v>
      </c>
      <c r="G25" s="52">
        <f>VLOOKUP(A25,[1]!Tableau_cotisants,7,FALSE)</f>
        <v>0</v>
      </c>
      <c r="H25" s="54">
        <f>VLOOKUP(A25,[1]!Tableau_cotisants,8,FALSE)</f>
        <v>20885</v>
      </c>
      <c r="I25" s="54" t="str">
        <f t="shared" si="0"/>
        <v>61 an(s) 10 mois et 17 jour(s)</v>
      </c>
      <c r="J25" s="52" t="str">
        <f>VLOOKUP(A25,[1]!Tableau_cotisants,10,FALSE)</f>
        <v>ANGEAC CHAMPAGNE</v>
      </c>
      <c r="K25" s="53" t="str">
        <f>VLOOKUP(A25,[1]!Tableau_cotisants,11,FALSE)</f>
        <v>Champagne</v>
      </c>
      <c r="L25" s="6">
        <v>1</v>
      </c>
      <c r="M25" s="5"/>
      <c r="N25" s="27">
        <v>1</v>
      </c>
      <c r="O25" s="26"/>
      <c r="P25" s="74"/>
      <c r="Q25" s="55"/>
      <c r="R25" s="55"/>
      <c r="S25" s="55"/>
    </row>
    <row r="26" spans="1:19" ht="12" customHeight="1">
      <c r="A26" s="114" t="s">
        <v>115</v>
      </c>
      <c r="B26" s="52" t="str">
        <f>VLOOKUP(A26,[1]!Tableau_cotisants,2,FALSE)</f>
        <v>GABORIT-TRIJOL</v>
      </c>
      <c r="C26" s="52" t="str">
        <f>VLOOKUP(A26,[1]!Tableau_cotisants,3,FALSE)</f>
        <v>TRIJOL</v>
      </c>
      <c r="D26" s="52" t="str">
        <f>VLOOKUP(A26,[1]!Tableau_cotisants,4,FALSE)</f>
        <v>Alexandra</v>
      </c>
      <c r="E26" s="53">
        <f>VLOOKUP(A26,[1]!Tableau_cotisants,5,FALSE)</f>
        <v>0</v>
      </c>
      <c r="F26" s="52">
        <f>VLOOKUP(A26,[1]!Tableau_cotisants,6,FALSE)</f>
        <v>1</v>
      </c>
      <c r="G26" s="52">
        <f>VLOOKUP(A26,[1]!Tableau_cotisants,7,FALSE)</f>
        <v>0</v>
      </c>
      <c r="H26" s="54">
        <f>VLOOKUP(A26,[1]!Tableau_cotisants,8,FALSE)</f>
        <v>30766</v>
      </c>
      <c r="I26" s="54" t="str">
        <f t="shared" si="0"/>
        <v>34 an(s) 9 mois et 29 jour(s)</v>
      </c>
      <c r="J26" s="52" t="str">
        <f>VLOOKUP(A26,[1]!Tableau_cotisants,10,FALSE)</f>
        <v>Mainxe</v>
      </c>
      <c r="K26" s="53" t="str">
        <f>VLOOKUP(A26,[1]!Tableau_cotisants,11,FALSE)</f>
        <v>Jarnac</v>
      </c>
      <c r="L26" s="6">
        <v>1</v>
      </c>
      <c r="M26" s="5">
        <v>1</v>
      </c>
      <c r="N26" s="27">
        <v>2</v>
      </c>
      <c r="O26" s="26"/>
      <c r="P26" s="74"/>
      <c r="Q26" s="55"/>
      <c r="R26" s="55"/>
      <c r="S26" s="55"/>
    </row>
    <row r="27" spans="1:19" ht="12" customHeight="1">
      <c r="A27" s="109" t="s">
        <v>110</v>
      </c>
      <c r="B27" s="52" t="str">
        <f>VLOOKUP(A27,[1]!Tableau_cotisants,2,FALSE)</f>
        <v>LIENART DELABEYE</v>
      </c>
      <c r="C27" s="52" t="str">
        <f>VLOOKUP(A27,[1]!Tableau_cotisants,3,FALSE)</f>
        <v>LIENART</v>
      </c>
      <c r="D27" s="52" t="str">
        <f>VLOOKUP(A27,[1]!Tableau_cotisants,4,FALSE)</f>
        <v>Séverine</v>
      </c>
      <c r="E27" s="53">
        <f>VLOOKUP(A27,[1]!Tableau_cotisants,5,FALSE)</f>
        <v>0</v>
      </c>
      <c r="F27" s="52">
        <f>VLOOKUP(A27,[1]!Tableau_cotisants,6,FALSE)</f>
        <v>1</v>
      </c>
      <c r="G27" s="52">
        <f>VLOOKUP(A27,[1]!Tableau_cotisants,7,FALSE)</f>
        <v>0</v>
      </c>
      <c r="H27" s="54">
        <f>VLOOKUP(A27,[1]!Tableau_cotisants,8,FALSE)</f>
        <v>31438</v>
      </c>
      <c r="I27" s="54" t="str">
        <f t="shared" si="0"/>
        <v>32 an(s) 11 mois et 28 jour(s)</v>
      </c>
      <c r="J27" s="52" t="str">
        <f>VLOOKUP(A27,[1]!Tableau_cotisants,10,FALSE)</f>
        <v>ANGEAC CHAMPAGNE</v>
      </c>
      <c r="K27" s="53" t="str">
        <f>VLOOKUP(A27,[1]!Tableau_cotisants,11,FALSE)</f>
        <v>Champagne</v>
      </c>
      <c r="L27" s="6">
        <v>1</v>
      </c>
      <c r="M27" s="5"/>
      <c r="N27" s="27">
        <v>1</v>
      </c>
      <c r="O27" s="26"/>
      <c r="P27" s="74"/>
      <c r="Q27" s="55"/>
      <c r="R27" s="55"/>
      <c r="S27" s="55"/>
    </row>
    <row r="28" spans="1:19" ht="12" customHeight="1">
      <c r="A28" s="109" t="s">
        <v>111</v>
      </c>
      <c r="B28" s="52" t="str">
        <f>VLOOKUP(A28,[1]!Tableau_cotisants,2,FALSE)</f>
        <v>LIENART DELABEYE</v>
      </c>
      <c r="C28" s="52" t="str">
        <f>VLOOKUP(A28,[1]!Tableau_cotisants,3,FALSE)</f>
        <v>LIENART</v>
      </c>
      <c r="D28" s="52" t="str">
        <f>VLOOKUP(A28,[1]!Tableau_cotisants,4,FALSE)</f>
        <v>Sacha</v>
      </c>
      <c r="E28" s="53">
        <f>VLOOKUP(A28,[1]!Tableau_cotisants,5,FALSE)</f>
        <v>0</v>
      </c>
      <c r="F28" s="52">
        <f>VLOOKUP(A28,[1]!Tableau_cotisants,6,FALSE)</f>
        <v>0</v>
      </c>
      <c r="G28" s="52">
        <f>VLOOKUP(A28,[1]!Tableau_cotisants,7,FALSE)</f>
        <v>1</v>
      </c>
      <c r="H28" s="54">
        <f>VLOOKUP(A28,[1]!Tableau_cotisants,8,FALSE)</f>
        <v>42830</v>
      </c>
      <c r="I28" s="54" t="str">
        <f t="shared" si="0"/>
        <v>1 an(s) 9 mois et 18 jour(s)</v>
      </c>
      <c r="J28" s="52" t="str">
        <f>VLOOKUP(A28,[1]!Tableau_cotisants,10,FALSE)</f>
        <v>ANGEAC CHAMPAGNE</v>
      </c>
      <c r="K28" s="53" t="str">
        <f>VLOOKUP(A28,[1]!Tableau_cotisants,11,FALSE)</f>
        <v>Champagne</v>
      </c>
      <c r="L28" s="6">
        <v>1</v>
      </c>
      <c r="M28" s="5"/>
      <c r="N28" s="27">
        <v>1</v>
      </c>
      <c r="O28" s="26"/>
      <c r="P28" s="74"/>
      <c r="Q28" s="55"/>
      <c r="R28" s="55"/>
      <c r="S28" s="55"/>
    </row>
    <row r="29" spans="1:19" ht="12" customHeight="1">
      <c r="A29" s="100"/>
      <c r="B29" s="125" t="s">
        <v>112</v>
      </c>
      <c r="C29" s="112"/>
      <c r="D29" s="112"/>
      <c r="E29" s="57"/>
      <c r="F29" s="56"/>
      <c r="G29" s="56"/>
      <c r="H29" s="58"/>
      <c r="I29" s="58"/>
      <c r="J29" s="56"/>
      <c r="K29" s="57"/>
      <c r="L29" s="6"/>
      <c r="M29" s="5"/>
      <c r="N29" s="27"/>
      <c r="O29" s="26"/>
      <c r="P29" s="74"/>
      <c r="Q29" s="55"/>
      <c r="R29" s="55"/>
      <c r="S29" s="55"/>
    </row>
    <row r="30" spans="1:19" ht="12" customHeight="1">
      <c r="A30" s="113" t="s">
        <v>113</v>
      </c>
      <c r="B30" s="56" t="str">
        <f>VLOOKUP(A30,[1]!Tableau_cotisants,2,FALSE)</f>
        <v>Barett De Coutures</v>
      </c>
      <c r="C30" s="56" t="str">
        <f>VLOOKUP(A30,[1]!Tableau_cotisants,3,FALSE)</f>
        <v>Barett De Coutures</v>
      </c>
      <c r="D30" s="56" t="str">
        <f>VLOOKUP(A30,[1]!Tableau_cotisants,4,FALSE)</f>
        <v>Sophie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26736</v>
      </c>
      <c r="I30" s="58" t="str">
        <f t="shared" ref="I30:I44" si="1">DATEDIF(H30,Date_du_jour,"y") &amp; " an(s) " &amp; DATEDIF(H30,$C$2,"ym") &amp; " mois et " &amp; DATEDIF(H30,$C$2,"md") &amp; " jour(s)"</f>
        <v>45 an(s) 10 mois et 10 jour(s)</v>
      </c>
      <c r="J30" s="56" t="str">
        <f>VLOOKUP(A30,[1]!Tableau_cotisants,10,FALSE)</f>
        <v>Bourg Charente</v>
      </c>
      <c r="K30" s="57" t="str">
        <f>VLOOKUP(A30,[1]!Tableau_cotisants,11,FALSE)</f>
        <v>Jarnac</v>
      </c>
      <c r="L30" s="6"/>
      <c r="M30" s="5">
        <v>1</v>
      </c>
      <c r="N30" s="27">
        <v>1</v>
      </c>
      <c r="O30" s="26"/>
      <c r="P30" s="74"/>
      <c r="Q30" s="55"/>
      <c r="R30" s="55"/>
      <c r="S30" s="55"/>
    </row>
    <row r="31" spans="1:19" ht="12" customHeight="1">
      <c r="A31" s="113" t="s">
        <v>114</v>
      </c>
      <c r="B31" s="56" t="str">
        <f>VLOOKUP(A31,[1]!Tableau_cotisants,2,FALSE)</f>
        <v>Barett De Coutures</v>
      </c>
      <c r="C31" s="56" t="str">
        <f>VLOOKUP(A31,[1]!Tableau_cotisants,3,FALSE)</f>
        <v>Barett De Coutures</v>
      </c>
      <c r="D31" s="56" t="str">
        <f>VLOOKUP(A31,[1]!Tableau_cotisants,4,FALSE)</f>
        <v>Louise</v>
      </c>
      <c r="E31" s="57">
        <f>VLOOKUP(A31,[1]!Tableau_cotisants,5,FALSE)</f>
        <v>0</v>
      </c>
      <c r="F31" s="56">
        <f>VLOOKUP(A31,[1]!Tableau_cotisants,6,FALSE)</f>
        <v>1</v>
      </c>
      <c r="G31" s="56">
        <f>VLOOKUP(A31,[1]!Tableau_cotisants,7,FALSE)</f>
        <v>0</v>
      </c>
      <c r="H31" s="58">
        <f>VLOOKUP(A31,[1]!Tableau_cotisants,8,FALSE)</f>
        <v>41504</v>
      </c>
      <c r="I31" s="58" t="str">
        <f t="shared" si="1"/>
        <v>5 an(s) 5 mois et 5 jour(s)</v>
      </c>
      <c r="J31" s="56" t="str">
        <f>VLOOKUP(A31,[1]!Tableau_cotisants,10,FALSE)</f>
        <v>Bourg Charente</v>
      </c>
      <c r="K31" s="57" t="str">
        <f>VLOOKUP(A31,[1]!Tableau_cotisants,11,FALSE)</f>
        <v>Jarnac</v>
      </c>
      <c r="L31" s="6"/>
      <c r="M31" s="5">
        <v>1</v>
      </c>
      <c r="N31" s="27">
        <v>1</v>
      </c>
      <c r="O31" s="26"/>
      <c r="P31" s="74"/>
      <c r="Q31" s="55"/>
      <c r="R31" s="55"/>
      <c r="S31" s="55"/>
    </row>
    <row r="32" spans="1:19" ht="12" customHeight="1">
      <c r="A32" s="114" t="s">
        <v>116</v>
      </c>
      <c r="B32" s="56" t="str">
        <f>VLOOKUP(A32,[1]!Tableau_cotisants,2,FALSE)</f>
        <v>GABORIT-TRIJOL</v>
      </c>
      <c r="C32" s="56" t="str">
        <f>VLOOKUP(A32,[1]!Tableau_cotisants,3,FALSE)</f>
        <v>GABORIT</v>
      </c>
      <c r="D32" s="56" t="str">
        <f>VLOOKUP(A32,[1]!Tableau_cotisants,4,FALSE)</f>
        <v>Sylvain</v>
      </c>
      <c r="E32" s="57">
        <f>VLOOKUP(A32,[1]!Tableau_cotisants,5,FALSE)</f>
        <v>0</v>
      </c>
      <c r="F32" s="56">
        <f>VLOOKUP(A32,[1]!Tableau_cotisants,6,FALSE)</f>
        <v>0</v>
      </c>
      <c r="G32" s="56">
        <f>VLOOKUP(A32,[1]!Tableau_cotisants,7,FALSE)</f>
        <v>1</v>
      </c>
      <c r="H32" s="58">
        <f>VLOOKUP(A32,[1]!Tableau_cotisants,8,FALSE)</f>
        <v>31045</v>
      </c>
      <c r="I32" s="58" t="str">
        <f t="shared" si="1"/>
        <v>34 an(s) 0 mois et 25 jour(s)</v>
      </c>
      <c r="J32" s="56" t="str">
        <f>VLOOKUP(A32,[1]!Tableau_cotisants,10,FALSE)</f>
        <v>Mainxe</v>
      </c>
      <c r="K32" s="57" t="str">
        <f>VLOOKUP(A32,[1]!Tableau_cotisants,11,FALSE)</f>
        <v>Jarnac</v>
      </c>
      <c r="L32" s="6"/>
      <c r="M32" s="5">
        <v>1</v>
      </c>
      <c r="N32" s="27">
        <v>1</v>
      </c>
      <c r="O32" s="26"/>
      <c r="P32" s="74"/>
      <c r="Q32" s="55"/>
      <c r="R32" s="55"/>
      <c r="S32" s="55"/>
    </row>
    <row r="33" spans="1:19" ht="12" customHeight="1">
      <c r="A33" s="114" t="s">
        <v>117</v>
      </c>
      <c r="B33" s="56" t="str">
        <f>VLOOKUP(A33,[1]!Tableau_cotisants,2,FALSE)</f>
        <v>GABORIT-TRIJOL</v>
      </c>
      <c r="C33" s="56" t="str">
        <f>VLOOKUP(A33,[1]!Tableau_cotisants,3,FALSE)</f>
        <v>GABORIT-TRIJOL</v>
      </c>
      <c r="D33" s="56" t="str">
        <f>VLOOKUP(A33,[1]!Tableau_cotisants,4,FALSE)</f>
        <v>Marceau</v>
      </c>
      <c r="E33" s="57">
        <f>VLOOKUP(A33,[1]!Tableau_cotisants,5,FALSE)</f>
        <v>0</v>
      </c>
      <c r="F33" s="56">
        <f>VLOOKUP(A33,[1]!Tableau_cotisants,6,FALSE)</f>
        <v>0</v>
      </c>
      <c r="G33" s="56">
        <f>VLOOKUP(A33,[1]!Tableau_cotisants,7,FALSE)</f>
        <v>1</v>
      </c>
      <c r="H33" s="58">
        <f>VLOOKUP(A33,[1]!Tableau_cotisants,8,FALSE)</f>
        <v>43002</v>
      </c>
      <c r="I33" s="58" t="str">
        <f t="shared" si="1"/>
        <v>1 an(s) 3 mois et 30 jour(s)</v>
      </c>
      <c r="J33" s="56" t="str">
        <f>VLOOKUP(A33,[1]!Tableau_cotisants,10,FALSE)</f>
        <v>Mainxe</v>
      </c>
      <c r="K33" s="57" t="str">
        <f>VLOOKUP(A33,[1]!Tableau_cotisants,11,FALSE)</f>
        <v>Jarnac</v>
      </c>
      <c r="L33" s="6"/>
      <c r="M33" s="5">
        <v>1</v>
      </c>
      <c r="N33" s="27">
        <v>1</v>
      </c>
      <c r="O33" s="26"/>
      <c r="P33" s="74"/>
      <c r="Q33" s="55"/>
      <c r="R33" s="55"/>
      <c r="S33" s="55"/>
    </row>
    <row r="34" spans="1:19" ht="12" customHeight="1">
      <c r="A34" s="116" t="s">
        <v>118</v>
      </c>
      <c r="B34" s="56" t="str">
        <f>VLOOKUP(A34,[1]!Tableau_cotisants,2,FALSE)</f>
        <v>NADAL</v>
      </c>
      <c r="C34" s="56" t="str">
        <f>VLOOKUP(A34,[1]!Tableau_cotisants,3,FALSE)</f>
        <v>NADAL</v>
      </c>
      <c r="D34" s="56" t="str">
        <f>VLOOKUP(A34,[1]!Tableau_cotisants,4,FALSE)</f>
        <v>Stéphanie</v>
      </c>
      <c r="E34" s="57">
        <f>VLOOKUP(A34,[1]!Tableau_cotisants,5,FALSE)</f>
        <v>0</v>
      </c>
      <c r="F34" s="56">
        <f>VLOOKUP(A34,[1]!Tableau_cotisants,6,FALSE)</f>
        <v>1</v>
      </c>
      <c r="G34" s="56">
        <f>VLOOKUP(A34,[1]!Tableau_cotisants,7,FALSE)</f>
        <v>0</v>
      </c>
      <c r="H34" s="58">
        <f>VLOOKUP(A34,[1]!Tableau_cotisants,8,FALSE)</f>
        <v>31160</v>
      </c>
      <c r="I34" s="58" t="str">
        <f t="shared" si="1"/>
        <v>33 an(s) 9 mois et 0 jour(s)</v>
      </c>
      <c r="J34" s="56" t="str">
        <f>VLOOKUP(A34,[1]!Tableau_cotisants,10,FALSE)</f>
        <v>Saint Même Les Carrières</v>
      </c>
      <c r="K34" s="57" t="str">
        <f>VLOOKUP(A34,[1]!Tableau_cotisants,11,FALSE)</f>
        <v>Jarnac</v>
      </c>
      <c r="L34" s="6"/>
      <c r="M34" s="5">
        <v>1</v>
      </c>
      <c r="N34" s="27">
        <v>1</v>
      </c>
      <c r="O34" s="26"/>
      <c r="P34" s="74"/>
      <c r="Q34" s="55"/>
      <c r="R34" s="55"/>
      <c r="S34" s="55"/>
    </row>
    <row r="35" spans="1:19" ht="12" customHeight="1">
      <c r="A35" s="116" t="s">
        <v>119</v>
      </c>
      <c r="B35" s="56" t="str">
        <f>VLOOKUP(A35,[1]!Tableau_cotisants,2,FALSE)</f>
        <v>NADAL</v>
      </c>
      <c r="C35" s="56" t="str">
        <f>VLOOKUP(A35,[1]!Tableau_cotisants,3,FALSE)</f>
        <v>NADAL</v>
      </c>
      <c r="D35" s="56" t="str">
        <f>VLOOKUP(A35,[1]!Tableau_cotisants,4,FALSE)</f>
        <v>Nicolas</v>
      </c>
      <c r="E35" s="57">
        <f>VLOOKUP(A35,[1]!Tableau_cotisants,5,FALSE)</f>
        <v>0</v>
      </c>
      <c r="F35" s="56">
        <f>VLOOKUP(A35,[1]!Tableau_cotisants,6,FALSE)</f>
        <v>0</v>
      </c>
      <c r="G35" s="56">
        <f>VLOOKUP(A35,[1]!Tableau_cotisants,7,FALSE)</f>
        <v>1</v>
      </c>
      <c r="H35" s="58">
        <f>VLOOKUP(A35,[1]!Tableau_cotisants,8,FALSE)</f>
        <v>30526</v>
      </c>
      <c r="I35" s="58" t="str">
        <f t="shared" si="1"/>
        <v>35 an(s) 5 mois et 25 jour(s)</v>
      </c>
      <c r="J35" s="56" t="str">
        <f>VLOOKUP(A35,[1]!Tableau_cotisants,10,FALSE)</f>
        <v>Saint Même Les Carrières</v>
      </c>
      <c r="K35" s="57" t="str">
        <f>VLOOKUP(A35,[1]!Tableau_cotisants,11,FALSE)</f>
        <v>Jarnac</v>
      </c>
      <c r="L35" s="6"/>
      <c r="M35" s="5">
        <v>1</v>
      </c>
      <c r="N35" s="27">
        <v>1</v>
      </c>
      <c r="O35" s="26"/>
      <c r="P35" s="74"/>
      <c r="Q35" s="55"/>
      <c r="R35" s="55"/>
      <c r="S35" s="55"/>
    </row>
    <row r="36" spans="1:19" ht="12" customHeight="1">
      <c r="A36" s="7"/>
      <c r="B36" s="127" t="s">
        <v>140</v>
      </c>
      <c r="C36" s="127" t="s">
        <v>141</v>
      </c>
      <c r="D36" s="127" t="s">
        <v>143</v>
      </c>
      <c r="E36" s="128"/>
      <c r="F36" s="127">
        <v>1</v>
      </c>
      <c r="G36" s="127"/>
      <c r="H36" s="129">
        <v>21333</v>
      </c>
      <c r="I36" s="129" t="str">
        <f t="shared" si="1"/>
        <v>60 an(s) 7 mois et 26 jour(s)</v>
      </c>
      <c r="J36" s="127" t="s">
        <v>144</v>
      </c>
      <c r="K36" s="128" t="s">
        <v>13</v>
      </c>
      <c r="L36" s="6"/>
      <c r="M36" s="5">
        <v>1</v>
      </c>
      <c r="N36" s="27">
        <v>1</v>
      </c>
      <c r="O36" s="26"/>
      <c r="P36" s="74"/>
      <c r="Q36" s="55">
        <v>1</v>
      </c>
      <c r="R36" s="55"/>
      <c r="S36" s="55"/>
    </row>
    <row r="37" spans="1:19" ht="12" customHeight="1">
      <c r="A37" s="7"/>
      <c r="B37" s="127" t="s">
        <v>140</v>
      </c>
      <c r="C37" s="127" t="s">
        <v>142</v>
      </c>
      <c r="D37" s="127" t="s">
        <v>80</v>
      </c>
      <c r="E37" s="128"/>
      <c r="F37" s="127"/>
      <c r="G37" s="127">
        <v>1</v>
      </c>
      <c r="H37" s="129">
        <v>42545</v>
      </c>
      <c r="I37" s="129" t="str">
        <f t="shared" si="1"/>
        <v>2 an(s) 6 mois et 30 jour(s)</v>
      </c>
      <c r="J37" s="127" t="s">
        <v>144</v>
      </c>
      <c r="K37" s="128" t="s">
        <v>13</v>
      </c>
      <c r="L37" s="6"/>
      <c r="M37" s="5">
        <v>1</v>
      </c>
      <c r="N37" s="27">
        <v>1</v>
      </c>
      <c r="O37" s="26"/>
      <c r="P37" s="74"/>
      <c r="Q37" s="55">
        <v>1</v>
      </c>
      <c r="R37" s="55"/>
      <c r="S37" s="55"/>
    </row>
    <row r="38" spans="1:19" ht="12" customHeight="1">
      <c r="A38" s="7"/>
      <c r="B38" s="127" t="s">
        <v>160</v>
      </c>
      <c r="C38" s="127" t="s">
        <v>162</v>
      </c>
      <c r="D38" s="127" t="s">
        <v>163</v>
      </c>
      <c r="E38" s="128"/>
      <c r="F38" s="127">
        <v>1</v>
      </c>
      <c r="G38" s="127"/>
      <c r="H38" s="129">
        <v>33429</v>
      </c>
      <c r="I38" s="129" t="str">
        <f t="shared" si="1"/>
        <v>27 an(s) 6 mois et 13 jour(s)</v>
      </c>
      <c r="J38" s="127" t="s">
        <v>144</v>
      </c>
      <c r="K38" s="128" t="s">
        <v>13</v>
      </c>
      <c r="L38" s="6"/>
      <c r="M38" s="5">
        <v>1</v>
      </c>
      <c r="N38" s="27">
        <v>1</v>
      </c>
      <c r="O38" s="26"/>
      <c r="P38" s="74"/>
      <c r="Q38" s="55">
        <v>1</v>
      </c>
      <c r="R38" s="55"/>
      <c r="S38" s="55"/>
    </row>
    <row r="39" spans="1:19" ht="12" customHeight="1">
      <c r="A39" s="7"/>
      <c r="B39" s="127" t="s">
        <v>160</v>
      </c>
      <c r="C39" s="127" t="s">
        <v>141</v>
      </c>
      <c r="D39" s="127" t="s">
        <v>164</v>
      </c>
      <c r="E39" s="128"/>
      <c r="F39" s="127">
        <v>1</v>
      </c>
      <c r="G39" s="127"/>
      <c r="H39" s="129">
        <v>42908</v>
      </c>
      <c r="I39" s="129" t="str">
        <f t="shared" si="1"/>
        <v>1 an(s) 7 mois et 1 jour(s)</v>
      </c>
      <c r="J39" s="127" t="s">
        <v>144</v>
      </c>
      <c r="K39" s="128" t="s">
        <v>13</v>
      </c>
      <c r="L39" s="6"/>
      <c r="M39" s="5">
        <v>1</v>
      </c>
      <c r="N39" s="27">
        <v>1</v>
      </c>
      <c r="O39" s="26"/>
      <c r="P39" s="74"/>
      <c r="Q39" s="55">
        <v>1</v>
      </c>
      <c r="R39" s="55"/>
      <c r="S39" s="55"/>
    </row>
    <row r="40" spans="1:19" ht="12" customHeight="1">
      <c r="A40" s="7"/>
      <c r="B40" s="127" t="s">
        <v>161</v>
      </c>
      <c r="C40" s="127" t="s">
        <v>161</v>
      </c>
      <c r="D40" s="127" t="s">
        <v>165</v>
      </c>
      <c r="E40" s="128"/>
      <c r="F40" s="127">
        <v>1</v>
      </c>
      <c r="G40" s="127"/>
      <c r="H40" s="129">
        <v>32331</v>
      </c>
      <c r="I40" s="129" t="str">
        <f t="shared" si="1"/>
        <v>30 an(s) 6 mois et 16 jour(s)</v>
      </c>
      <c r="J40" s="127" t="s">
        <v>167</v>
      </c>
      <c r="K40" s="128" t="s">
        <v>168</v>
      </c>
      <c r="L40" s="6"/>
      <c r="M40" s="5">
        <v>1</v>
      </c>
      <c r="N40" s="27">
        <v>1</v>
      </c>
      <c r="O40" s="26"/>
      <c r="P40" s="74"/>
      <c r="Q40" s="55">
        <v>1</v>
      </c>
      <c r="R40" s="55"/>
      <c r="S40" s="55"/>
    </row>
    <row r="41" spans="1:19" ht="12" customHeight="1">
      <c r="A41" s="7"/>
      <c r="B41" s="127" t="s">
        <v>161</v>
      </c>
      <c r="C41" s="127" t="s">
        <v>161</v>
      </c>
      <c r="D41" s="127" t="s">
        <v>166</v>
      </c>
      <c r="E41" s="128"/>
      <c r="F41" s="127"/>
      <c r="G41" s="127">
        <v>1</v>
      </c>
      <c r="H41" s="129">
        <v>42869</v>
      </c>
      <c r="I41" s="129" t="str">
        <f t="shared" si="1"/>
        <v>1 an(s) 8 mois et 9 jour(s)</v>
      </c>
      <c r="J41" s="127" t="s">
        <v>167</v>
      </c>
      <c r="K41" s="128" t="s">
        <v>168</v>
      </c>
      <c r="L41" s="6"/>
      <c r="M41" s="5">
        <v>1</v>
      </c>
      <c r="N41" s="27">
        <v>1</v>
      </c>
      <c r="O41" s="26"/>
      <c r="P41" s="74"/>
      <c r="Q41" s="55">
        <v>1</v>
      </c>
      <c r="R41" s="55"/>
      <c r="S41" s="55"/>
    </row>
    <row r="42" spans="1:19" ht="12" customHeight="1">
      <c r="A42" s="117" t="s">
        <v>125</v>
      </c>
      <c r="B42" s="56" t="str">
        <f>VLOOKUP(A42,[1]!Tableau_cotisants,2,FALSE)</f>
        <v>SANSAUD/MOREAU</v>
      </c>
      <c r="C42" s="56" t="str">
        <f>VLOOKUP(A42,[1]!Tableau_cotisants,3,FALSE)</f>
        <v>MOREAU</v>
      </c>
      <c r="D42" s="56" t="str">
        <f>VLOOKUP(A42,[1]!Tableau_cotisants,4,FALSE)</f>
        <v>Emmanuelle</v>
      </c>
      <c r="E42" s="57">
        <f>VLOOKUP(A42,[1]!Tableau_cotisants,5,FALSE)</f>
        <v>0</v>
      </c>
      <c r="F42" s="56">
        <f>VLOOKUP(A42,[1]!Tableau_cotisants,6,FALSE)</f>
        <v>1</v>
      </c>
      <c r="G42" s="56">
        <f>VLOOKUP(A42,[1]!Tableau_cotisants,7,FALSE)</f>
        <v>0</v>
      </c>
      <c r="H42" s="58">
        <f>VLOOKUP(A42,[1]!Tableau_cotisants,8,FALSE)</f>
        <v>29187</v>
      </c>
      <c r="I42" s="58" t="str">
        <f t="shared" si="1"/>
        <v>39 an(s) 1 mois et 26 jour(s)</v>
      </c>
      <c r="J42" s="56" t="str">
        <f>VLOOKUP(A42,[1]!Tableau_cotisants,10,FALSE)</f>
        <v>SEGONZAC</v>
      </c>
      <c r="K42" s="57" t="str">
        <f>VLOOKUP(A42,[1]!Tableau_cotisants,11,FALSE)</f>
        <v>Champagne</v>
      </c>
      <c r="L42" s="6"/>
      <c r="M42" s="5">
        <v>1</v>
      </c>
      <c r="N42" s="27"/>
      <c r="O42" s="26"/>
      <c r="P42" s="74">
        <v>1</v>
      </c>
      <c r="Q42" s="55"/>
      <c r="R42" s="55"/>
      <c r="S42" s="55"/>
    </row>
    <row r="43" spans="1:19" ht="12" customHeight="1">
      <c r="A43" s="117" t="s">
        <v>126</v>
      </c>
      <c r="B43" s="56" t="str">
        <f>VLOOKUP(A43,[1]!Tableau_cotisants,2,FALSE)</f>
        <v>SANSAUD/MOREAU</v>
      </c>
      <c r="C43" s="56" t="str">
        <f>VLOOKUP(A43,[1]!Tableau_cotisants,3,FALSE)</f>
        <v>SANSAUD</v>
      </c>
      <c r="D43" s="56" t="str">
        <f>VLOOKUP(A43,[1]!Tableau_cotisants,4,FALSE)</f>
        <v>Ethan</v>
      </c>
      <c r="E43" s="57">
        <f>VLOOKUP(A43,[1]!Tableau_cotisants,5,FALSE)</f>
        <v>0</v>
      </c>
      <c r="F43" s="56">
        <f>VLOOKUP(A43,[1]!Tableau_cotisants,6,FALSE)</f>
        <v>0</v>
      </c>
      <c r="G43" s="56">
        <f>VLOOKUP(A43,[1]!Tableau_cotisants,7,FALSE)</f>
        <v>1</v>
      </c>
      <c r="H43" s="58">
        <f>VLOOKUP(A43,[1]!Tableau_cotisants,8,FALSE)</f>
        <v>41015</v>
      </c>
      <c r="I43" s="58" t="str">
        <f t="shared" si="1"/>
        <v>6 an(s) 9 mois et 7 jour(s)</v>
      </c>
      <c r="J43" s="56" t="str">
        <f>VLOOKUP(A43,[1]!Tableau_cotisants,10,FALSE)</f>
        <v>SEGONZAC</v>
      </c>
      <c r="K43" s="57" t="str">
        <f>VLOOKUP(A43,[1]!Tableau_cotisants,11,FALSE)</f>
        <v>Champagne</v>
      </c>
      <c r="L43" s="6"/>
      <c r="M43" s="5">
        <v>1</v>
      </c>
      <c r="N43" s="27"/>
      <c r="O43" s="26"/>
      <c r="P43" s="74">
        <v>1</v>
      </c>
      <c r="Q43" s="55"/>
      <c r="R43" s="55"/>
      <c r="S43" s="55"/>
    </row>
    <row r="44" spans="1:19" ht="12" customHeight="1" thickBot="1">
      <c r="A44" s="117" t="s">
        <v>127</v>
      </c>
      <c r="B44" s="56" t="str">
        <f>VLOOKUP(A44,[1]!Tableau_cotisants,2,FALSE)</f>
        <v>SANSAUD/MOREAU</v>
      </c>
      <c r="C44" s="56" t="str">
        <f>VLOOKUP(A44,[1]!Tableau_cotisants,3,FALSE)</f>
        <v>SANSAUD</v>
      </c>
      <c r="D44" s="56" t="str">
        <f>VLOOKUP(A44,[1]!Tableau_cotisants,4,FALSE)</f>
        <v>Axel</v>
      </c>
      <c r="E44" s="57">
        <f>VLOOKUP(A44,[1]!Tableau_cotisants,5,FALSE)</f>
        <v>0</v>
      </c>
      <c r="F44" s="56">
        <f>VLOOKUP(A44,[1]!Tableau_cotisants,6,FALSE)</f>
        <v>0</v>
      </c>
      <c r="G44" s="56">
        <f>VLOOKUP(A44,[1]!Tableau_cotisants,7,FALSE)</f>
        <v>1</v>
      </c>
      <c r="H44" s="58">
        <f>VLOOKUP(A44,[1]!Tableau_cotisants,8,FALSE)</f>
        <v>42407</v>
      </c>
      <c r="I44" s="58" t="str">
        <f t="shared" si="1"/>
        <v>2 an(s) 11 mois et 16 jour(s)</v>
      </c>
      <c r="J44" s="56" t="str">
        <f>VLOOKUP(A44,[1]!Tableau_cotisants,10,FALSE)</f>
        <v>SEGONZAC</v>
      </c>
      <c r="K44" s="57" t="str">
        <f>VLOOKUP(A44,[1]!Tableau_cotisants,11,FALSE)</f>
        <v>Champagne</v>
      </c>
      <c r="L44" s="6"/>
      <c r="M44" s="5">
        <v>1</v>
      </c>
      <c r="N44" s="27"/>
      <c r="O44" s="26"/>
      <c r="P44" s="74">
        <v>1</v>
      </c>
      <c r="Q44" s="55"/>
      <c r="R44" s="55"/>
      <c r="S44" s="55"/>
    </row>
    <row r="45" spans="1:19" ht="19.5" thickBot="1">
      <c r="A45" s="17"/>
      <c r="B45" s="4"/>
      <c r="C45" s="4"/>
      <c r="D45" s="4"/>
      <c r="E45" s="4">
        <f>SUM(E7:E44)</f>
        <v>7</v>
      </c>
      <c r="F45" s="4">
        <f>SUM(F5:F44)</f>
        <v>20</v>
      </c>
      <c r="G45" s="4">
        <f>SUM(G5:G44)</f>
        <v>19</v>
      </c>
      <c r="H45" s="4"/>
      <c r="I45" s="4"/>
      <c r="J45" s="4"/>
      <c r="K45" s="18">
        <f>SUM(K7:K44)</f>
        <v>0</v>
      </c>
      <c r="L45" s="93">
        <f t="shared" ref="L45:S45" si="2">SUM(L5:L44)</f>
        <v>24</v>
      </c>
      <c r="M45" s="19">
        <f t="shared" si="2"/>
        <v>16</v>
      </c>
      <c r="N45" s="20">
        <f t="shared" si="2"/>
        <v>23</v>
      </c>
      <c r="O45" s="28">
        <f t="shared" si="2"/>
        <v>0</v>
      </c>
      <c r="P45" s="72">
        <f t="shared" si="2"/>
        <v>17</v>
      </c>
      <c r="Q45" s="79">
        <f t="shared" si="2"/>
        <v>6</v>
      </c>
      <c r="R45" s="80">
        <f t="shared" si="2"/>
        <v>0</v>
      </c>
      <c r="S45" s="81">
        <f t="shared" si="2"/>
        <v>3</v>
      </c>
    </row>
    <row r="46" spans="1:19" ht="24" thickBot="1">
      <c r="B46" t="s">
        <v>83</v>
      </c>
      <c r="C46" s="98"/>
      <c r="F46" s="201">
        <f>F45+G45</f>
        <v>39</v>
      </c>
      <c r="G46" s="201"/>
      <c r="L46" s="201">
        <f>L45+M45</f>
        <v>40</v>
      </c>
      <c r="M46" s="201"/>
      <c r="N46" s="202">
        <f>N45+O45+P45</f>
        <v>40</v>
      </c>
      <c r="O46" s="202"/>
      <c r="P46" s="202"/>
      <c r="Q46" s="106"/>
      <c r="R46" s="106"/>
      <c r="S46" s="106"/>
    </row>
    <row r="47" spans="1:19" ht="15.75" thickBot="1">
      <c r="B47" t="s">
        <v>76</v>
      </c>
      <c r="F47" t="s">
        <v>171</v>
      </c>
      <c r="L47" s="22">
        <f>L45+'16 janvier 2019'!L33</f>
        <v>46</v>
      </c>
      <c r="M47" s="23">
        <f>M45+'16 janvier 2019'!M33</f>
        <v>44</v>
      </c>
      <c r="N47" s="24">
        <f>N45+'16 janvier 2019'!N33</f>
        <v>46</v>
      </c>
      <c r="O47" s="25">
        <f>O45+'16 janvier 2019'!O33</f>
        <v>9</v>
      </c>
      <c r="P47" s="84">
        <f>P45+'16 janvier 2019'!P33</f>
        <v>35</v>
      </c>
      <c r="Q47" s="82">
        <f>Q45+'16 janvier 2019'!Q33</f>
        <v>6</v>
      </c>
      <c r="R47" s="90">
        <f>R45+'16 janvier 2019'!R33</f>
        <v>0</v>
      </c>
      <c r="S47" s="83">
        <f>S45+'16 janvier 2019'!S33</f>
        <v>3</v>
      </c>
    </row>
    <row r="48" spans="1:19" ht="33" thickBot="1">
      <c r="L48" s="203">
        <f>L46+'16 janvier 2019'!L34:M34</f>
        <v>90</v>
      </c>
      <c r="M48" s="204"/>
      <c r="N48" s="205">
        <f>N46+'16 janvier 2019'!N34:P34</f>
        <v>90</v>
      </c>
      <c r="O48" s="206"/>
      <c r="P48" s="207"/>
    </row>
    <row r="49" spans="1:6">
      <c r="B49" t="s">
        <v>181</v>
      </c>
      <c r="C49" s="142" t="s">
        <v>185</v>
      </c>
      <c r="D49" t="s">
        <v>181</v>
      </c>
      <c r="E49" s="208" t="s">
        <v>182</v>
      </c>
      <c r="F49" s="209"/>
    </row>
    <row r="50" spans="1:6" ht="45">
      <c r="A50" s="140" t="s">
        <v>183</v>
      </c>
      <c r="B50" s="138">
        <v>0</v>
      </c>
      <c r="C50" s="139">
        <f>B50+'16 janvier 2019'!C36</f>
        <v>1</v>
      </c>
      <c r="D50" s="138">
        <v>0</v>
      </c>
      <c r="E50" s="195">
        <f>D50+'16 janvier 2019'!E36:F36</f>
        <v>7</v>
      </c>
      <c r="F50" s="196"/>
    </row>
    <row r="51" spans="1:6" ht="32.25">
      <c r="A51" s="141" t="s">
        <v>184</v>
      </c>
      <c r="B51" s="138">
        <v>1</v>
      </c>
      <c r="C51" s="139">
        <f>B51+'16 janvier 2019'!C37</f>
        <v>4</v>
      </c>
      <c r="D51" s="138">
        <v>5</v>
      </c>
      <c r="E51" s="195">
        <f>D51+'16 janvier 2019'!E37:F37</f>
        <v>26</v>
      </c>
      <c r="F51" s="196"/>
    </row>
  </sheetData>
  <mergeCells count="9">
    <mergeCell ref="E51:F51"/>
    <mergeCell ref="F3:G3"/>
    <mergeCell ref="F46:G46"/>
    <mergeCell ref="L46:M46"/>
    <mergeCell ref="N46:P46"/>
    <mergeCell ref="L48:M48"/>
    <mergeCell ref="N48:P48"/>
    <mergeCell ref="E49:F49"/>
    <mergeCell ref="E50:F50"/>
  </mergeCells>
  <conditionalFormatting sqref="N48">
    <cfRule type="cellIs" dxfId="69" priority="4" operator="equal">
      <formula>$N$47+$O$47</formula>
    </cfRule>
  </conditionalFormatting>
  <conditionalFormatting sqref="N48">
    <cfRule type="cellIs" dxfId="68" priority="3" operator="equal">
      <formula>$N$53+$O$53</formula>
    </cfRule>
  </conditionalFormatting>
  <conditionalFormatting sqref="F46:G46 N46">
    <cfRule type="cellIs" dxfId="67" priority="1" operator="notEqual">
      <formula>$L$46</formula>
    </cfRule>
    <cfRule type="cellIs" dxfId="66" priority="2" operator="equal">
      <formula>$L$46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S34"/>
  <sheetViews>
    <sheetView workbookViewId="0">
      <pane ySplit="4" topLeftCell="A5" activePane="bottomLeft" state="frozen"/>
      <selection pane="bottomLeft" activeCell="A20" sqref="A20:S27"/>
    </sheetView>
  </sheetViews>
  <sheetFormatPr baseColWidth="10" defaultRowHeight="15"/>
  <cols>
    <col min="1" max="1" width="8" bestFit="1" customWidth="1"/>
    <col min="2" max="2" width="14.5703125" customWidth="1"/>
    <col min="3" max="3" width="15.710937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43495</v>
      </c>
      <c r="D2" s="60"/>
      <c r="E2" s="60"/>
      <c r="F2" s="60"/>
      <c r="G2" s="60"/>
      <c r="H2" s="60"/>
      <c r="I2" s="60"/>
      <c r="J2" s="62"/>
      <c r="K2" s="60" t="s">
        <v>169</v>
      </c>
      <c r="L2" s="60"/>
      <c r="M2" s="60"/>
      <c r="N2" s="60"/>
      <c r="R2" s="61">
        <v>4</v>
      </c>
    </row>
    <row r="3" spans="1:19" ht="21.75" thickBot="1">
      <c r="C3" s="60"/>
      <c r="D3" s="60"/>
      <c r="F3" s="199" t="s">
        <v>6</v>
      </c>
      <c r="G3" s="200"/>
      <c r="K3" t="s">
        <v>170</v>
      </c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9" t="s">
        <v>102</v>
      </c>
      <c r="B5" s="52" t="str">
        <f>VLOOKUP(A5,[1]!Tableau_cotisants,2,FALSE)</f>
        <v>SAMOYEAU/RAPHOZ</v>
      </c>
      <c r="C5" s="52" t="str">
        <f>VLOOKUP(A5,[1]!Tableau_cotisants,3,FALSE)</f>
        <v>SAMOYEAU</v>
      </c>
      <c r="D5" s="52" t="str">
        <f>VLOOKUP(A5,[1]!Tableau_cotisants,4,FALSE)</f>
        <v>Romain</v>
      </c>
      <c r="E5" s="53">
        <f>VLOOKUP(A5,[1]!Tableau_cotisants,5,FALSE)</f>
        <v>0</v>
      </c>
      <c r="F5" s="52">
        <f>VLOOKUP(A5,[1]!Tableau_cotisants,6,FALSE)</f>
        <v>0</v>
      </c>
      <c r="G5" s="52">
        <f>VLOOKUP(A5,[1]!Tableau_cotisants,7,FALSE)</f>
        <v>1</v>
      </c>
      <c r="H5" s="54">
        <f>VLOOKUP(A5,[1]!Tableau_cotisants,8,FALSE)</f>
        <v>30741</v>
      </c>
      <c r="I5" s="54" t="str">
        <f t="shared" ref="I5:I8" si="0">DATEDIF(H5,Date_du_jour,"y") &amp; " an(s) " &amp; DATEDIF(H5,$C$2,"ym") &amp; " mois et " &amp; DATEDIF(H5,$C$2,"md") &amp; " jour(s)"</f>
        <v>34 an(s) 11 mois et 1 jour(s)</v>
      </c>
      <c r="J5" s="52" t="str">
        <f>VLOOKUP(A5,[1]!Tableau_cotisants,10,FALSE)</f>
        <v>SEGONZAC</v>
      </c>
      <c r="K5" s="53" t="str">
        <f>VLOOKUP(A5,[1]!Tableau_cotisants,11,FALSE)</f>
        <v>Champagne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09" t="s">
        <v>103</v>
      </c>
      <c r="B6" s="52" t="str">
        <f>VLOOKUP(A6,[1]!Tableau_cotisants,2,FALSE)</f>
        <v>SAMOYEAU/RAPHOZ</v>
      </c>
      <c r="C6" s="52" t="str">
        <f>VLOOKUP(A6,[1]!Tableau_cotisants,3,FALSE)</f>
        <v>RAPHOZ_LASSAYS</v>
      </c>
      <c r="D6" s="52" t="str">
        <f>VLOOKUP(A6,[1]!Tableau_cotisants,4,FALSE)</f>
        <v>Laurène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31367</v>
      </c>
      <c r="I6" s="54" t="str">
        <f t="shared" si="0"/>
        <v>33 an(s) 2 mois et 14 jour(s)</v>
      </c>
      <c r="J6" s="52" t="str">
        <f>VLOOKUP(A6,[1]!Tableau_cotisants,10,FALSE)</f>
        <v>SEGONZAC</v>
      </c>
      <c r="K6" s="53" t="str">
        <f>VLOOKUP(A6,[1]!Tableau_cotisants,11,FALSE)</f>
        <v>Champagne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03" t="s">
        <v>176</v>
      </c>
      <c r="B7" s="52" t="str">
        <f>VLOOKUP(A7,[1]!Tableau_cotisants,2,FALSE)</f>
        <v>RÉGNIER</v>
      </c>
      <c r="C7" s="52" t="str">
        <f>VLOOKUP(A7,[1]!Tableau_cotisants,3,FALSE)</f>
        <v>RÉGNIER</v>
      </c>
      <c r="D7" s="52" t="str">
        <f>VLOOKUP(A7,[1]!Tableau_cotisants,4,FALSE)</f>
        <v>Laëtitia</v>
      </c>
      <c r="E7" s="53">
        <f>VLOOKUP(A7,[1]!Tableau_cotisants,5,FALSE)</f>
        <v>1</v>
      </c>
      <c r="F7" s="52">
        <f>VLOOKUP(A7,[1]!Tableau_cotisants,6,FALSE)</f>
        <v>1</v>
      </c>
      <c r="G7" s="52">
        <f>VLOOKUP(A7,[1]!Tableau_cotisants,7,FALSE)</f>
        <v>0</v>
      </c>
      <c r="H7" s="54">
        <f>VLOOKUP(A7,[1]!Tableau_cotisants,8,FALSE)</f>
        <v>29180</v>
      </c>
      <c r="I7" s="54" t="str">
        <f t="shared" si="0"/>
        <v>39 an(s) 2 mois et 9 jour(s)</v>
      </c>
      <c r="J7" s="52" t="str">
        <f>VLOOKUP(A7,[1]!Tableau_cotisants,10,FALSE)</f>
        <v>COGNAC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03" t="s">
        <v>177</v>
      </c>
      <c r="B8" s="52" t="str">
        <f>VLOOKUP(A8,[1]!Tableau_cotisants,2,FALSE)</f>
        <v>RÉGNIER</v>
      </c>
      <c r="C8" s="52">
        <f>VLOOKUP(A8,[1]!Tableau_cotisants,3,FALSE)</f>
        <v>0</v>
      </c>
      <c r="D8" s="52" t="str">
        <f>VLOOKUP(A8,[1]!Tableau_cotisants,4,FALSE)</f>
        <v>Noa</v>
      </c>
      <c r="E8" s="53">
        <f>VLOOKUP(A8,[1]!Tableau_cotisants,5,FALSE)</f>
        <v>1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42979</v>
      </c>
      <c r="I8" s="54" t="str">
        <f t="shared" si="0"/>
        <v>1 an(s) 4 mois et 29 jour(s)</v>
      </c>
      <c r="J8" s="52" t="str">
        <f>VLOOKUP(A8,[1]!Tableau_cotisants,10,FALSE)</f>
        <v>COGNAC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00"/>
      <c r="B9" s="52"/>
      <c r="C9" s="52"/>
      <c r="D9" s="52"/>
      <c r="E9" s="53"/>
      <c r="F9" s="52"/>
      <c r="G9" s="52"/>
      <c r="H9" s="54"/>
      <c r="I9" s="54"/>
      <c r="J9" s="52"/>
      <c r="K9" s="53"/>
      <c r="L9" s="6"/>
      <c r="M9" s="5"/>
      <c r="N9" s="27"/>
      <c r="O9" s="26"/>
      <c r="P9" s="74"/>
      <c r="Q9" s="55"/>
      <c r="R9" s="55"/>
      <c r="S9" s="55"/>
    </row>
    <row r="10" spans="1:19" ht="12" customHeight="1">
      <c r="A10" s="100"/>
      <c r="B10" s="125" t="s">
        <v>175</v>
      </c>
      <c r="C10" s="112"/>
      <c r="D10" s="112"/>
      <c r="E10" s="53"/>
      <c r="F10" s="52"/>
      <c r="G10" s="52"/>
      <c r="H10" s="54"/>
      <c r="I10" s="54"/>
      <c r="J10" s="52"/>
      <c r="K10" s="53"/>
      <c r="L10" s="6"/>
      <c r="M10" s="5"/>
      <c r="N10" s="27"/>
      <c r="O10" s="26"/>
      <c r="P10" s="74"/>
      <c r="Q10" s="55"/>
      <c r="R10" s="55"/>
      <c r="S10" s="55"/>
    </row>
    <row r="11" spans="1:19" ht="12" customHeight="1">
      <c r="A11" s="100"/>
      <c r="B11" s="52"/>
      <c r="C11" s="52"/>
      <c r="D11" s="52"/>
      <c r="E11" s="53"/>
      <c r="F11" s="52"/>
      <c r="G11" s="52"/>
      <c r="H11" s="54"/>
      <c r="I11" s="54"/>
      <c r="J11" s="52"/>
      <c r="K11" s="53"/>
      <c r="L11" s="6"/>
      <c r="M11" s="5"/>
      <c r="N11" s="27"/>
      <c r="O11" s="26"/>
      <c r="P11" s="74"/>
      <c r="Q11" s="55"/>
      <c r="R11" s="55"/>
      <c r="S11" s="55"/>
    </row>
    <row r="12" spans="1:19" ht="12" customHeight="1">
      <c r="A12" s="100"/>
      <c r="B12" s="125" t="s">
        <v>179</v>
      </c>
      <c r="C12" s="112"/>
      <c r="D12" s="112"/>
      <c r="E12" s="112"/>
      <c r="F12" s="112"/>
      <c r="G12" s="112"/>
      <c r="H12" s="54"/>
      <c r="I12" s="54"/>
      <c r="J12" s="52"/>
      <c r="K12" s="53"/>
      <c r="L12" s="6"/>
      <c r="M12" s="5"/>
      <c r="N12" s="27"/>
      <c r="O12" s="26"/>
      <c r="P12" s="74"/>
      <c r="Q12" s="55"/>
      <c r="R12" s="55"/>
      <c r="S12" s="55"/>
    </row>
    <row r="13" spans="1:19" ht="12" customHeight="1">
      <c r="A13" s="100"/>
      <c r="B13" s="52"/>
      <c r="C13" s="52"/>
      <c r="D13" s="52"/>
      <c r="E13" s="53"/>
      <c r="F13" s="52"/>
      <c r="G13" s="52"/>
      <c r="H13" s="54"/>
      <c r="I13" s="54"/>
      <c r="J13" s="52"/>
      <c r="K13" s="53"/>
      <c r="L13" s="6"/>
      <c r="M13" s="5"/>
      <c r="N13" s="27"/>
      <c r="O13" s="26"/>
      <c r="P13" s="74"/>
      <c r="Q13" s="55"/>
      <c r="R13" s="55"/>
      <c r="S13" s="55"/>
    </row>
    <row r="14" spans="1:19" ht="12" customHeight="1">
      <c r="A14" s="100"/>
      <c r="B14" s="52"/>
      <c r="C14" s="52"/>
      <c r="D14" s="52"/>
      <c r="E14" s="53"/>
      <c r="F14" s="52"/>
      <c r="G14" s="52"/>
      <c r="H14" s="54"/>
      <c r="I14" s="54"/>
      <c r="J14" s="52"/>
      <c r="K14" s="53"/>
      <c r="L14" s="6"/>
      <c r="M14" s="5"/>
      <c r="N14" s="27"/>
      <c r="O14" s="26"/>
      <c r="P14" s="74"/>
      <c r="Q14" s="55"/>
      <c r="R14" s="55"/>
      <c r="S14" s="55"/>
    </row>
    <row r="15" spans="1:19" ht="12" customHeight="1">
      <c r="A15" s="100"/>
      <c r="B15" s="52"/>
      <c r="C15" s="52"/>
      <c r="D15" s="52"/>
      <c r="E15" s="53"/>
      <c r="F15" s="52"/>
      <c r="G15" s="52"/>
      <c r="H15" s="54"/>
      <c r="I15" s="54"/>
      <c r="J15" s="52"/>
      <c r="K15" s="53"/>
      <c r="L15" s="6"/>
      <c r="M15" s="5"/>
      <c r="N15" s="27"/>
      <c r="O15" s="26"/>
      <c r="P15" s="74"/>
      <c r="Q15" s="55"/>
      <c r="R15" s="55"/>
      <c r="S15" s="55"/>
    </row>
    <row r="16" spans="1:19" ht="12" customHeight="1">
      <c r="A16" s="100"/>
      <c r="B16" s="52"/>
      <c r="C16" s="52"/>
      <c r="D16" s="52"/>
      <c r="E16" s="53"/>
      <c r="F16" s="52"/>
      <c r="G16" s="52"/>
      <c r="H16" s="54"/>
      <c r="I16" s="54"/>
      <c r="J16" s="52"/>
      <c r="K16" s="53"/>
      <c r="L16" s="6"/>
      <c r="M16" s="5"/>
      <c r="N16" s="27"/>
      <c r="O16" s="26"/>
      <c r="P16" s="74"/>
      <c r="Q16" s="55"/>
      <c r="R16" s="55"/>
      <c r="S16" s="55"/>
    </row>
    <row r="17" spans="1:19" ht="12" customHeight="1">
      <c r="A17" s="100"/>
      <c r="B17" s="52"/>
      <c r="C17" s="52"/>
      <c r="D17" s="52"/>
      <c r="E17" s="53"/>
      <c r="F17" s="52"/>
      <c r="G17" s="52"/>
      <c r="H17" s="54"/>
      <c r="I17" s="54"/>
      <c r="J17" s="52"/>
      <c r="K17" s="53"/>
      <c r="L17" s="6"/>
      <c r="M17" s="5"/>
      <c r="N17" s="27"/>
      <c r="O17" s="26"/>
      <c r="P17" s="74"/>
      <c r="Q17" s="55"/>
      <c r="R17" s="55"/>
      <c r="S17" s="55"/>
    </row>
    <row r="18" spans="1:19" ht="12" customHeight="1">
      <c r="A18" s="100"/>
      <c r="B18" s="125" t="s">
        <v>178</v>
      </c>
      <c r="C18" s="112"/>
      <c r="D18" s="112"/>
      <c r="E18" s="57"/>
      <c r="F18" s="56"/>
      <c r="G18" s="56"/>
      <c r="H18" s="58"/>
      <c r="I18" s="58"/>
      <c r="J18" s="56"/>
      <c r="K18" s="57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00"/>
      <c r="B19" s="56"/>
      <c r="C19" s="56"/>
      <c r="D19" s="56"/>
      <c r="E19" s="57"/>
      <c r="F19" s="56"/>
      <c r="G19" s="56"/>
      <c r="H19" s="58"/>
      <c r="I19" s="58"/>
      <c r="J19" s="56"/>
      <c r="K19" s="57"/>
      <c r="L19" s="6"/>
      <c r="M19" s="5"/>
      <c r="N19" s="27"/>
      <c r="O19" s="26"/>
      <c r="P19" s="74"/>
      <c r="Q19" s="55"/>
      <c r="R19" s="55"/>
      <c r="S19" s="55"/>
    </row>
    <row r="20" spans="1:19" ht="12" customHeight="1">
      <c r="A20" s="133" t="s">
        <v>156</v>
      </c>
      <c r="B20" s="56" t="str">
        <f>VLOOKUP(A20,[1]!Tableau_cotisants,2,FALSE)</f>
        <v>MONTGOMERY</v>
      </c>
      <c r="C20" s="56" t="str">
        <f>VLOOKUP(A20,[1]!Tableau_cotisants,3,FALSE)</f>
        <v>MONTGOMERY</v>
      </c>
      <c r="D20" s="56" t="str">
        <f>VLOOKUP(A20,[1]!Tableau_cotisants,4,FALSE)</f>
        <v>Rebecca</v>
      </c>
      <c r="E20" s="57">
        <f>VLOOKUP(A20,[1]!Tableau_cotisants,5,FALSE)</f>
        <v>0</v>
      </c>
      <c r="F20" s="56">
        <f>VLOOKUP(A20,[1]!Tableau_cotisants,6,FALSE)</f>
        <v>1</v>
      </c>
      <c r="G20" s="56">
        <f>VLOOKUP(A20,[1]!Tableau_cotisants,7,FALSE)</f>
        <v>0</v>
      </c>
      <c r="H20" s="58">
        <f>VLOOKUP(A20,[1]!Tableau_cotisants,8,FALSE)</f>
        <v>26339</v>
      </c>
      <c r="I20" s="58" t="str">
        <f t="shared" ref="I20:I27" si="1">DATEDIF(H20,Date_du_jour,"y") &amp; " an(s) " &amp; DATEDIF(H20,$C$2,"ym") &amp; " mois et " &amp; DATEDIF(H20,$C$2,"md") &amp; " jour(s)"</f>
        <v>46 an(s) 11 mois et 20 jour(s)</v>
      </c>
      <c r="J20" s="56" t="str">
        <f>VLOOKUP(A20,[1]!Tableau_cotisants,10,FALSE)</f>
        <v>SEGONZAC</v>
      </c>
      <c r="K20" s="57" t="str">
        <f>VLOOKUP(A20,[1]!Tableau_cotisants,11,FALSE)</f>
        <v>Champagne</v>
      </c>
      <c r="L20" s="6"/>
      <c r="M20" s="5">
        <v>1</v>
      </c>
      <c r="N20" s="27"/>
      <c r="O20" s="26">
        <v>1</v>
      </c>
      <c r="P20" s="74"/>
      <c r="Q20" s="55"/>
      <c r="R20" s="55"/>
      <c r="S20" s="55"/>
    </row>
    <row r="21" spans="1:19" ht="12" customHeight="1">
      <c r="A21" s="133" t="s">
        <v>157</v>
      </c>
      <c r="B21" s="56" t="str">
        <f>VLOOKUP(A21,[1]!Tableau_cotisants,2,FALSE)</f>
        <v>MONTGOMERY</v>
      </c>
      <c r="C21" s="56" t="str">
        <f>VLOOKUP(A21,[1]!Tableau_cotisants,3,FALSE)</f>
        <v>MONTGOMERY</v>
      </c>
      <c r="D21" s="56" t="str">
        <f>VLOOKUP(A21,[1]!Tableau_cotisants,4,FALSE)</f>
        <v>William</v>
      </c>
      <c r="E21" s="57">
        <f>VLOOKUP(A21,[1]!Tableau_cotisants,5,FALSE)</f>
        <v>0</v>
      </c>
      <c r="F21" s="56">
        <f>VLOOKUP(A21,[1]!Tableau_cotisants,6,FALSE)</f>
        <v>0</v>
      </c>
      <c r="G21" s="56">
        <f>VLOOKUP(A21,[1]!Tableau_cotisants,7,FALSE)</f>
        <v>1</v>
      </c>
      <c r="H21" s="58">
        <f>VLOOKUP(A21,[1]!Tableau_cotisants,8,FALSE)</f>
        <v>40227</v>
      </c>
      <c r="I21" s="58" t="str">
        <f t="shared" si="1"/>
        <v>8 an(s) 11 mois et 12 jour(s)</v>
      </c>
      <c r="J21" s="56" t="str">
        <f>VLOOKUP(A21,[1]!Tableau_cotisants,10,FALSE)</f>
        <v>SEGONZAC</v>
      </c>
      <c r="K21" s="57" t="str">
        <f>VLOOKUP(A21,[1]!Tableau_cotisants,11,FALSE)</f>
        <v>Champagne</v>
      </c>
      <c r="L21" s="6"/>
      <c r="M21" s="5">
        <v>1</v>
      </c>
      <c r="N21" s="27"/>
      <c r="O21" s="26">
        <v>1</v>
      </c>
      <c r="P21" s="74"/>
      <c r="Q21" s="55"/>
      <c r="R21" s="55"/>
      <c r="S21" s="55"/>
    </row>
    <row r="22" spans="1:19" ht="12" customHeight="1">
      <c r="A22" s="135" t="s">
        <v>172</v>
      </c>
      <c r="B22" s="56" t="str">
        <f>VLOOKUP(A22,[1]!Tableau_cotisants,2,FALSE)</f>
        <v>DUFFAU_LAGAROSSE</v>
      </c>
      <c r="C22" s="56" t="str">
        <f>VLOOKUP(A22,[1]!Tableau_cotisants,3,FALSE)</f>
        <v>GARCIA</v>
      </c>
      <c r="D22" s="56" t="str">
        <f>VLOOKUP(A22,[1]!Tableau_cotisants,4,FALSE)</f>
        <v>Stéphanie</v>
      </c>
      <c r="E22" s="57">
        <f>VLOOKUP(A22,[1]!Tableau_cotisants,5,FALSE)</f>
        <v>0</v>
      </c>
      <c r="F22" s="56">
        <f>VLOOKUP(A22,[1]!Tableau_cotisants,6,FALSE)</f>
        <v>1</v>
      </c>
      <c r="G22" s="56">
        <f>VLOOKUP(A22,[1]!Tableau_cotisants,7,FALSE)</f>
        <v>0</v>
      </c>
      <c r="H22" s="58">
        <f>VLOOKUP(A22,[1]!Tableau_cotisants,8,FALSE)</f>
        <v>30715</v>
      </c>
      <c r="I22" s="58" t="str">
        <f t="shared" si="1"/>
        <v>34 an(s) 11 mois et 27 jour(s)</v>
      </c>
      <c r="J22" s="56" t="str">
        <f>VLOOKUP(A22,[1]!Tableau_cotisants,10,FALSE)</f>
        <v>GENSAC LA PALLUE</v>
      </c>
      <c r="K22" s="57" t="str">
        <f>VLOOKUP(A22,[1]!Tableau_cotisants,11,FALSE)</f>
        <v>Champagne</v>
      </c>
      <c r="L22" s="6"/>
      <c r="M22" s="5">
        <v>1</v>
      </c>
      <c r="N22" s="27">
        <v>1</v>
      </c>
      <c r="O22" s="26"/>
      <c r="P22" s="74"/>
      <c r="Q22" s="55"/>
      <c r="R22" s="55"/>
      <c r="S22" s="55"/>
    </row>
    <row r="23" spans="1:19" ht="12" customHeight="1">
      <c r="A23" s="111" t="s">
        <v>173</v>
      </c>
      <c r="B23" s="56" t="str">
        <f>VLOOKUP(A23,[1]!Tableau_cotisants,2,FALSE)</f>
        <v>DUFFAU_LAGAROSSE</v>
      </c>
      <c r="C23" s="56" t="str">
        <f>VLOOKUP(A23,[1]!Tableau_cotisants,3,FALSE)</f>
        <v>DUFFAU_LAGAROSSE</v>
      </c>
      <c r="D23" s="56" t="str">
        <f>VLOOKUP(A23,[1]!Tableau_cotisants,4,FALSE)</f>
        <v>Jean</v>
      </c>
      <c r="E23" s="57">
        <f>VLOOKUP(A23,[1]!Tableau_cotisants,5,FALSE)</f>
        <v>0</v>
      </c>
      <c r="F23" s="56">
        <f>VLOOKUP(A23,[1]!Tableau_cotisants,6,FALSE)</f>
        <v>0</v>
      </c>
      <c r="G23" s="56">
        <f>VLOOKUP(A23,[1]!Tableau_cotisants,7,FALSE)</f>
        <v>1</v>
      </c>
      <c r="H23" s="58">
        <f>VLOOKUP(A23,[1]!Tableau_cotisants,8,FALSE)</f>
        <v>41861</v>
      </c>
      <c r="I23" s="58" t="str">
        <f t="shared" si="1"/>
        <v>4 an(s) 5 mois et 20 jour(s)</v>
      </c>
      <c r="J23" s="56" t="str">
        <f>VLOOKUP(A23,[1]!Tableau_cotisants,10,FALSE)</f>
        <v>GENSAC LA PALLUE</v>
      </c>
      <c r="K23" s="57" t="str">
        <f>VLOOKUP(A23,[1]!Tableau_cotisants,11,FALSE)</f>
        <v>Champagne</v>
      </c>
      <c r="L23" s="6"/>
      <c r="M23" s="5">
        <v>1</v>
      </c>
      <c r="N23" s="27">
        <v>1</v>
      </c>
      <c r="O23" s="26"/>
      <c r="P23" s="74"/>
      <c r="Q23" s="55"/>
      <c r="R23" s="55"/>
      <c r="S23" s="55"/>
    </row>
    <row r="24" spans="1:19" ht="12" customHeight="1">
      <c r="A24" s="111" t="s">
        <v>174</v>
      </c>
      <c r="B24" s="56" t="str">
        <f>VLOOKUP(A24,[1]!Tableau_cotisants,2,FALSE)</f>
        <v>DUFFAU_LAGAROSSE</v>
      </c>
      <c r="C24" s="56" t="str">
        <f>VLOOKUP(A24,[1]!Tableau_cotisants,3,FALSE)</f>
        <v>DUFFAU_LAGAROSSE</v>
      </c>
      <c r="D24" s="56" t="str">
        <f>VLOOKUP(A24,[1]!Tableau_cotisants,4,FALSE)</f>
        <v>Clovis</v>
      </c>
      <c r="E24" s="57">
        <f>VLOOKUP(A24,[1]!Tableau_cotisants,5,FALSE)</f>
        <v>0</v>
      </c>
      <c r="F24" s="56">
        <f>VLOOKUP(A24,[1]!Tableau_cotisants,6,FALSE)</f>
        <v>0</v>
      </c>
      <c r="G24" s="56">
        <f>VLOOKUP(A24,[1]!Tableau_cotisants,7,FALSE)</f>
        <v>1</v>
      </c>
      <c r="H24" s="58">
        <f>VLOOKUP(A24,[1]!Tableau_cotisants,8,FALSE)</f>
        <v>42693</v>
      </c>
      <c r="I24" s="58" t="str">
        <f t="shared" si="1"/>
        <v>2 an(s) 2 mois et 11 jour(s)</v>
      </c>
      <c r="J24" s="56" t="str">
        <f>VLOOKUP(A24,[1]!Tableau_cotisants,10,FALSE)</f>
        <v>GENSAC LA PALLUE</v>
      </c>
      <c r="K24" s="57" t="str">
        <f>VLOOKUP(A24,[1]!Tableau_cotisants,11,FALSE)</f>
        <v>Champagne</v>
      </c>
      <c r="L24" s="6"/>
      <c r="M24" s="5">
        <v>1</v>
      </c>
      <c r="N24" s="27">
        <v>1</v>
      </c>
      <c r="O24" s="26"/>
      <c r="P24" s="74"/>
      <c r="Q24" s="55"/>
      <c r="R24" s="55"/>
      <c r="S24" s="55"/>
    </row>
    <row r="25" spans="1:19" ht="12" customHeight="1">
      <c r="A25" s="117" t="s">
        <v>125</v>
      </c>
      <c r="B25" s="56" t="str">
        <f>VLOOKUP(A25,[1]!Tableau_cotisants,2,FALSE)</f>
        <v>SANSAUD/MOREAU</v>
      </c>
      <c r="C25" s="56" t="str">
        <f>VLOOKUP(A25,[1]!Tableau_cotisants,3,FALSE)</f>
        <v>MOREAU</v>
      </c>
      <c r="D25" s="56" t="str">
        <f>VLOOKUP(A25,[1]!Tableau_cotisants,4,FALSE)</f>
        <v>Emmanuelle</v>
      </c>
      <c r="E25" s="57">
        <f>VLOOKUP(A25,[1]!Tableau_cotisants,5,FALSE)</f>
        <v>0</v>
      </c>
      <c r="F25" s="56">
        <f>VLOOKUP(A25,[1]!Tableau_cotisants,6,FALSE)</f>
        <v>1</v>
      </c>
      <c r="G25" s="56">
        <f>VLOOKUP(A25,[1]!Tableau_cotisants,7,FALSE)</f>
        <v>0</v>
      </c>
      <c r="H25" s="58">
        <f>VLOOKUP(A25,[1]!Tableau_cotisants,8,FALSE)</f>
        <v>29187</v>
      </c>
      <c r="I25" s="58" t="str">
        <f t="shared" si="1"/>
        <v>39 an(s) 2 mois et 2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>
        <v>1</v>
      </c>
      <c r="O25" s="26"/>
      <c r="P25" s="74"/>
      <c r="Q25" s="55"/>
      <c r="R25" s="55"/>
      <c r="S25" s="55"/>
    </row>
    <row r="26" spans="1:19" ht="12" customHeight="1">
      <c r="A26" s="117" t="s">
        <v>126</v>
      </c>
      <c r="B26" s="56" t="str">
        <f>VLOOKUP(A26,[1]!Tableau_cotisants,2,FALSE)</f>
        <v>SANSAUD/MOREAU</v>
      </c>
      <c r="C26" s="56" t="str">
        <f>VLOOKUP(A26,[1]!Tableau_cotisants,3,FALSE)</f>
        <v>SANSAUD</v>
      </c>
      <c r="D26" s="56" t="str">
        <f>VLOOKUP(A26,[1]!Tableau_cotisants,4,FALSE)</f>
        <v>Ethan</v>
      </c>
      <c r="E26" s="57">
        <f>VLOOKUP(A26,[1]!Tableau_cotisants,5,FALSE)</f>
        <v>0</v>
      </c>
      <c r="F26" s="56">
        <f>VLOOKUP(A26,[1]!Tableau_cotisants,6,FALSE)</f>
        <v>0</v>
      </c>
      <c r="G26" s="56">
        <f>VLOOKUP(A26,[1]!Tableau_cotisants,7,FALSE)</f>
        <v>1</v>
      </c>
      <c r="H26" s="58">
        <f>VLOOKUP(A26,[1]!Tableau_cotisants,8,FALSE)</f>
        <v>41015</v>
      </c>
      <c r="I26" s="58" t="str">
        <f t="shared" si="1"/>
        <v>6 an(s) 9 mois et 14 jour(s)</v>
      </c>
      <c r="J26" s="56" t="str">
        <f>VLOOKUP(A26,[1]!Tableau_cotisants,10,FALSE)</f>
        <v>SEGONZAC</v>
      </c>
      <c r="K26" s="57" t="str">
        <f>VLOOKUP(A26,[1]!Tableau_cotisants,11,FALSE)</f>
        <v>Champagne</v>
      </c>
      <c r="L26" s="6"/>
      <c r="M26" s="5">
        <v>1</v>
      </c>
      <c r="N26" s="27">
        <v>1</v>
      </c>
      <c r="O26" s="26"/>
      <c r="P26" s="74"/>
      <c r="Q26" s="55"/>
      <c r="R26" s="55"/>
      <c r="S26" s="55"/>
    </row>
    <row r="27" spans="1:19" ht="12" customHeight="1" thickBot="1">
      <c r="A27" s="117" t="s">
        <v>127</v>
      </c>
      <c r="B27" s="56" t="str">
        <f>VLOOKUP(A27,[1]!Tableau_cotisants,2,FALSE)</f>
        <v>SANSAUD/MOREAU</v>
      </c>
      <c r="C27" s="56" t="str">
        <f>VLOOKUP(A27,[1]!Tableau_cotisants,3,FALSE)</f>
        <v>SANSAUD</v>
      </c>
      <c r="D27" s="56" t="str">
        <f>VLOOKUP(A27,[1]!Tableau_cotisants,4,FALSE)</f>
        <v>Axel</v>
      </c>
      <c r="E27" s="57">
        <f>VLOOKUP(A27,[1]!Tableau_cotisants,5,FALSE)</f>
        <v>0</v>
      </c>
      <c r="F27" s="56">
        <f>VLOOKUP(A27,[1]!Tableau_cotisants,6,FALSE)</f>
        <v>0</v>
      </c>
      <c r="G27" s="56">
        <f>VLOOKUP(A27,[1]!Tableau_cotisants,7,FALSE)</f>
        <v>1</v>
      </c>
      <c r="H27" s="58">
        <f>VLOOKUP(A27,[1]!Tableau_cotisants,8,FALSE)</f>
        <v>42407</v>
      </c>
      <c r="I27" s="58" t="str">
        <f t="shared" si="1"/>
        <v>2 an(s) 11 mois et 23 jour(s)</v>
      </c>
      <c r="J27" s="56" t="str">
        <f>VLOOKUP(A27,[1]!Tableau_cotisants,10,FALSE)</f>
        <v>SEGONZAC</v>
      </c>
      <c r="K27" s="57" t="str">
        <f>VLOOKUP(A27,[1]!Tableau_cotisants,11,FALSE)</f>
        <v>Champagne</v>
      </c>
      <c r="L27" s="6"/>
      <c r="M27" s="5">
        <v>1</v>
      </c>
      <c r="N27" s="27">
        <v>1</v>
      </c>
      <c r="O27" s="26"/>
      <c r="P27" s="74"/>
      <c r="Q27" s="55"/>
      <c r="R27" s="55"/>
      <c r="S27" s="55"/>
    </row>
    <row r="28" spans="1:19" ht="19.5" thickBot="1">
      <c r="A28" s="17"/>
      <c r="B28" s="4"/>
      <c r="C28" s="4"/>
      <c r="D28" s="4"/>
      <c r="E28" s="4">
        <f>SUM(E7:E27)</f>
        <v>2</v>
      </c>
      <c r="F28" s="4">
        <f>SUM(F5:F27)</f>
        <v>6</v>
      </c>
      <c r="G28" s="4">
        <f>SUM(G5:G27)</f>
        <v>6</v>
      </c>
      <c r="H28" s="4"/>
      <c r="I28" s="4"/>
      <c r="J28" s="4"/>
      <c r="K28" s="18">
        <f>SUM(K7:K27)</f>
        <v>0</v>
      </c>
      <c r="L28" s="93">
        <f t="shared" ref="L28:S28" si="2">SUM(L5:L27)</f>
        <v>4</v>
      </c>
      <c r="M28" s="19">
        <f t="shared" si="2"/>
        <v>8</v>
      </c>
      <c r="N28" s="20">
        <f t="shared" si="2"/>
        <v>8</v>
      </c>
      <c r="O28" s="28">
        <f t="shared" si="2"/>
        <v>2</v>
      </c>
      <c r="P28" s="72">
        <f t="shared" si="2"/>
        <v>2</v>
      </c>
      <c r="Q28" s="79">
        <f t="shared" si="2"/>
        <v>0</v>
      </c>
      <c r="R28" s="80">
        <f t="shared" si="2"/>
        <v>0</v>
      </c>
      <c r="S28" s="81">
        <f t="shared" si="2"/>
        <v>0</v>
      </c>
    </row>
    <row r="29" spans="1:19" ht="24" thickBot="1">
      <c r="B29" t="s">
        <v>28</v>
      </c>
      <c r="C29" s="98"/>
      <c r="F29" s="201">
        <f>F28+G28</f>
        <v>12</v>
      </c>
      <c r="G29" s="201"/>
      <c r="L29" s="201">
        <f>L28+M28</f>
        <v>12</v>
      </c>
      <c r="M29" s="201"/>
      <c r="N29" s="202">
        <f>N28+O28+P28</f>
        <v>12</v>
      </c>
      <c r="O29" s="202"/>
      <c r="P29" s="202"/>
      <c r="Q29" s="115"/>
      <c r="R29" s="115"/>
      <c r="S29" s="115"/>
    </row>
    <row r="30" spans="1:19" ht="15.75" thickBot="1">
      <c r="B30" t="s">
        <v>75</v>
      </c>
      <c r="L30" s="22">
        <f>L28+'23 janvier 2019'!L47</f>
        <v>50</v>
      </c>
      <c r="M30" s="23">
        <f>M28+'23 janvier 2019'!M47</f>
        <v>52</v>
      </c>
      <c r="N30" s="24">
        <f>N28+'23 janvier 2019'!N47</f>
        <v>54</v>
      </c>
      <c r="O30" s="25">
        <f>O28+'23 janvier 2019'!O47</f>
        <v>11</v>
      </c>
      <c r="P30" s="84">
        <f>P28+'23 janvier 2019'!P47</f>
        <v>37</v>
      </c>
      <c r="Q30" s="82">
        <f>Q28+'23 janvier 2019'!Q47</f>
        <v>6</v>
      </c>
      <c r="R30" s="90">
        <f>R28+'23 janvier 2019'!R47</f>
        <v>0</v>
      </c>
      <c r="S30" s="83">
        <f>S28+'23 janvier 2019'!S47</f>
        <v>3</v>
      </c>
    </row>
    <row r="31" spans="1:19" ht="33" thickBot="1">
      <c r="L31" s="203">
        <f>L29+'23 janvier 2019'!L48:M48</f>
        <v>102</v>
      </c>
      <c r="M31" s="204"/>
      <c r="N31" s="205">
        <f>N29+'23 janvier 2019'!N48:P48</f>
        <v>102</v>
      </c>
      <c r="O31" s="206"/>
      <c r="P31" s="207"/>
    </row>
    <row r="32" spans="1:19">
      <c r="B32" t="s">
        <v>181</v>
      </c>
      <c r="C32" s="142" t="s">
        <v>185</v>
      </c>
      <c r="D32" t="s">
        <v>181</v>
      </c>
      <c r="E32" s="208" t="s">
        <v>182</v>
      </c>
      <c r="F32" s="209"/>
    </row>
    <row r="33" spans="1:6" ht="45">
      <c r="A33" s="140" t="s">
        <v>183</v>
      </c>
      <c r="B33" s="138">
        <v>2</v>
      </c>
      <c r="C33" s="139">
        <f>B33+'23 janvier 2019'!C50</f>
        <v>3</v>
      </c>
      <c r="D33" s="138">
        <v>14</v>
      </c>
      <c r="E33" s="195">
        <f>D33+'23 janvier 2019'!E50:F50</f>
        <v>21</v>
      </c>
      <c r="F33" s="196"/>
    </row>
    <row r="34" spans="1:6" ht="32.25">
      <c r="A34" s="141" t="s">
        <v>184</v>
      </c>
      <c r="B34" s="138">
        <v>1</v>
      </c>
      <c r="C34" s="139">
        <f>B34+'23 janvier 2019'!C51</f>
        <v>5</v>
      </c>
      <c r="D34" s="138">
        <v>11</v>
      </c>
      <c r="E34" s="195">
        <f>D34+'23 janvier 2019'!E51:F51</f>
        <v>37</v>
      </c>
      <c r="F34" s="196"/>
    </row>
  </sheetData>
  <mergeCells count="9">
    <mergeCell ref="E34:F34"/>
    <mergeCell ref="F3:G3"/>
    <mergeCell ref="F29:G29"/>
    <mergeCell ref="L29:M29"/>
    <mergeCell ref="N29:P29"/>
    <mergeCell ref="L31:M31"/>
    <mergeCell ref="N31:P31"/>
    <mergeCell ref="E32:F32"/>
    <mergeCell ref="E33:F33"/>
  </mergeCells>
  <conditionalFormatting sqref="N31">
    <cfRule type="cellIs" dxfId="65" priority="4" operator="equal">
      <formula>$N$30+$O$30</formula>
    </cfRule>
  </conditionalFormatting>
  <conditionalFormatting sqref="N31">
    <cfRule type="cellIs" dxfId="64" priority="3" operator="equal">
      <formula>$N$36+$O$36</formula>
    </cfRule>
  </conditionalFormatting>
  <conditionalFormatting sqref="F29:G29 N29">
    <cfRule type="cellIs" dxfId="63" priority="1" operator="notEqual">
      <formula>$L$29</formula>
    </cfRule>
    <cfRule type="cellIs" dxfId="62" priority="2" operator="equal">
      <formula>$L$29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S35"/>
  <sheetViews>
    <sheetView workbookViewId="0">
      <pane ySplit="4" topLeftCell="A5" activePane="bottomLeft" state="frozen"/>
      <selection pane="bottomLeft" activeCell="A20" sqref="A20:S27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43502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85</v>
      </c>
      <c r="N2" s="60"/>
      <c r="R2" s="61">
        <v>5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35" t="s">
        <v>172</v>
      </c>
      <c r="B5" s="52" t="str">
        <f>VLOOKUP(A5,[1]!Tableau_cotisants,2,FALSE)</f>
        <v>DUFFAU_LAGAROSSE</v>
      </c>
      <c r="C5" s="52" t="str">
        <f>VLOOKUP(A5,[1]!Tableau_cotisants,3,FALSE)</f>
        <v>GARCIA</v>
      </c>
      <c r="D5" s="52" t="str">
        <f>VLOOKUP(A5,[1]!Tableau_cotisants,4,FALSE)</f>
        <v>Stéphanie</v>
      </c>
      <c r="E5" s="53">
        <f>VLOOKUP(A5,[1]!Tableau_cotisants,5,FALSE)</f>
        <v>0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30715</v>
      </c>
      <c r="I5" s="54" t="str">
        <f t="shared" ref="I5:I7" si="0">DATEDIF(H5,Date_du_jour,"y") &amp; " an(s) " &amp; DATEDIF(H5,$C$2,"ym") &amp; " mois et " &amp; DATEDIF(H5,$C$2,"md") &amp; " jour(s)"</f>
        <v>35 an(s) 0 mois et 3 jour(s)</v>
      </c>
      <c r="J5" s="52" t="str">
        <f>VLOOKUP(A5,[1]!Tableau_cotisants,10,FALSE)</f>
        <v>GENSAC LA PALLUE</v>
      </c>
      <c r="K5" s="53" t="str">
        <f>VLOOKUP(A5,[1]!Tableau_cotisants,11,FALSE)</f>
        <v>Champagne</v>
      </c>
      <c r="L5" s="6">
        <v>1</v>
      </c>
      <c r="M5" s="5"/>
      <c r="N5" s="27"/>
      <c r="O5" s="26"/>
      <c r="P5" s="74">
        <v>1</v>
      </c>
      <c r="Q5" s="55"/>
      <c r="R5" s="55"/>
      <c r="S5" s="55"/>
    </row>
    <row r="6" spans="1:19" ht="12" customHeight="1">
      <c r="A6" s="111" t="s">
        <v>173</v>
      </c>
      <c r="B6" s="52" t="str">
        <f>VLOOKUP(A6,[1]!Tableau_cotisants,2,FALSE)</f>
        <v>DUFFAU_LAGAROSSE</v>
      </c>
      <c r="C6" s="52" t="str">
        <f>VLOOKUP(A6,[1]!Tableau_cotisants,3,FALSE)</f>
        <v>DUFFAU_LAGAROSSE</v>
      </c>
      <c r="D6" s="52" t="str">
        <f>VLOOKUP(A6,[1]!Tableau_cotisants,4,FALSE)</f>
        <v>Jean</v>
      </c>
      <c r="E6" s="53">
        <f>VLOOKUP(A6,[1]!Tableau_cotisants,5,FALSE)</f>
        <v>0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41861</v>
      </c>
      <c r="I6" s="54" t="str">
        <f t="shared" si="0"/>
        <v>4 an(s) 5 mois et 27 jour(s)</v>
      </c>
      <c r="J6" s="52" t="str">
        <f>VLOOKUP(A6,[1]!Tableau_cotisants,10,FALSE)</f>
        <v>GENSAC LA PALLUE</v>
      </c>
      <c r="K6" s="53" t="str">
        <f>VLOOKUP(A6,[1]!Tableau_cotisants,11,FALSE)</f>
        <v>Champagne</v>
      </c>
      <c r="L6" s="6">
        <v>1</v>
      </c>
      <c r="M6" s="5"/>
      <c r="N6" s="27"/>
      <c r="O6" s="26"/>
      <c r="P6" s="74">
        <v>1</v>
      </c>
      <c r="Q6" s="55"/>
      <c r="R6" s="55"/>
      <c r="S6" s="55"/>
    </row>
    <row r="7" spans="1:19" ht="12" customHeight="1">
      <c r="A7" s="111" t="s">
        <v>174</v>
      </c>
      <c r="B7" s="52" t="str">
        <f>VLOOKUP(A7,[1]!Tableau_cotisants,2,FALSE)</f>
        <v>DUFFAU_LAGAROSSE</v>
      </c>
      <c r="C7" s="52" t="str">
        <f>VLOOKUP(A7,[1]!Tableau_cotisants,3,FALSE)</f>
        <v>DUFFAU_LAGAROSSE</v>
      </c>
      <c r="D7" s="52" t="str">
        <f>VLOOKUP(A7,[1]!Tableau_cotisants,4,FALSE)</f>
        <v>Clovis</v>
      </c>
      <c r="E7" s="53">
        <f>VLOOKUP(A7,[1]!Tableau_cotisants,5,FALSE)</f>
        <v>0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42693</v>
      </c>
      <c r="I7" s="54" t="str">
        <f t="shared" si="0"/>
        <v>2 an(s) 2 mois et 18 jour(s)</v>
      </c>
      <c r="J7" s="52" t="str">
        <f>VLOOKUP(A7,[1]!Tableau_cotisants,10,FALSE)</f>
        <v>GENSAC LA PALLUE</v>
      </c>
      <c r="K7" s="53" t="str">
        <f>VLOOKUP(A7,[1]!Tableau_cotisants,11,FALSE)</f>
        <v>Champagne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03"/>
      <c r="B8" s="52"/>
      <c r="C8" s="52"/>
      <c r="D8" s="52"/>
      <c r="E8" s="53"/>
      <c r="F8" s="52"/>
      <c r="G8" s="52"/>
      <c r="H8" s="54"/>
      <c r="I8" s="54"/>
      <c r="J8" s="52"/>
      <c r="K8" s="53"/>
      <c r="L8" s="6"/>
      <c r="M8" s="5"/>
      <c r="N8" s="27"/>
      <c r="O8" s="26"/>
      <c r="P8" s="74"/>
      <c r="Q8" s="55"/>
      <c r="R8" s="55"/>
      <c r="S8" s="55"/>
    </row>
    <row r="9" spans="1:19" ht="12" customHeight="1">
      <c r="A9" s="100"/>
      <c r="B9" s="52"/>
      <c r="C9" s="52"/>
      <c r="D9" s="52"/>
      <c r="E9" s="53"/>
      <c r="F9" s="52"/>
      <c r="G9" s="52"/>
      <c r="H9" s="54"/>
      <c r="I9" s="54"/>
      <c r="J9" s="52"/>
      <c r="K9" s="53"/>
      <c r="L9" s="6"/>
      <c r="M9" s="5"/>
      <c r="N9" s="27"/>
      <c r="O9" s="26"/>
      <c r="P9" s="74"/>
      <c r="Q9" s="55"/>
      <c r="R9" s="55"/>
      <c r="S9" s="55"/>
    </row>
    <row r="10" spans="1:19" ht="12" customHeight="1">
      <c r="A10" s="100"/>
      <c r="B10" s="125" t="s">
        <v>180</v>
      </c>
      <c r="C10" s="112"/>
      <c r="D10" s="112"/>
      <c r="E10" s="53"/>
      <c r="F10" s="52"/>
      <c r="G10" s="52"/>
      <c r="H10" s="54"/>
      <c r="I10" s="54"/>
      <c r="J10" s="52"/>
      <c r="K10" s="53"/>
      <c r="L10" s="6"/>
      <c r="M10" s="5"/>
      <c r="N10" s="27"/>
      <c r="O10" s="26"/>
      <c r="P10" s="74"/>
      <c r="Q10" s="55"/>
      <c r="R10" s="55"/>
      <c r="S10" s="55"/>
    </row>
    <row r="11" spans="1:19" ht="12" customHeight="1">
      <c r="A11" s="100"/>
      <c r="B11" s="52"/>
      <c r="C11" s="52"/>
      <c r="D11" s="52"/>
      <c r="E11" s="53"/>
      <c r="F11" s="52"/>
      <c r="G11" s="52"/>
      <c r="H11" s="54"/>
      <c r="I11" s="54"/>
      <c r="J11" s="52"/>
      <c r="K11" s="53"/>
      <c r="L11" s="6"/>
      <c r="M11" s="5"/>
      <c r="N11" s="27"/>
      <c r="O11" s="26"/>
      <c r="P11" s="74"/>
      <c r="Q11" s="55"/>
      <c r="R11" s="55"/>
      <c r="S11" s="55"/>
    </row>
    <row r="12" spans="1:19" ht="12" customHeight="1">
      <c r="A12" s="100"/>
      <c r="B12" s="52"/>
      <c r="C12" s="52"/>
      <c r="D12" s="52"/>
      <c r="E12" s="53"/>
      <c r="F12" s="52"/>
      <c r="G12" s="52"/>
      <c r="H12" s="54"/>
      <c r="I12" s="54"/>
      <c r="J12" s="52"/>
      <c r="K12" s="53"/>
      <c r="L12" s="6"/>
      <c r="M12" s="5"/>
      <c r="N12" s="27"/>
      <c r="O12" s="26"/>
      <c r="P12" s="74"/>
      <c r="Q12" s="55"/>
      <c r="R12" s="55"/>
      <c r="S12" s="55"/>
    </row>
    <row r="13" spans="1:19" ht="12" customHeight="1">
      <c r="A13" s="100"/>
      <c r="B13" s="52"/>
      <c r="C13" s="52"/>
      <c r="D13" s="52"/>
      <c r="E13" s="53"/>
      <c r="F13" s="52"/>
      <c r="G13" s="52"/>
      <c r="H13" s="54"/>
      <c r="I13" s="54"/>
      <c r="J13" s="52"/>
      <c r="K13" s="53"/>
      <c r="L13" s="6"/>
      <c r="M13" s="5"/>
      <c r="N13" s="27"/>
      <c r="O13" s="26"/>
      <c r="P13" s="74"/>
      <c r="Q13" s="55"/>
      <c r="R13" s="55"/>
      <c r="S13" s="55"/>
    </row>
    <row r="14" spans="1:19" ht="12" customHeight="1">
      <c r="A14" s="100"/>
      <c r="B14" s="52"/>
      <c r="C14" s="52"/>
      <c r="D14" s="52"/>
      <c r="E14" s="53"/>
      <c r="F14" s="52"/>
      <c r="G14" s="52"/>
      <c r="H14" s="54"/>
      <c r="I14" s="54"/>
      <c r="J14" s="52"/>
      <c r="K14" s="53"/>
      <c r="L14" s="6"/>
      <c r="M14" s="5"/>
      <c r="N14" s="27"/>
      <c r="O14" s="26"/>
      <c r="P14" s="74"/>
      <c r="Q14" s="55"/>
      <c r="R14" s="55"/>
      <c r="S14" s="55"/>
    </row>
    <row r="15" spans="1:19" ht="12" customHeight="1">
      <c r="A15" s="100"/>
      <c r="B15" s="52"/>
      <c r="C15" s="52"/>
      <c r="D15" s="52"/>
      <c r="E15" s="53"/>
      <c r="F15" s="52"/>
      <c r="G15" s="52"/>
      <c r="H15" s="54"/>
      <c r="I15" s="54"/>
      <c r="J15" s="52"/>
      <c r="K15" s="53"/>
      <c r="L15" s="6"/>
      <c r="M15" s="5"/>
      <c r="N15" s="27"/>
      <c r="O15" s="26"/>
      <c r="P15" s="74"/>
      <c r="Q15" s="55"/>
      <c r="R15" s="55"/>
      <c r="S15" s="55"/>
    </row>
    <row r="16" spans="1:19" ht="12" customHeight="1">
      <c r="A16" s="118" t="s">
        <v>128</v>
      </c>
      <c r="B16" s="56" t="str">
        <f>VLOOKUP(A16,[1]!Tableau_cotisants,2,FALSE)</f>
        <v>G7-1</v>
      </c>
      <c r="C16" s="56" t="str">
        <f>VLOOKUP(A16,[1]!Tableau_cotisants,3,FALSE)</f>
        <v>BARRY</v>
      </c>
      <c r="D16" s="56" t="str">
        <f>VLOOKUP(A16,[1]!Tableau_cotisants,4,FALSE)</f>
        <v>Oksana</v>
      </c>
      <c r="E16" s="57">
        <f>VLOOKUP(A16,[1]!Tableau_cotisants,5,FALSE)</f>
        <v>0</v>
      </c>
      <c r="F16" s="56">
        <f>VLOOKUP(A16,[1]!Tableau_cotisants,6,FALSE)</f>
        <v>1</v>
      </c>
      <c r="G16" s="56">
        <f>VLOOKUP(A16,[1]!Tableau_cotisants,7,FALSE)</f>
        <v>0</v>
      </c>
      <c r="H16" s="58">
        <f>VLOOKUP(A16,[1]!Tableau_cotisants,8,FALSE)</f>
        <v>30016</v>
      </c>
      <c r="I16" s="58" t="str">
        <f t="shared" ref="I16:I17" si="1">DATEDIF(H16,Date_du_jour,"y") &amp; " an(s) " &amp; DATEDIF(H16,$C$2,"ym") &amp; " mois et " &amp; DATEDIF(H16,$C$2,"md") &amp; " jour(s)"</f>
        <v>36 an(s) 11 mois et 0 jour(s)</v>
      </c>
      <c r="J16" s="56" t="str">
        <f>VLOOKUP(A16,[1]!Tableau_cotisants,10,FALSE)</f>
        <v>Bourg Charente</v>
      </c>
      <c r="K16" s="57" t="str">
        <f>VLOOKUP(A16,[1]!Tableau_cotisants,11,FALSE)</f>
        <v>Jarnac</v>
      </c>
      <c r="L16" s="6"/>
      <c r="M16" s="5">
        <v>1</v>
      </c>
      <c r="N16" s="27"/>
      <c r="O16" s="26">
        <v>1</v>
      </c>
      <c r="P16" s="74"/>
      <c r="Q16" s="55"/>
      <c r="R16" s="55"/>
      <c r="S16" s="55"/>
    </row>
    <row r="17" spans="1:19" ht="12" customHeight="1">
      <c r="A17" s="118" t="s">
        <v>129</v>
      </c>
      <c r="B17" s="56" t="str">
        <f>VLOOKUP(A17,[1]!Tableau_cotisants,2,FALSE)</f>
        <v>G7-2</v>
      </c>
      <c r="C17" s="56" t="str">
        <f>VLOOKUP(A17,[1]!Tableau_cotisants,3,FALSE)</f>
        <v>BARRY</v>
      </c>
      <c r="D17" s="56" t="str">
        <f>VLOOKUP(A17,[1]!Tableau_cotisants,4,FALSE)</f>
        <v>Anastasia</v>
      </c>
      <c r="E17" s="57">
        <f>VLOOKUP(A17,[1]!Tableau_cotisants,5,FALSE)</f>
        <v>0</v>
      </c>
      <c r="F17" s="56">
        <f>VLOOKUP(A17,[1]!Tableau_cotisants,6,FALSE)</f>
        <v>1</v>
      </c>
      <c r="G17" s="56">
        <f>VLOOKUP(A17,[1]!Tableau_cotisants,7,FALSE)</f>
        <v>0</v>
      </c>
      <c r="H17" s="58">
        <f>VLOOKUP(A17,[1]!Tableau_cotisants,8,FALSE)</f>
        <v>42267</v>
      </c>
      <c r="I17" s="58" t="str">
        <f t="shared" si="1"/>
        <v>3 an(s) 4 mois et 17 jour(s)</v>
      </c>
      <c r="J17" s="56" t="str">
        <f>VLOOKUP(A17,[1]!Tableau_cotisants,10,FALSE)</f>
        <v>Bourg Charente</v>
      </c>
      <c r="K17" s="57" t="str">
        <f>VLOOKUP(A17,[1]!Tableau_cotisants,11,FALSE)</f>
        <v>Jarnac</v>
      </c>
      <c r="L17" s="6"/>
      <c r="M17" s="5">
        <v>1</v>
      </c>
      <c r="N17" s="27"/>
      <c r="O17" s="26">
        <v>1</v>
      </c>
      <c r="P17" s="74"/>
      <c r="Q17" s="55"/>
      <c r="R17" s="55"/>
      <c r="S17" s="55"/>
    </row>
    <row r="18" spans="1:19" ht="12" customHeight="1">
      <c r="A18" s="100"/>
      <c r="B18" s="125" t="s">
        <v>189</v>
      </c>
      <c r="C18" s="112"/>
      <c r="D18" s="112"/>
      <c r="E18" s="57"/>
      <c r="F18" s="56"/>
      <c r="G18" s="56"/>
      <c r="H18" s="58"/>
      <c r="I18" s="58"/>
      <c r="J18" s="56"/>
      <c r="K18" s="57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00"/>
      <c r="B19" s="125" t="s">
        <v>190</v>
      </c>
      <c r="C19" s="112"/>
      <c r="D19" s="112"/>
      <c r="E19" s="57"/>
      <c r="F19" s="56"/>
      <c r="G19" s="56"/>
      <c r="H19" s="58"/>
      <c r="I19" s="58"/>
      <c r="J19" s="56"/>
      <c r="K19" s="57"/>
      <c r="L19" s="6"/>
      <c r="M19" s="5"/>
      <c r="N19" s="27"/>
      <c r="O19" s="26"/>
      <c r="P19" s="74"/>
      <c r="Q19" s="55"/>
      <c r="R19" s="55"/>
      <c r="S19" s="55"/>
    </row>
    <row r="20" spans="1:19" ht="12" customHeight="1">
      <c r="A20" s="108" t="s">
        <v>186</v>
      </c>
      <c r="B20" s="56" t="str">
        <f>VLOOKUP(A20,[1]!Tableau_cotisants,2,FALSE)</f>
        <v>SUIRE/GIRAUD</v>
      </c>
      <c r="C20" s="56" t="str">
        <f>VLOOKUP(A20,[1]!Tableau_cotisants,3,FALSE)</f>
        <v>GIRAUD</v>
      </c>
      <c r="D20" s="56" t="str">
        <f>VLOOKUP(A20,[1]!Tableau_cotisants,4,FALSE)</f>
        <v>Julie</v>
      </c>
      <c r="E20" s="57">
        <f>VLOOKUP(A20,[1]!Tableau_cotisants,5,FALSE)</f>
        <v>0</v>
      </c>
      <c r="F20" s="56">
        <f>VLOOKUP(A20,[1]!Tableau_cotisants,6,FALSE)</f>
        <v>1</v>
      </c>
      <c r="G20" s="56">
        <f>VLOOKUP(A20,[1]!Tableau_cotisants,7,FALSE)</f>
        <v>0</v>
      </c>
      <c r="H20" s="58">
        <f>VLOOKUP(A20,[1]!Tableau_cotisants,8,FALSE)</f>
        <v>31503</v>
      </c>
      <c r="I20" s="58" t="str">
        <f t="shared" ref="I20:I27" si="2">DATEDIF(H20,Date_du_jour,"y") &amp; " an(s) " &amp; DATEDIF(H20,$C$2,"ym") &amp; " mois et " &amp; DATEDIF(H20,$C$2,"md") &amp; " jour(s)"</f>
        <v>32 an(s) 10 mois et 5 jour(s)</v>
      </c>
      <c r="J20" s="56" t="str">
        <f>VLOOKUP(A20,[1]!Tableau_cotisants,10,FALSE)</f>
        <v>SEGONZAC</v>
      </c>
      <c r="K20" s="57" t="str">
        <f>VLOOKUP(A20,[1]!Tableau_cotisants,11,FALSE)</f>
        <v>Champagne</v>
      </c>
      <c r="L20" s="6"/>
      <c r="M20" s="5">
        <v>1</v>
      </c>
      <c r="N20" s="27">
        <v>1</v>
      </c>
      <c r="O20" s="26"/>
      <c r="P20" s="74"/>
      <c r="Q20" s="55"/>
      <c r="R20" s="55"/>
      <c r="S20" s="55"/>
    </row>
    <row r="21" spans="1:19" ht="12" customHeight="1">
      <c r="A21" s="108" t="s">
        <v>187</v>
      </c>
      <c r="B21" s="56" t="str">
        <f>VLOOKUP(A21,[1]!Tableau_cotisants,2,FALSE)</f>
        <v>SUIRE/GIRAUD</v>
      </c>
      <c r="C21" s="56" t="str">
        <f>VLOOKUP(A21,[1]!Tableau_cotisants,3,FALSE)</f>
        <v>SUIRE</v>
      </c>
      <c r="D21" s="56" t="str">
        <f>VLOOKUP(A21,[1]!Tableau_cotisants,4,FALSE)</f>
        <v>Romy</v>
      </c>
      <c r="E21" s="57">
        <f>VLOOKUP(A21,[1]!Tableau_cotisants,5,FALSE)</f>
        <v>0</v>
      </c>
      <c r="F21" s="56">
        <f>VLOOKUP(A21,[1]!Tableau_cotisants,6,FALSE)</f>
        <v>1</v>
      </c>
      <c r="G21" s="56">
        <f>VLOOKUP(A21,[1]!Tableau_cotisants,7,FALSE)</f>
        <v>0</v>
      </c>
      <c r="H21" s="58">
        <f>VLOOKUP(A21,[1]!Tableau_cotisants,8,FALSE)</f>
        <v>41837</v>
      </c>
      <c r="I21" s="58" t="str">
        <f t="shared" si="2"/>
        <v>4 an(s) 6 mois et 20 jour(s)</v>
      </c>
      <c r="J21" s="56" t="str">
        <f>VLOOKUP(A21,[1]!Tableau_cotisants,10,FALSE)</f>
        <v>SEGONZAC</v>
      </c>
      <c r="K21" s="57" t="str">
        <f>VLOOKUP(A21,[1]!Tableau_cotisants,11,FALSE)</f>
        <v>Champagne</v>
      </c>
      <c r="L21" s="6"/>
      <c r="M21" s="5">
        <v>1</v>
      </c>
      <c r="N21" s="27">
        <v>1</v>
      </c>
      <c r="O21" s="26"/>
      <c r="P21" s="74"/>
      <c r="Q21" s="55"/>
      <c r="R21" s="55"/>
      <c r="S21" s="55"/>
    </row>
    <row r="22" spans="1:19" ht="12" customHeight="1">
      <c r="A22" s="108" t="s">
        <v>188</v>
      </c>
      <c r="B22" s="56" t="str">
        <f>VLOOKUP(A22,[1]!Tableau_cotisants,2,FALSE)</f>
        <v>SUIRE/GIRAUD</v>
      </c>
      <c r="C22" s="56" t="str">
        <f>VLOOKUP(A22,[1]!Tableau_cotisants,3,FALSE)</f>
        <v>SUIRE</v>
      </c>
      <c r="D22" s="56" t="str">
        <f>VLOOKUP(A22,[1]!Tableau_cotisants,4,FALSE)</f>
        <v>Giulia</v>
      </c>
      <c r="E22" s="57">
        <f>VLOOKUP(A22,[1]!Tableau_cotisants,5,FALSE)</f>
        <v>0</v>
      </c>
      <c r="F22" s="56">
        <f>VLOOKUP(A22,[1]!Tableau_cotisants,6,FALSE)</f>
        <v>1</v>
      </c>
      <c r="G22" s="56">
        <f>VLOOKUP(A22,[1]!Tableau_cotisants,7,FALSE)</f>
        <v>0</v>
      </c>
      <c r="H22" s="58">
        <f>VLOOKUP(A22,[1]!Tableau_cotisants,8,FALSE)</f>
        <v>43038</v>
      </c>
      <c r="I22" s="58" t="str">
        <f>DATEDIF(H22,Date_du_jour,"y") &amp; " an(s) " &amp; DATEDIF(H22,$C$2,"ym") &amp; " mois et " &amp; DATEDIF(H22,$C$2,"md") &amp; " jour(s)"</f>
        <v>1 an(s) 3 mois et 7 jour(s)</v>
      </c>
      <c r="J22" s="56" t="str">
        <f>VLOOKUP(A22,[1]!Tableau_cotisants,10,FALSE)</f>
        <v>SEGONZAC</v>
      </c>
      <c r="K22" s="57" t="str">
        <f>VLOOKUP(A22,[1]!Tableau_cotisants,11,FALSE)</f>
        <v>Champagne</v>
      </c>
      <c r="L22" s="6"/>
      <c r="M22" s="5">
        <v>1</v>
      </c>
      <c r="N22" s="27">
        <v>1</v>
      </c>
      <c r="O22" s="26"/>
      <c r="P22" s="74"/>
      <c r="Q22" s="55"/>
      <c r="R22" s="55"/>
      <c r="S22" s="55"/>
    </row>
    <row r="23" spans="1:19" ht="12" customHeight="1">
      <c r="A23" s="110" t="s">
        <v>104</v>
      </c>
      <c r="B23" s="56" t="str">
        <f>VLOOKUP(A23,[1]!Tableau_cotisants,2,FALSE)</f>
        <v>BOUBEE-SAUNIER</v>
      </c>
      <c r="C23" s="56" t="str">
        <f>VLOOKUP(A23,[1]!Tableau_cotisants,3,FALSE)</f>
        <v>SAUNIER</v>
      </c>
      <c r="D23" s="56" t="str">
        <f>VLOOKUP(A23,[1]!Tableau_cotisants,4,FALSE)</f>
        <v>Amélie</v>
      </c>
      <c r="E23" s="57">
        <f>VLOOKUP(A23,[1]!Tableau_cotisants,5,FALSE)</f>
        <v>0</v>
      </c>
      <c r="F23" s="56">
        <f>VLOOKUP(A23,[1]!Tableau_cotisants,6,FALSE)</f>
        <v>1</v>
      </c>
      <c r="G23" s="56">
        <f>VLOOKUP(A23,[1]!Tableau_cotisants,7,FALSE)</f>
        <v>0</v>
      </c>
      <c r="H23" s="58">
        <f>VLOOKUP(A23,[1]!Tableau_cotisants,8,FALSE)</f>
        <v>31304</v>
      </c>
      <c r="I23" s="58" t="str">
        <f t="shared" si="2"/>
        <v>33 an(s) 4 mois et 23 jour(s)</v>
      </c>
      <c r="J23" s="56" t="str">
        <f>VLOOKUP(A23,[1]!Tableau_cotisants,10,FALSE)</f>
        <v>SEGONZAC</v>
      </c>
      <c r="K23" s="57" t="str">
        <f>VLOOKUP(A23,[1]!Tableau_cotisants,11,FALSE)</f>
        <v>Champagne</v>
      </c>
      <c r="L23" s="6"/>
      <c r="M23" s="5">
        <v>1</v>
      </c>
      <c r="N23" s="27">
        <v>1</v>
      </c>
      <c r="O23" s="26"/>
      <c r="P23" s="74"/>
      <c r="Q23" s="55"/>
      <c r="R23" s="55"/>
      <c r="S23" s="55"/>
    </row>
    <row r="24" spans="1:19" ht="12" customHeight="1">
      <c r="A24" s="110" t="s">
        <v>105</v>
      </c>
      <c r="B24" s="56" t="str">
        <f>VLOOKUP(A24,[1]!Tableau_cotisants,2,FALSE)</f>
        <v>BOUBEE-SAUNIER</v>
      </c>
      <c r="C24" s="56" t="str">
        <f>VLOOKUP(A24,[1]!Tableau_cotisants,3,FALSE)</f>
        <v>BOUBEE-SAUNIER</v>
      </c>
      <c r="D24" s="56" t="str">
        <f>VLOOKUP(A24,[1]!Tableau_cotisants,4,FALSE)</f>
        <v>Lisa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41245</v>
      </c>
      <c r="I24" s="58" t="str">
        <f t="shared" si="2"/>
        <v>6 an(s) 2 mois et 4 jour(s)</v>
      </c>
      <c r="J24" s="56" t="str">
        <f>VLOOKUP(A24,[1]!Tableau_cotisants,10,FALSE)</f>
        <v>SEGONZAC</v>
      </c>
      <c r="K24" s="57" t="str">
        <f>VLOOKUP(A24,[1]!Tableau_cotisants,11,FALSE)</f>
        <v>Champagne</v>
      </c>
      <c r="L24" s="6"/>
      <c r="M24" s="5">
        <v>1</v>
      </c>
      <c r="N24" s="27">
        <v>1</v>
      </c>
      <c r="O24" s="26"/>
      <c r="P24" s="74"/>
      <c r="Q24" s="55"/>
      <c r="R24" s="55"/>
      <c r="S24" s="55"/>
    </row>
    <row r="25" spans="1:19" ht="12" customHeight="1">
      <c r="A25" s="110" t="s">
        <v>106</v>
      </c>
      <c r="B25" s="56" t="str">
        <f>VLOOKUP(A25,[1]!Tableau_cotisants,2,FALSE)</f>
        <v>BOUBEE-SAUNIER</v>
      </c>
      <c r="C25" s="56" t="str">
        <f>VLOOKUP(A25,[1]!Tableau_cotisants,3,FALSE)</f>
        <v>BOUBEE-SAUNIER</v>
      </c>
      <c r="D25" s="56" t="str">
        <f>VLOOKUP(A25,[1]!Tableau_cotisants,4,FALSE)</f>
        <v>Lucas</v>
      </c>
      <c r="E25" s="57">
        <f>VLOOKUP(A25,[1]!Tableau_cotisants,5,FALSE)</f>
        <v>0</v>
      </c>
      <c r="F25" s="56">
        <f>VLOOKUP(A25,[1]!Tableau_cotisants,6,FALSE)</f>
        <v>0</v>
      </c>
      <c r="G25" s="56">
        <f>VLOOKUP(A25,[1]!Tableau_cotisants,7,FALSE)</f>
        <v>1</v>
      </c>
      <c r="H25" s="58">
        <f>VLOOKUP(A25,[1]!Tableau_cotisants,8,FALSE)</f>
        <v>42216</v>
      </c>
      <c r="I25" s="58" t="str">
        <f t="shared" si="2"/>
        <v>3 an(s) 6 mois et 6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>
        <v>1</v>
      </c>
      <c r="O25" s="26"/>
      <c r="P25" s="74"/>
      <c r="Q25" s="55"/>
      <c r="R25" s="55"/>
      <c r="S25" s="55"/>
    </row>
    <row r="26" spans="1:19" ht="12" customHeight="1">
      <c r="A26" s="110" t="s">
        <v>158</v>
      </c>
      <c r="B26" s="56" t="str">
        <f>VLOOKUP(A26,[1]!Tableau_cotisants,2,FALSE)</f>
        <v>MENON</v>
      </c>
      <c r="C26" s="56" t="str">
        <f>VLOOKUP(A26,[1]!Tableau_cotisants,3,FALSE)</f>
        <v>MENON</v>
      </c>
      <c r="D26" s="56" t="str">
        <f>VLOOKUP(A26,[1]!Tableau_cotisants,4,FALSE)</f>
        <v>Caroline</v>
      </c>
      <c r="E26" s="57">
        <f>VLOOKUP(A26,[1]!Tableau_cotisants,5,FALSE)</f>
        <v>0</v>
      </c>
      <c r="F26" s="56">
        <f>VLOOKUP(A26,[1]!Tableau_cotisants,6,FALSE)</f>
        <v>1</v>
      </c>
      <c r="G26" s="56">
        <f>VLOOKUP(A26,[1]!Tableau_cotisants,7,FALSE)</f>
        <v>0</v>
      </c>
      <c r="H26" s="58">
        <f>VLOOKUP(A26,[1]!Tableau_cotisants,8,FALSE)</f>
        <v>29713</v>
      </c>
      <c r="I26" s="58" t="str">
        <f t="shared" si="2"/>
        <v>37 an(s) 8 mois et 30 jour(s)</v>
      </c>
      <c r="J26" s="56" t="str">
        <f>VLOOKUP(A26,[1]!Tableau_cotisants,10,FALSE)</f>
        <v>Genté</v>
      </c>
      <c r="K26" s="57" t="str">
        <f>VLOOKUP(A26,[1]!Tableau_cotisants,11,FALSE)</f>
        <v>Champagne</v>
      </c>
      <c r="L26" s="6"/>
      <c r="M26" s="5">
        <v>1</v>
      </c>
      <c r="N26" s="27"/>
      <c r="O26" s="26"/>
      <c r="P26" s="74">
        <v>1</v>
      </c>
      <c r="Q26" s="55"/>
      <c r="R26" s="55"/>
      <c r="S26" s="55"/>
    </row>
    <row r="27" spans="1:19" ht="12" customHeight="1" thickBot="1">
      <c r="A27" s="110" t="s">
        <v>191</v>
      </c>
      <c r="B27" s="56" t="str">
        <f>VLOOKUP(A27,[1]!Tableau_cotisants,2,FALSE)</f>
        <v>MENON</v>
      </c>
      <c r="C27" s="56" t="str">
        <f>VLOOKUP(A27,[1]!Tableau_cotisants,3,FALSE)</f>
        <v>MENON</v>
      </c>
      <c r="D27" s="56" t="str">
        <f>VLOOKUP(A27,[1]!Tableau_cotisants,4,FALSE)</f>
        <v>Alienor</v>
      </c>
      <c r="E27" s="57">
        <f>VLOOKUP(A27,[1]!Tableau_cotisants,5,FALSE)</f>
        <v>0</v>
      </c>
      <c r="F27" s="56">
        <f>VLOOKUP(A27,[1]!Tableau_cotisants,6,FALSE)</f>
        <v>1</v>
      </c>
      <c r="G27" s="56">
        <f>VLOOKUP(A27,[1]!Tableau_cotisants,7,FALSE)</f>
        <v>0</v>
      </c>
      <c r="H27" s="58">
        <f>VLOOKUP(A27,[1]!Tableau_cotisants,8,FALSE)</f>
        <v>38973</v>
      </c>
      <c r="I27" s="58" t="str">
        <f t="shared" si="2"/>
        <v>12 an(s) 4 mois et 24 jour(s)</v>
      </c>
      <c r="J27" s="56" t="str">
        <f>VLOOKUP(A27,[1]!Tableau_cotisants,10,FALSE)</f>
        <v>Genté</v>
      </c>
      <c r="K27" s="57" t="str">
        <f>VLOOKUP(A27,[1]!Tableau_cotisants,11,FALSE)</f>
        <v>Champagne</v>
      </c>
      <c r="L27" s="6"/>
      <c r="M27" s="5">
        <v>1</v>
      </c>
      <c r="N27" s="27"/>
      <c r="O27" s="26"/>
      <c r="P27" s="74">
        <v>1</v>
      </c>
      <c r="Q27" s="55"/>
      <c r="R27" s="55"/>
      <c r="S27" s="55"/>
    </row>
    <row r="28" spans="1:19" ht="19.5" thickBot="1">
      <c r="A28" s="17"/>
      <c r="B28" s="4"/>
      <c r="C28" s="4"/>
      <c r="D28" s="4"/>
      <c r="E28" s="4">
        <f>SUM(E7:E27)</f>
        <v>0</v>
      </c>
      <c r="F28" s="4">
        <f>SUM(F5:F27)</f>
        <v>10</v>
      </c>
      <c r="G28" s="4">
        <f>SUM(G5:G27)</f>
        <v>3</v>
      </c>
      <c r="H28" s="4"/>
      <c r="I28" s="4"/>
      <c r="J28" s="4"/>
      <c r="K28" s="18">
        <f>SUM(K7:K27)</f>
        <v>0</v>
      </c>
      <c r="L28" s="93">
        <f t="shared" ref="L28:S28" si="3">SUM(L5:L27)</f>
        <v>3</v>
      </c>
      <c r="M28" s="19">
        <f t="shared" si="3"/>
        <v>10</v>
      </c>
      <c r="N28" s="20">
        <f t="shared" si="3"/>
        <v>6</v>
      </c>
      <c r="O28" s="28">
        <f t="shared" si="3"/>
        <v>2</v>
      </c>
      <c r="P28" s="72">
        <f t="shared" si="3"/>
        <v>5</v>
      </c>
      <c r="Q28" s="79">
        <f t="shared" si="3"/>
        <v>0</v>
      </c>
      <c r="R28" s="80">
        <f t="shared" si="3"/>
        <v>0</v>
      </c>
      <c r="S28" s="81">
        <f t="shared" si="3"/>
        <v>0</v>
      </c>
    </row>
    <row r="29" spans="1:19" ht="24" thickBot="1">
      <c r="B29" t="s">
        <v>28</v>
      </c>
      <c r="C29" s="98"/>
      <c r="F29" s="201">
        <f>F28+G28</f>
        <v>13</v>
      </c>
      <c r="G29" s="201"/>
      <c r="L29" s="201">
        <f>L28+M28</f>
        <v>13</v>
      </c>
      <c r="M29" s="201"/>
      <c r="N29" s="202">
        <f>N28+O28+P28</f>
        <v>13</v>
      </c>
      <c r="O29" s="202"/>
      <c r="P29" s="202"/>
      <c r="Q29" s="136"/>
      <c r="R29" s="136"/>
      <c r="S29" s="136"/>
    </row>
    <row r="30" spans="1:19" ht="15.75" thickBot="1">
      <c r="B30" t="s">
        <v>75</v>
      </c>
      <c r="L30" s="22">
        <f>L28+'30 janvier 2019'!L30</f>
        <v>53</v>
      </c>
      <c r="M30" s="23">
        <f>M28+'30 janvier 2019'!M30</f>
        <v>62</v>
      </c>
      <c r="N30" s="24">
        <f>N28+'30 janvier 2019'!N30</f>
        <v>60</v>
      </c>
      <c r="O30" s="25">
        <f>O28+'30 janvier 2019'!O30</f>
        <v>13</v>
      </c>
      <c r="P30" s="84">
        <f>P28+'30 janvier 2019'!P30</f>
        <v>42</v>
      </c>
      <c r="Q30" s="82">
        <f>Q28+'30 janvier 2019'!Q30</f>
        <v>6</v>
      </c>
      <c r="R30" s="90">
        <f>R28+'30 janvier 2019'!R30</f>
        <v>0</v>
      </c>
      <c r="S30" s="83">
        <f>S28+'30 janvier 2019'!S30</f>
        <v>3</v>
      </c>
    </row>
    <row r="31" spans="1:19" ht="33" thickBot="1">
      <c r="L31" s="203">
        <f>L29+'30 janvier 2019'!L31:M31</f>
        <v>115</v>
      </c>
      <c r="M31" s="204"/>
      <c r="N31" s="205">
        <f>N29+'30 janvier 2019'!N31:P31</f>
        <v>115</v>
      </c>
      <c r="O31" s="206"/>
      <c r="P31" s="207"/>
    </row>
    <row r="32" spans="1:19">
      <c r="B32" t="s">
        <v>181</v>
      </c>
      <c r="C32" s="142" t="s">
        <v>185</v>
      </c>
      <c r="D32" t="s">
        <v>181</v>
      </c>
      <c r="E32" s="208" t="s">
        <v>182</v>
      </c>
      <c r="F32" s="209"/>
    </row>
    <row r="33" spans="1:6" ht="45">
      <c r="A33" s="140" t="s">
        <v>183</v>
      </c>
      <c r="B33" s="138">
        <v>2</v>
      </c>
      <c r="C33" s="139">
        <f>B33+'30 janvier 2019'!C33</f>
        <v>5</v>
      </c>
      <c r="D33" s="138">
        <v>14</v>
      </c>
      <c r="E33" s="195">
        <f>D33+'30 janvier 2019'!E33:F33</f>
        <v>35</v>
      </c>
      <c r="F33" s="196"/>
    </row>
    <row r="34" spans="1:6" ht="32.25">
      <c r="A34" s="141" t="s">
        <v>184</v>
      </c>
      <c r="B34" s="138">
        <v>1</v>
      </c>
      <c r="C34" s="139">
        <f>B34+'30 janvier 2019'!C34</f>
        <v>6</v>
      </c>
      <c r="D34" s="138">
        <v>7</v>
      </c>
      <c r="E34" s="195">
        <f>D34+'30 janvier 2019'!E34:F34</f>
        <v>44</v>
      </c>
      <c r="F34" s="196"/>
    </row>
    <row r="35" spans="1:6">
      <c r="B35" s="136">
        <f>B34+B33</f>
        <v>3</v>
      </c>
      <c r="C35" s="136">
        <f>C34+C33</f>
        <v>11</v>
      </c>
      <c r="D35" s="136">
        <f>D34+D33</f>
        <v>21</v>
      </c>
      <c r="E35" s="210">
        <f>E34+E33</f>
        <v>79</v>
      </c>
      <c r="F35" s="210"/>
    </row>
  </sheetData>
  <mergeCells count="10">
    <mergeCell ref="L29:M29"/>
    <mergeCell ref="N29:P29"/>
    <mergeCell ref="L31:M31"/>
    <mergeCell ref="N31:P31"/>
    <mergeCell ref="E32:F32"/>
    <mergeCell ref="E33:F33"/>
    <mergeCell ref="E34:F34"/>
    <mergeCell ref="E35:F35"/>
    <mergeCell ref="F3:G3"/>
    <mergeCell ref="F29:G29"/>
  </mergeCells>
  <conditionalFormatting sqref="N31">
    <cfRule type="cellIs" dxfId="61" priority="4" operator="equal">
      <formula>$N$30+$O$30</formula>
    </cfRule>
  </conditionalFormatting>
  <conditionalFormatting sqref="N31">
    <cfRule type="cellIs" dxfId="60" priority="3" operator="equal">
      <formula>$N$36+$O$36</formula>
    </cfRule>
  </conditionalFormatting>
  <conditionalFormatting sqref="F29:G29 N29">
    <cfRule type="cellIs" dxfId="59" priority="1" operator="notEqual">
      <formula>$L$29</formula>
    </cfRule>
    <cfRule type="cellIs" dxfId="58" priority="2" operator="equal">
      <formula>$L$29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S35"/>
  <sheetViews>
    <sheetView workbookViewId="0">
      <pane ySplit="4" topLeftCell="A17" activePane="bottomLeft" state="frozen"/>
      <selection pane="bottomLeft" activeCell="A20" sqref="A20:S27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43509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192</v>
      </c>
      <c r="N2" s="60"/>
      <c r="R2" s="61">
        <v>6</v>
      </c>
    </row>
    <row r="3" spans="1:19" ht="21.75" thickBot="1">
      <c r="C3" s="60"/>
      <c r="D3" s="60"/>
      <c r="F3" s="199" t="s">
        <v>6</v>
      </c>
      <c r="G3" s="200"/>
      <c r="M3" t="s">
        <v>193</v>
      </c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3" t="s">
        <v>90</v>
      </c>
      <c r="B5" s="52" t="str">
        <f>VLOOKUP(A5,[1]!Tableau_cotisants,2,FALSE)</f>
        <v>GUYOT</v>
      </c>
      <c r="C5" s="52" t="str">
        <f>VLOOKUP(A5,[1]!Tableau_cotisants,3,FALSE)</f>
        <v>GUYOT</v>
      </c>
      <c r="D5" s="52" t="str">
        <f>VLOOKUP(A5,[1]!Tableau_cotisants,4,FALSE)</f>
        <v>Virginie</v>
      </c>
      <c r="E5" s="53">
        <f>VLOOKUP(A5,[1]!Tableau_cotisants,5,FALSE)</f>
        <v>1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30012</v>
      </c>
      <c r="I5" s="54" t="str">
        <f t="shared" ref="I5:I7" si="0">DATEDIF(H5,Date_du_jour,"y") &amp; " an(s) " &amp; DATEDIF(H5,$C$2,"ym") &amp; " mois et " &amp; DATEDIF(H5,$C$2,"md") &amp; " jour(s)"</f>
        <v>36 an(s) 11 mois et 11 jour(s)</v>
      </c>
      <c r="J5" s="52" t="str">
        <f>VLOOKUP(A5,[1]!Tableau_cotisants,10,FALSE)</f>
        <v>Chateaubernard</v>
      </c>
      <c r="K5" s="53" t="str">
        <f>VLOOKUP(A5,[1]!Tableau_cotisants,11,FALSE)</f>
        <v>Cognac</v>
      </c>
      <c r="L5" s="6">
        <v>1</v>
      </c>
      <c r="M5" s="5"/>
      <c r="N5" s="27"/>
      <c r="O5" s="26"/>
      <c r="P5" s="74">
        <v>1</v>
      </c>
      <c r="Q5" s="55"/>
      <c r="R5" s="55"/>
      <c r="S5" s="55"/>
    </row>
    <row r="6" spans="1:19" ht="12" customHeight="1">
      <c r="A6" s="103" t="s">
        <v>93</v>
      </c>
      <c r="B6" s="52" t="str">
        <f>VLOOKUP(A6,[1]!Tableau_cotisants,2,FALSE)</f>
        <v>GUYOT</v>
      </c>
      <c r="C6" s="52" t="str">
        <f>VLOOKUP(A6,[1]!Tableau_cotisants,3,FALSE)</f>
        <v>FARCY</v>
      </c>
      <c r="D6" s="52" t="str">
        <f>VLOOKUP(A6,[1]!Tableau_cotisants,4,FALSE)</f>
        <v>Sacha</v>
      </c>
      <c r="E6" s="53">
        <f>VLOOKUP(A6,[1]!Tableau_cotisants,5,FALSE)</f>
        <v>1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43040</v>
      </c>
      <c r="I6" s="54" t="str">
        <f t="shared" si="0"/>
        <v>1 an(s) 3 mois et 12 jour(s)</v>
      </c>
      <c r="J6" s="52" t="str">
        <f>VLOOKUP(A6,[1]!Tableau_cotisants,10,FALSE)</f>
        <v>Chateaubernard</v>
      </c>
      <c r="K6" s="53" t="str">
        <f>VLOOKUP(A6,[1]!Tableau_cotisants,11,FALSE)</f>
        <v>Cognac</v>
      </c>
      <c r="L6" s="6">
        <v>1</v>
      </c>
      <c r="M6" s="5"/>
      <c r="N6" s="27"/>
      <c r="O6" s="26"/>
      <c r="P6" s="74">
        <v>1</v>
      </c>
      <c r="Q6" s="55"/>
      <c r="R6" s="55"/>
      <c r="S6" s="55"/>
    </row>
    <row r="7" spans="1:19" ht="12" customHeight="1">
      <c r="A7" s="103" t="s">
        <v>91</v>
      </c>
      <c r="B7" s="52" t="str">
        <f>VLOOKUP(A7,[1]!Tableau_cotisants,2,FALSE)</f>
        <v>GUYOT</v>
      </c>
      <c r="C7" s="52" t="str">
        <f>VLOOKUP(A7,[1]!Tableau_cotisants,3,FALSE)</f>
        <v>FORGEARD</v>
      </c>
      <c r="D7" s="52" t="str">
        <f>VLOOKUP(A7,[1]!Tableau_cotisants,4,FALSE)</f>
        <v>Yanis</v>
      </c>
      <c r="E7" s="53">
        <f>VLOOKUP(A7,[1]!Tableau_cotisants,5,FALSE)</f>
        <v>1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43315</v>
      </c>
      <c r="I7" s="54" t="str">
        <f t="shared" si="0"/>
        <v>0 an(s) 6 mois et 10 jour(s)</v>
      </c>
      <c r="J7" s="52" t="str">
        <f>VLOOKUP(A7,[1]!Tableau_cotisants,10,FALSE)</f>
        <v>Chateaubernard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03" t="s">
        <v>92</v>
      </c>
      <c r="B8" s="52" t="str">
        <f>VLOOKUP(A8,[1]!Tableau_cotisants,2,FALSE)</f>
        <v>GUYOT</v>
      </c>
      <c r="C8" s="52" t="str">
        <f>VLOOKUP(A8,[1]!Tableau_cotisants,3,FALSE)</f>
        <v>FRIOUX-GARCIA</v>
      </c>
      <c r="D8" s="52" t="str">
        <f>VLOOKUP(A8,[1]!Tableau_cotisants,4,FALSE)</f>
        <v>Marius</v>
      </c>
      <c r="E8" s="53">
        <f>VLOOKUP(A8,[1]!Tableau_cotisants,5,FALSE)</f>
        <v>1</v>
      </c>
      <c r="F8" s="52">
        <f>VLOOKUP(A8,[1]!Tableau_cotisants,6,FALSE)</f>
        <v>0</v>
      </c>
      <c r="G8" s="52">
        <f>VLOOKUP(A8,[1]!Tableau_cotisants,7,FALSE)</f>
        <v>1</v>
      </c>
      <c r="H8" s="54">
        <f>VLOOKUP(A8,[1]!Tableau_cotisants,8,FALSE)</f>
        <v>43395</v>
      </c>
      <c r="I8" s="54" t="str">
        <f t="shared" ref="I8" si="1">DATEDIF(H8,Date_du_jour,"y") &amp; " an(s) " &amp; DATEDIF(H8,$C$2,"ym") &amp; " mois et " &amp; DATEDIF(H8,$C$2,"md") &amp; " jour(s)"</f>
        <v>0 an(s) 3 mois et 22 jour(s)</v>
      </c>
      <c r="J8" s="52" t="str">
        <f>VLOOKUP(A8,[1]!Tableau_cotisants,10,FALSE)</f>
        <v>Chateaubernard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03" t="s">
        <v>194</v>
      </c>
      <c r="B9" s="52" t="str">
        <f>VLOOKUP(A9,[1]!Tableau_cotisants,2,FALSE)</f>
        <v>GUYOT</v>
      </c>
      <c r="C9" s="52" t="str">
        <f>VLOOKUP(A9,[1]!Tableau_cotisants,3,FALSE)</f>
        <v>ZIDI</v>
      </c>
      <c r="D9" s="52" t="str">
        <f>VLOOKUP(A9,[1]!Tableau_cotisants,4,FALSE)</f>
        <v>Driss</v>
      </c>
      <c r="E9" s="53">
        <f>VLOOKUP(A9,[1]!Tableau_cotisants,5,FALSE)</f>
        <v>1</v>
      </c>
      <c r="F9" s="52">
        <f>VLOOKUP(A9,[1]!Tableau_cotisants,6,FALSE)</f>
        <v>0</v>
      </c>
      <c r="G9" s="52">
        <f>VLOOKUP(A9,[1]!Tableau_cotisants,7,FALSE)</f>
        <v>1</v>
      </c>
      <c r="H9" s="54">
        <f>VLOOKUP(A9,[1]!Tableau_cotisants,8,FALSE)</f>
        <v>42935</v>
      </c>
      <c r="I9" s="54" t="str">
        <f t="shared" ref="I9" si="2">DATEDIF(H9,Date_du_jour,"y") &amp; " an(s) " &amp; DATEDIF(H9,$C$2,"ym") &amp; " mois et " &amp; DATEDIF(H9,$C$2,"md") &amp; " jour(s)"</f>
        <v>1 an(s) 6 mois et 25 jour(s)</v>
      </c>
      <c r="J9" s="52" t="str">
        <f>VLOOKUP(A9,[1]!Tableau_cotisants,10,FALSE)</f>
        <v>Chateaubernard</v>
      </c>
      <c r="K9" s="53" t="str">
        <f>VLOOKUP(A9,[1]!Tableau_cotisants,11,FALSE)</f>
        <v>Cognac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03" t="s">
        <v>94</v>
      </c>
      <c r="B10" s="52" t="str">
        <f>VLOOKUP(A10,[1]!Tableau_cotisants,2,FALSE)</f>
        <v>COZIC</v>
      </c>
      <c r="C10" s="52" t="str">
        <f>VLOOKUP(A10,[1]!Tableau_cotisants,3,FALSE)</f>
        <v>COZIC</v>
      </c>
      <c r="D10" s="52" t="str">
        <f>VLOOKUP(A10,[1]!Tableau_cotisants,4,FALSE)</f>
        <v>Jennifer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30554</v>
      </c>
      <c r="I10" s="54" t="str">
        <f t="shared" ref="I10:I14" si="3">DATEDIF(H10,Date_du_jour,"y") &amp; " an(s) " &amp; DATEDIF(H10,$C$2,"ym") &amp; " mois et " &amp; DATEDIF(H10,$C$2,"md") &amp; " jour(s)"</f>
        <v>35 an(s) 5 mois et 18 jour(s)</v>
      </c>
      <c r="J10" s="52" t="str">
        <f>VLOOKUP(A10,[1]!Tableau_cotisants,10,FALSE)</f>
        <v>Chateaubernard</v>
      </c>
      <c r="K10" s="53" t="str">
        <f>VLOOKUP(A10,[1]!Tableau_cotisants,11,FALSE)</f>
        <v>Cognac</v>
      </c>
      <c r="L10" s="6">
        <v>1</v>
      </c>
      <c r="M10" s="5"/>
      <c r="N10" s="27"/>
      <c r="O10" s="26"/>
      <c r="P10" s="74">
        <v>1</v>
      </c>
      <c r="Q10" s="55"/>
      <c r="R10" s="55"/>
      <c r="S10" s="55"/>
    </row>
    <row r="11" spans="1:19" ht="12" customHeight="1">
      <c r="A11" s="103" t="s">
        <v>95</v>
      </c>
      <c r="B11" s="52" t="str">
        <f>VLOOKUP(A11,[1]!Tableau_cotisants,2,FALSE)</f>
        <v>COZIC</v>
      </c>
      <c r="C11" s="52" t="str">
        <f>VLOOKUP(A11,[1]!Tableau_cotisants,3,FALSE)</f>
        <v>FRAISSINET COZIC</v>
      </c>
      <c r="D11" s="52" t="str">
        <f>VLOOKUP(A11,[1]!Tableau_cotisants,4,FALSE)</f>
        <v>Kathleen</v>
      </c>
      <c r="E11" s="53">
        <f>VLOOKUP(A11,[1]!Tableau_cotisants,5,FALSE)</f>
        <v>1</v>
      </c>
      <c r="F11" s="52">
        <f>VLOOKUP(A11,[1]!Tableau_cotisants,6,FALSE)</f>
        <v>1</v>
      </c>
      <c r="G11" s="52">
        <f>VLOOKUP(A11,[1]!Tableau_cotisants,7,FALSE)</f>
        <v>0</v>
      </c>
      <c r="H11" s="54">
        <f>VLOOKUP(A11,[1]!Tableau_cotisants,8,FALSE)</f>
        <v>39909</v>
      </c>
      <c r="I11" s="54" t="str">
        <f t="shared" si="3"/>
        <v>9 an(s) 10 mois et 7 jour(s)</v>
      </c>
      <c r="J11" s="52" t="str">
        <f>VLOOKUP(A11,[1]!Tableau_cotisants,10,FALSE)</f>
        <v>Chateaubernard</v>
      </c>
      <c r="K11" s="53" t="str">
        <f>VLOOKUP(A11,[1]!Tableau_cotisants,11,FALSE)</f>
        <v>Cognac</v>
      </c>
      <c r="L11" s="6">
        <v>1</v>
      </c>
      <c r="M11" s="5"/>
      <c r="N11" s="27"/>
      <c r="O11" s="26"/>
      <c r="P11" s="74">
        <v>1</v>
      </c>
      <c r="Q11" s="55"/>
      <c r="R11" s="55"/>
      <c r="S11" s="55"/>
    </row>
    <row r="12" spans="1:19" ht="12" customHeight="1">
      <c r="A12" s="103" t="s">
        <v>96</v>
      </c>
      <c r="B12" s="52" t="str">
        <f>VLOOKUP(A12,[1]!Tableau_cotisants,2,FALSE)</f>
        <v>COZIC</v>
      </c>
      <c r="C12" s="52" t="str">
        <f>VLOOKUP(A12,[1]!Tableau_cotisants,3,FALSE)</f>
        <v>FRAISSINET COZIC</v>
      </c>
      <c r="D12" s="52" t="str">
        <f>VLOOKUP(A12,[1]!Tableau_cotisants,4,FALSE)</f>
        <v>Kendall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40770</v>
      </c>
      <c r="I12" s="54" t="str">
        <f t="shared" si="3"/>
        <v>7 an(s) 5 mois et 29 jour(s)</v>
      </c>
      <c r="J12" s="52" t="str">
        <f>VLOOKUP(A12,[1]!Tableau_cotisants,10,FALSE)</f>
        <v>Chateaubernard</v>
      </c>
      <c r="K12" s="53" t="str">
        <f>VLOOKUP(A12,[1]!Tableau_cotisants,11,FALSE)</f>
        <v>Cognac</v>
      </c>
      <c r="L12" s="6">
        <v>1</v>
      </c>
      <c r="M12" s="5"/>
      <c r="N12" s="27"/>
      <c r="O12" s="26"/>
      <c r="P12" s="74">
        <v>1</v>
      </c>
      <c r="Q12" s="55"/>
      <c r="R12" s="55"/>
      <c r="S12" s="55"/>
    </row>
    <row r="13" spans="1:19" ht="12" customHeight="1">
      <c r="A13" s="103" t="s">
        <v>97</v>
      </c>
      <c r="B13" s="52" t="str">
        <f>VLOOKUP(A13,[1]!Tableau_cotisants,2,FALSE)</f>
        <v>COZIC</v>
      </c>
      <c r="C13" s="52" t="str">
        <f>VLOOKUP(A13,[1]!Tableau_cotisants,3,FALSE)</f>
        <v>TARDIEU</v>
      </c>
      <c r="D13" s="52" t="str">
        <f>VLOOKUP(A13,[1]!Tableau_cotisants,4,FALSE)</f>
        <v>Gustave</v>
      </c>
      <c r="E13" s="53">
        <f>VLOOKUP(A13,[1]!Tableau_cotisants,5,FALSE)</f>
        <v>1</v>
      </c>
      <c r="F13" s="52">
        <f>VLOOKUP(A13,[1]!Tableau_cotisants,6,FALSE)</f>
        <v>0</v>
      </c>
      <c r="G13" s="52">
        <f>VLOOKUP(A13,[1]!Tableau_cotisants,7,FALSE)</f>
        <v>1</v>
      </c>
      <c r="H13" s="54">
        <f>VLOOKUP(A13,[1]!Tableau_cotisants,8,FALSE)</f>
        <v>42917</v>
      </c>
      <c r="I13" s="54" t="str">
        <f t="shared" si="3"/>
        <v>1 an(s) 7 mois et 12 jour(s)</v>
      </c>
      <c r="J13" s="52" t="str">
        <f>VLOOKUP(A13,[1]!Tableau_cotisants,10,FALSE)</f>
        <v>Chateaubernard</v>
      </c>
      <c r="K13" s="53" t="str">
        <f>VLOOKUP(A13,[1]!Tableau_cotisants,11,FALSE)</f>
        <v>Cognac</v>
      </c>
      <c r="L13" s="6">
        <v>1</v>
      </c>
      <c r="M13" s="5"/>
      <c r="N13" s="27"/>
      <c r="O13" s="26"/>
      <c r="P13" s="74">
        <v>1</v>
      </c>
      <c r="Q13" s="55"/>
      <c r="R13" s="55"/>
      <c r="S13" s="55"/>
    </row>
    <row r="14" spans="1:19" ht="12" customHeight="1">
      <c r="A14" s="103" t="s">
        <v>98</v>
      </c>
      <c r="B14" s="52" t="str">
        <f>VLOOKUP(A14,[1]!Tableau_cotisants,2,FALSE)</f>
        <v>COZIC</v>
      </c>
      <c r="C14" s="52" t="str">
        <f>VLOOKUP(A14,[1]!Tableau_cotisants,3,FALSE)</f>
        <v>BARAUD</v>
      </c>
      <c r="D14" s="52" t="str">
        <f>VLOOKUP(A14,[1]!Tableau_cotisants,4,FALSE)</f>
        <v>Théo</v>
      </c>
      <c r="E14" s="53">
        <f>VLOOKUP(A14,[1]!Tableau_cotisants,5,FALSE)</f>
        <v>1</v>
      </c>
      <c r="F14" s="52">
        <f>VLOOKUP(A14,[1]!Tableau_cotisants,6,FALSE)</f>
        <v>0</v>
      </c>
      <c r="G14" s="52">
        <f>VLOOKUP(A14,[1]!Tableau_cotisants,7,FALSE)</f>
        <v>1</v>
      </c>
      <c r="H14" s="54">
        <f>VLOOKUP(A14,[1]!Tableau_cotisants,8,FALSE)</f>
        <v>43016</v>
      </c>
      <c r="I14" s="54" t="str">
        <f t="shared" si="3"/>
        <v>1 an(s) 4 mois et 5 jour(s)</v>
      </c>
      <c r="J14" s="52" t="str">
        <f>VLOOKUP(A14,[1]!Tableau_cotisants,10,FALSE)</f>
        <v>Chateaubernard</v>
      </c>
      <c r="K14" s="53" t="str">
        <f>VLOOKUP(A14,[1]!Tableau_cotisants,11,FALSE)</f>
        <v>Cognac</v>
      </c>
      <c r="L14" s="6">
        <v>1</v>
      </c>
      <c r="M14" s="5"/>
      <c r="N14" s="27"/>
      <c r="O14" s="26"/>
      <c r="P14" s="74">
        <v>1</v>
      </c>
      <c r="Q14" s="55"/>
      <c r="R14" s="55"/>
      <c r="S14" s="55"/>
    </row>
    <row r="15" spans="1:19" ht="12" customHeight="1">
      <c r="A15" s="103" t="s">
        <v>195</v>
      </c>
      <c r="B15" s="52" t="str">
        <f>VLOOKUP(A15,[1]!Tableau_cotisants,2,FALSE)</f>
        <v>COZIC</v>
      </c>
      <c r="C15" s="52" t="str">
        <f>VLOOKUP(A15,[1]!Tableau_cotisants,3,FALSE)</f>
        <v xml:space="preserve">VEZIN </v>
      </c>
      <c r="D15" s="52" t="str">
        <f>VLOOKUP(A15,[1]!Tableau_cotisants,4,FALSE)</f>
        <v>Paulin</v>
      </c>
      <c r="E15" s="53">
        <f>VLOOKUP(A15,[1]!Tableau_cotisants,5,FALSE)</f>
        <v>1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43055</v>
      </c>
      <c r="I15" s="54" t="str">
        <f t="shared" ref="I15" si="4">DATEDIF(H15,Date_du_jour,"y") &amp; " an(s) " &amp; DATEDIF(H15,$C$2,"ym") &amp; " mois et " &amp; DATEDIF(H15,$C$2,"md") &amp; " jour(s)"</f>
        <v>1 an(s) 2 mois et 28 jour(s)</v>
      </c>
      <c r="J15" s="52" t="str">
        <f>VLOOKUP(A15,[1]!Tableau_cotisants,10,FALSE)</f>
        <v>Chateaubernard</v>
      </c>
      <c r="K15" s="53" t="str">
        <f>VLOOKUP(A15,[1]!Tableau_cotisants,11,FALSE)</f>
        <v>Cognac</v>
      </c>
      <c r="L15" s="6">
        <v>1</v>
      </c>
      <c r="M15" s="5"/>
      <c r="N15" s="27"/>
      <c r="O15" s="26"/>
      <c r="P15" s="74">
        <v>1</v>
      </c>
      <c r="Q15" s="55"/>
      <c r="R15" s="55"/>
      <c r="S15" s="55"/>
    </row>
    <row r="16" spans="1:19" ht="12" customHeight="1">
      <c r="A16" s="111" t="s">
        <v>196</v>
      </c>
      <c r="B16" s="52" t="str">
        <f>VLOOKUP(A16,[1]!Tableau_cotisants,2,FALSE)</f>
        <v>EYMARD/LEHOUX</v>
      </c>
      <c r="C16" s="52" t="str">
        <f>VLOOKUP(A16,[1]!Tableau_cotisants,3,FALSE)</f>
        <v>LEHOUX</v>
      </c>
      <c r="D16" s="52" t="str">
        <f>VLOOKUP(A16,[1]!Tableau_cotisants,4,FALSE)</f>
        <v>Mélanie</v>
      </c>
      <c r="E16" s="53">
        <f>VLOOKUP(A16,[1]!Tableau_cotisants,5,FALSE)</f>
        <v>0</v>
      </c>
      <c r="F16" s="52">
        <f>VLOOKUP(A16,[1]!Tableau_cotisants,6,FALSE)</f>
        <v>1</v>
      </c>
      <c r="G16" s="52">
        <f>VLOOKUP(A16,[1]!Tableau_cotisants,7,FALSE)</f>
        <v>0</v>
      </c>
      <c r="H16" s="54">
        <f>VLOOKUP(A16,[1]!Tableau_cotisants,8,FALSE)</f>
        <v>29361</v>
      </c>
      <c r="I16" s="54" t="str">
        <f t="shared" ref="I16:I17" si="5">DATEDIF(H16,Date_du_jour,"y") &amp; " an(s) " &amp; DATEDIF(H16,$C$2,"ym") &amp; " mois et " &amp; DATEDIF(H16,$C$2,"md") &amp; " jour(s)"</f>
        <v>38 an(s) 8 mois et 24 jour(s)</v>
      </c>
      <c r="J16" s="52" t="str">
        <f>VLOOKUP(A16,[1]!Tableau_cotisants,10,FALSE)</f>
        <v>SEGONZAC</v>
      </c>
      <c r="K16" s="53" t="str">
        <f>VLOOKUP(A16,[1]!Tableau_cotisants,11,FALSE)</f>
        <v>Champagne</v>
      </c>
      <c r="L16" s="6">
        <v>1</v>
      </c>
      <c r="M16" s="5"/>
      <c r="N16" s="27">
        <v>1</v>
      </c>
      <c r="O16" s="26"/>
      <c r="P16" s="74"/>
      <c r="Q16" s="55"/>
      <c r="R16" s="55"/>
      <c r="S16" s="55"/>
    </row>
    <row r="17" spans="1:19" ht="12" customHeight="1">
      <c r="A17" s="111" t="s">
        <v>197</v>
      </c>
      <c r="B17" s="52" t="str">
        <f>VLOOKUP(A17,[1]!Tableau_cotisants,2,FALSE)</f>
        <v>EYMARD/LEHOUX</v>
      </c>
      <c r="C17" s="52" t="str">
        <f>VLOOKUP(A17,[1]!Tableau_cotisants,3,FALSE)</f>
        <v>EYMARD</v>
      </c>
      <c r="D17" s="52" t="str">
        <f>VLOOKUP(A17,[1]!Tableau_cotisants,4,FALSE)</f>
        <v>Marius</v>
      </c>
      <c r="E17" s="53">
        <f>VLOOKUP(A17,[1]!Tableau_cotisants,5,FALSE)</f>
        <v>0</v>
      </c>
      <c r="F17" s="52">
        <f>VLOOKUP(A17,[1]!Tableau_cotisants,6,FALSE)</f>
        <v>0</v>
      </c>
      <c r="G17" s="52">
        <f>VLOOKUP(A17,[1]!Tableau_cotisants,7,FALSE)</f>
        <v>1</v>
      </c>
      <c r="H17" s="54">
        <f>VLOOKUP(A17,[1]!Tableau_cotisants,8,FALSE)</f>
        <v>43320</v>
      </c>
      <c r="I17" s="54" t="str">
        <f t="shared" si="5"/>
        <v>0 an(s) 6 mois et 5 jour(s)</v>
      </c>
      <c r="J17" s="52" t="str">
        <f>VLOOKUP(A17,[1]!Tableau_cotisants,10,FALSE)</f>
        <v>SEGONZAC</v>
      </c>
      <c r="K17" s="53" t="str">
        <f>VLOOKUP(A17,[1]!Tableau_cotisants,11,FALSE)</f>
        <v>Champagne</v>
      </c>
      <c r="L17" s="6">
        <v>1</v>
      </c>
      <c r="M17" s="5"/>
      <c r="N17" s="27">
        <v>1</v>
      </c>
      <c r="O17" s="26"/>
      <c r="P17" s="74"/>
      <c r="Q17" s="55"/>
      <c r="R17" s="55"/>
      <c r="S17" s="55"/>
    </row>
    <row r="18" spans="1:19" ht="12" customHeight="1">
      <c r="A18" s="100"/>
      <c r="B18" s="125" t="s">
        <v>200</v>
      </c>
      <c r="C18" s="112"/>
      <c r="D18" s="112"/>
      <c r="E18" s="53"/>
      <c r="F18" s="52"/>
      <c r="G18" s="52"/>
      <c r="H18" s="54"/>
      <c r="I18" s="54"/>
      <c r="J18" s="52"/>
      <c r="K18" s="53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00"/>
      <c r="B19" s="125" t="s">
        <v>199</v>
      </c>
      <c r="C19" s="112"/>
      <c r="D19" s="112"/>
      <c r="E19" s="57"/>
      <c r="F19" s="56"/>
      <c r="G19" s="56"/>
      <c r="H19" s="58"/>
      <c r="I19" s="58"/>
      <c r="J19" s="56"/>
      <c r="K19" s="57"/>
      <c r="L19" s="6"/>
      <c r="M19" s="5"/>
      <c r="N19" s="27"/>
      <c r="O19" s="26"/>
      <c r="P19" s="74"/>
      <c r="Q19" s="55"/>
      <c r="R19" s="55"/>
      <c r="S19" s="55"/>
    </row>
    <row r="20" spans="1:19" ht="12" customHeight="1">
      <c r="A20" s="144" t="s">
        <v>198</v>
      </c>
      <c r="B20" s="56" t="str">
        <f>VLOOKUP(A20,[1]!Tableau_cotisants,2,FALSE)</f>
        <v>LOISEL/ROY</v>
      </c>
      <c r="C20" s="56" t="str">
        <f>VLOOKUP(A20,[1]!Tableau_cotisants,3,FALSE)</f>
        <v>LOISEL</v>
      </c>
      <c r="D20" s="56" t="str">
        <f>VLOOKUP(A20,[1]!Tableau_cotisants,4,FALSE)</f>
        <v>Romain</v>
      </c>
      <c r="E20" s="57">
        <f>VLOOKUP(A20,[1]!Tableau_cotisants,5,FALSE)</f>
        <v>0</v>
      </c>
      <c r="F20" s="56">
        <f>VLOOKUP(A20,[1]!Tableau_cotisants,6,FALSE)</f>
        <v>0</v>
      </c>
      <c r="G20" s="56">
        <f>VLOOKUP(A20,[1]!Tableau_cotisants,7,FALSE)</f>
        <v>1</v>
      </c>
      <c r="H20" s="58">
        <f>VLOOKUP(A20,[1]!Tableau_cotisants,8,FALSE)</f>
        <v>29789</v>
      </c>
      <c r="I20" s="58" t="str">
        <f t="shared" ref="I20" si="6">DATEDIF(H20,Date_du_jour,"y") &amp; " an(s) " &amp; DATEDIF(H20,$C$2,"ym") &amp; " mois et " &amp; DATEDIF(H20,$C$2,"md") &amp; " jour(s)"</f>
        <v>37 an(s) 6 mois et 22 jour(s)</v>
      </c>
      <c r="J20" s="56" t="str">
        <f>VLOOKUP(A20,[1]!Tableau_cotisants,10,FALSE)</f>
        <v>GENTE</v>
      </c>
      <c r="K20" s="57" t="str">
        <f>VLOOKUP(A20,[1]!Tableau_cotisants,11,FALSE)</f>
        <v>Champagne</v>
      </c>
      <c r="L20" s="6"/>
      <c r="M20" s="5">
        <v>1</v>
      </c>
      <c r="N20" s="27"/>
      <c r="O20" s="26">
        <v>1</v>
      </c>
      <c r="P20" s="74"/>
      <c r="Q20" s="55"/>
      <c r="R20" s="55"/>
      <c r="S20" s="55"/>
    </row>
    <row r="21" spans="1:19" ht="12" customHeight="1">
      <c r="A21" s="135" t="s">
        <v>172</v>
      </c>
      <c r="B21" s="56" t="str">
        <f>VLOOKUP(A21,[1]!Tableau_cotisants,2,FALSE)</f>
        <v>DUFFAU_LAGAROSSE</v>
      </c>
      <c r="C21" s="56" t="str">
        <f>VLOOKUP(A21,[1]!Tableau_cotisants,3,FALSE)</f>
        <v>GARCIA</v>
      </c>
      <c r="D21" s="56" t="str">
        <f>VLOOKUP(A21,[1]!Tableau_cotisants,4,FALSE)</f>
        <v>Stéphanie</v>
      </c>
      <c r="E21" s="57">
        <f>VLOOKUP(A21,[1]!Tableau_cotisants,5,FALSE)</f>
        <v>0</v>
      </c>
      <c r="F21" s="56">
        <f>VLOOKUP(A21,[1]!Tableau_cotisants,6,FALSE)</f>
        <v>1</v>
      </c>
      <c r="G21" s="56">
        <f>VLOOKUP(A21,[1]!Tableau_cotisants,7,FALSE)</f>
        <v>0</v>
      </c>
      <c r="H21" s="58">
        <f>VLOOKUP(A21,[1]!Tableau_cotisants,8,FALSE)</f>
        <v>30715</v>
      </c>
      <c r="I21" s="58" t="str">
        <f t="shared" ref="I21:I27" si="7">DATEDIF(H21,Date_du_jour,"y") &amp; " an(s) " &amp; DATEDIF(H21,$C$2,"ym") &amp; " mois et " &amp; DATEDIF(H21,$C$2,"md") &amp; " jour(s)"</f>
        <v>35 an(s) 0 mois et 10 jour(s)</v>
      </c>
      <c r="J21" s="56" t="str">
        <f>VLOOKUP(A21,[1]!Tableau_cotisants,10,FALSE)</f>
        <v>GENSAC LA PALLUE</v>
      </c>
      <c r="K21" s="57" t="str">
        <f>VLOOKUP(A21,[1]!Tableau_cotisants,11,FALSE)</f>
        <v>Champagne</v>
      </c>
      <c r="L21" s="6"/>
      <c r="M21" s="5">
        <v>1</v>
      </c>
      <c r="N21" s="27">
        <v>1</v>
      </c>
      <c r="O21" s="26"/>
      <c r="P21" s="74"/>
      <c r="Q21" s="55"/>
      <c r="R21" s="55"/>
      <c r="S21" s="55"/>
    </row>
    <row r="22" spans="1:19" ht="12" customHeight="1">
      <c r="A22" s="111" t="s">
        <v>173</v>
      </c>
      <c r="B22" s="56" t="str">
        <f>VLOOKUP(A22,[1]!Tableau_cotisants,2,FALSE)</f>
        <v>DUFFAU_LAGAROSSE</v>
      </c>
      <c r="C22" s="56" t="str">
        <f>VLOOKUP(A22,[1]!Tableau_cotisants,3,FALSE)</f>
        <v>DUFFAU_LAGAROSSE</v>
      </c>
      <c r="D22" s="56" t="str">
        <f>VLOOKUP(A22,[1]!Tableau_cotisants,4,FALSE)</f>
        <v>Jean</v>
      </c>
      <c r="E22" s="57">
        <f>VLOOKUP(A22,[1]!Tableau_cotisants,5,FALSE)</f>
        <v>0</v>
      </c>
      <c r="F22" s="56">
        <f>VLOOKUP(A22,[1]!Tableau_cotisants,6,FALSE)</f>
        <v>0</v>
      </c>
      <c r="G22" s="56">
        <f>VLOOKUP(A22,[1]!Tableau_cotisants,7,FALSE)</f>
        <v>1</v>
      </c>
      <c r="H22" s="58">
        <f>VLOOKUP(A22,[1]!Tableau_cotisants,8,FALSE)</f>
        <v>41861</v>
      </c>
      <c r="I22" s="58" t="str">
        <f t="shared" si="7"/>
        <v>4 an(s) 6 mois et 3 jour(s)</v>
      </c>
      <c r="J22" s="56" t="str">
        <f>VLOOKUP(A22,[1]!Tableau_cotisants,10,FALSE)</f>
        <v>GENSAC LA PALLUE</v>
      </c>
      <c r="K22" s="57" t="str">
        <f>VLOOKUP(A22,[1]!Tableau_cotisants,11,FALSE)</f>
        <v>Champagne</v>
      </c>
      <c r="L22" s="6"/>
      <c r="M22" s="5">
        <v>1</v>
      </c>
      <c r="N22" s="27">
        <v>1</v>
      </c>
      <c r="O22" s="26"/>
      <c r="P22" s="74"/>
      <c r="Q22" s="55"/>
      <c r="R22" s="55"/>
      <c r="S22" s="55"/>
    </row>
    <row r="23" spans="1:19" ht="12" customHeight="1">
      <c r="A23" s="111" t="s">
        <v>174</v>
      </c>
      <c r="B23" s="56" t="str">
        <f>VLOOKUP(A23,[1]!Tableau_cotisants,2,FALSE)</f>
        <v>DUFFAU_LAGAROSSE</v>
      </c>
      <c r="C23" s="56" t="str">
        <f>VLOOKUP(A23,[1]!Tableau_cotisants,3,FALSE)</f>
        <v>DUFFAU_LAGAROSSE</v>
      </c>
      <c r="D23" s="56" t="str">
        <f>VLOOKUP(A23,[1]!Tableau_cotisants,4,FALSE)</f>
        <v>Clovis</v>
      </c>
      <c r="E23" s="57">
        <f>VLOOKUP(A23,[1]!Tableau_cotisants,5,FALSE)</f>
        <v>0</v>
      </c>
      <c r="F23" s="56">
        <f>VLOOKUP(A23,[1]!Tableau_cotisants,6,FALSE)</f>
        <v>0</v>
      </c>
      <c r="G23" s="56">
        <f>VLOOKUP(A23,[1]!Tableau_cotisants,7,FALSE)</f>
        <v>1</v>
      </c>
      <c r="H23" s="58">
        <f>VLOOKUP(A23,[1]!Tableau_cotisants,8,FALSE)</f>
        <v>42693</v>
      </c>
      <c r="I23" s="58" t="str">
        <f t="shared" si="7"/>
        <v>2 an(s) 2 mois et 25 jour(s)</v>
      </c>
      <c r="J23" s="56" t="str">
        <f>VLOOKUP(A23,[1]!Tableau_cotisants,10,FALSE)</f>
        <v>GENSAC LA PALLUE</v>
      </c>
      <c r="K23" s="57" t="str">
        <f>VLOOKUP(A23,[1]!Tableau_cotisants,11,FALSE)</f>
        <v>Champagne</v>
      </c>
      <c r="L23" s="6"/>
      <c r="M23" s="5">
        <v>1</v>
      </c>
      <c r="N23" s="27">
        <v>1</v>
      </c>
      <c r="O23" s="26"/>
      <c r="P23" s="74"/>
      <c r="Q23" s="55"/>
      <c r="R23" s="55"/>
      <c r="S23" s="55"/>
    </row>
    <row r="24" spans="1:19" ht="12" customHeight="1">
      <c r="A24" s="111" t="s">
        <v>201</v>
      </c>
      <c r="B24" s="56" t="str">
        <f>VLOOKUP(A24,[1]!Tableau_cotisants,2,FALSE)</f>
        <v>DUFFAU_LAGAROSSE</v>
      </c>
      <c r="C24" s="56" t="str">
        <f>VLOOKUP(A24,[1]!Tableau_cotisants,3,FALSE)</f>
        <v>DUFFAU_LAGAROSSE</v>
      </c>
      <c r="D24" s="56" t="str">
        <f>VLOOKUP(A24,[1]!Tableau_cotisants,4,FALSE)</f>
        <v>Corentin</v>
      </c>
      <c r="E24" s="57">
        <f>VLOOKUP(A24,[1]!Tableau_cotisants,5,FALSE)</f>
        <v>0</v>
      </c>
      <c r="F24" s="56">
        <f>VLOOKUP(A24,[1]!Tableau_cotisants,6,FALSE)</f>
        <v>0</v>
      </c>
      <c r="G24" s="56">
        <f>VLOOKUP(A24,[1]!Tableau_cotisants,7,FALSE)</f>
        <v>1</v>
      </c>
      <c r="H24" s="58">
        <f>VLOOKUP(A24,[1]!Tableau_cotisants,8,FALSE)</f>
        <v>32564</v>
      </c>
      <c r="I24" s="58" t="str">
        <f t="shared" si="7"/>
        <v>29 an(s) 11 mois et 19 jour(s)</v>
      </c>
      <c r="J24" s="56" t="str">
        <f>VLOOKUP(A24,[1]!Tableau_cotisants,10,FALSE)</f>
        <v>GENSAC LA PALLUE</v>
      </c>
      <c r="K24" s="57" t="str">
        <f>VLOOKUP(A24,[1]!Tableau_cotisants,11,FALSE)</f>
        <v>Champagne</v>
      </c>
      <c r="L24" s="6"/>
      <c r="M24" s="5">
        <v>1</v>
      </c>
      <c r="N24" s="27">
        <v>1</v>
      </c>
      <c r="O24" s="26"/>
      <c r="P24" s="74"/>
      <c r="Q24" s="55"/>
      <c r="R24" s="55"/>
      <c r="S24" s="55"/>
    </row>
    <row r="25" spans="1:19" ht="12" customHeight="1">
      <c r="A25" s="117" t="s">
        <v>125</v>
      </c>
      <c r="B25" s="56" t="str">
        <f>VLOOKUP(A25,[1]!Tableau_cotisants,2,FALSE)</f>
        <v>SANSAUD/MOREAU</v>
      </c>
      <c r="C25" s="56" t="str">
        <f>VLOOKUP(A25,[1]!Tableau_cotisants,3,FALSE)</f>
        <v>MOREAU</v>
      </c>
      <c r="D25" s="56" t="str">
        <f>VLOOKUP(A25,[1]!Tableau_cotisants,4,FALSE)</f>
        <v>Emmanuelle</v>
      </c>
      <c r="E25" s="57">
        <f>VLOOKUP(A25,[1]!Tableau_cotisants,5,FALSE)</f>
        <v>0</v>
      </c>
      <c r="F25" s="56">
        <f>VLOOKUP(A25,[1]!Tableau_cotisants,6,FALSE)</f>
        <v>1</v>
      </c>
      <c r="G25" s="56">
        <f>VLOOKUP(A25,[1]!Tableau_cotisants,7,FALSE)</f>
        <v>0</v>
      </c>
      <c r="H25" s="58">
        <f>VLOOKUP(A25,[1]!Tableau_cotisants,8,FALSE)</f>
        <v>29187</v>
      </c>
      <c r="I25" s="58" t="str">
        <f t="shared" si="7"/>
        <v>39 an(s) 2 mois et 16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/>
      <c r="O25" s="26"/>
      <c r="P25" s="74">
        <v>1</v>
      </c>
      <c r="Q25" s="55"/>
      <c r="R25" s="55"/>
      <c r="S25" s="55"/>
    </row>
    <row r="26" spans="1:19" ht="12" customHeight="1">
      <c r="A26" s="117" t="s">
        <v>126</v>
      </c>
      <c r="B26" s="56" t="str">
        <f>VLOOKUP(A26,[1]!Tableau_cotisants,2,FALSE)</f>
        <v>SANSAUD/MOREAU</v>
      </c>
      <c r="C26" s="56" t="str">
        <f>VLOOKUP(A26,[1]!Tableau_cotisants,3,FALSE)</f>
        <v>SANSAUD</v>
      </c>
      <c r="D26" s="56" t="str">
        <f>VLOOKUP(A26,[1]!Tableau_cotisants,4,FALSE)</f>
        <v>Ethan</v>
      </c>
      <c r="E26" s="57">
        <f>VLOOKUP(A26,[1]!Tableau_cotisants,5,FALSE)</f>
        <v>0</v>
      </c>
      <c r="F26" s="56">
        <f>VLOOKUP(A26,[1]!Tableau_cotisants,6,FALSE)</f>
        <v>0</v>
      </c>
      <c r="G26" s="56">
        <f>VLOOKUP(A26,[1]!Tableau_cotisants,7,FALSE)</f>
        <v>1</v>
      </c>
      <c r="H26" s="58">
        <f>VLOOKUP(A26,[1]!Tableau_cotisants,8,FALSE)</f>
        <v>41015</v>
      </c>
      <c r="I26" s="58" t="str">
        <f t="shared" si="7"/>
        <v>6 an(s) 9 mois et 28 jour(s)</v>
      </c>
      <c r="J26" s="56" t="str">
        <f>VLOOKUP(A26,[1]!Tableau_cotisants,10,FALSE)</f>
        <v>SEGONZAC</v>
      </c>
      <c r="K26" s="57" t="str">
        <f>VLOOKUP(A26,[1]!Tableau_cotisants,11,FALSE)</f>
        <v>Champagne</v>
      </c>
      <c r="L26" s="6"/>
      <c r="M26" s="5">
        <v>1</v>
      </c>
      <c r="N26" s="27"/>
      <c r="O26" s="26"/>
      <c r="P26" s="74">
        <v>1</v>
      </c>
      <c r="Q26" s="55"/>
      <c r="R26" s="55"/>
      <c r="S26" s="55"/>
    </row>
    <row r="27" spans="1:19" ht="12" customHeight="1" thickBot="1">
      <c r="A27" s="117" t="s">
        <v>127</v>
      </c>
      <c r="B27" s="56" t="str">
        <f>VLOOKUP(A27,[1]!Tableau_cotisants,2,FALSE)</f>
        <v>SANSAUD/MOREAU</v>
      </c>
      <c r="C27" s="56" t="str">
        <f>VLOOKUP(A27,[1]!Tableau_cotisants,3,FALSE)</f>
        <v>SANSAUD</v>
      </c>
      <c r="D27" s="56" t="str">
        <f>VLOOKUP(A27,[1]!Tableau_cotisants,4,FALSE)</f>
        <v>Axel</v>
      </c>
      <c r="E27" s="57">
        <f>VLOOKUP(A27,[1]!Tableau_cotisants,5,FALSE)</f>
        <v>0</v>
      </c>
      <c r="F27" s="56">
        <f>VLOOKUP(A27,[1]!Tableau_cotisants,6,FALSE)</f>
        <v>0</v>
      </c>
      <c r="G27" s="56">
        <f>VLOOKUP(A27,[1]!Tableau_cotisants,7,FALSE)</f>
        <v>1</v>
      </c>
      <c r="H27" s="58">
        <f>VLOOKUP(A27,[1]!Tableau_cotisants,8,FALSE)</f>
        <v>42407</v>
      </c>
      <c r="I27" s="58" t="str">
        <f t="shared" si="7"/>
        <v>3 an(s) 0 mois et 6 jour(s)</v>
      </c>
      <c r="J27" s="56" t="str">
        <f>VLOOKUP(A27,[1]!Tableau_cotisants,10,FALSE)</f>
        <v>SEGONZAC</v>
      </c>
      <c r="K27" s="57" t="str">
        <f>VLOOKUP(A27,[1]!Tableau_cotisants,11,FALSE)</f>
        <v>Champagne</v>
      </c>
      <c r="L27" s="6"/>
      <c r="M27" s="5">
        <v>1</v>
      </c>
      <c r="N27" s="27"/>
      <c r="O27" s="26"/>
      <c r="P27" s="74">
        <v>1</v>
      </c>
      <c r="Q27" s="55"/>
      <c r="R27" s="55"/>
      <c r="S27" s="55"/>
    </row>
    <row r="28" spans="1:19" ht="19.5" thickBot="1">
      <c r="A28" s="100"/>
      <c r="B28" s="4"/>
      <c r="C28" s="4"/>
      <c r="D28" s="4"/>
      <c r="E28" s="4">
        <f>SUM(E5:E27)</f>
        <v>11</v>
      </c>
      <c r="F28" s="4">
        <f>SUM(F5:F27)</f>
        <v>6</v>
      </c>
      <c r="G28" s="4">
        <f>SUM(G5:G27)</f>
        <v>15</v>
      </c>
      <c r="H28" s="4"/>
      <c r="I28" s="4"/>
      <c r="J28" s="4"/>
      <c r="K28" s="18">
        <f>SUM(K7:K27)</f>
        <v>0</v>
      </c>
      <c r="L28" s="93">
        <f t="shared" ref="L28:S28" si="8">SUM(L5:L27)</f>
        <v>13</v>
      </c>
      <c r="M28" s="19">
        <f t="shared" si="8"/>
        <v>8</v>
      </c>
      <c r="N28" s="20">
        <f t="shared" si="8"/>
        <v>6</v>
      </c>
      <c r="O28" s="28">
        <f t="shared" si="8"/>
        <v>1</v>
      </c>
      <c r="P28" s="72">
        <f t="shared" si="8"/>
        <v>14</v>
      </c>
      <c r="Q28" s="79">
        <f t="shared" si="8"/>
        <v>0</v>
      </c>
      <c r="R28" s="80">
        <f t="shared" si="8"/>
        <v>0</v>
      </c>
      <c r="S28" s="81">
        <f t="shared" si="8"/>
        <v>0</v>
      </c>
    </row>
    <row r="29" spans="1:19" ht="24" thickBot="1">
      <c r="B29" t="s">
        <v>28</v>
      </c>
      <c r="C29" s="98"/>
      <c r="F29" s="201">
        <f>F28+G28</f>
        <v>21</v>
      </c>
      <c r="G29" s="201"/>
      <c r="L29" s="201">
        <f>L28+M28</f>
        <v>21</v>
      </c>
      <c r="M29" s="201"/>
      <c r="N29" s="202">
        <f>N28+O28+P28</f>
        <v>21</v>
      </c>
      <c r="O29" s="202"/>
      <c r="P29" s="202"/>
      <c r="Q29" s="143"/>
      <c r="R29" s="143"/>
      <c r="S29" s="143"/>
    </row>
    <row r="30" spans="1:19" ht="15.75" thickBot="1">
      <c r="B30" t="s">
        <v>202</v>
      </c>
      <c r="L30" s="22">
        <f>L28+'06 fevrier 2019'!L30</f>
        <v>66</v>
      </c>
      <c r="M30" s="23">
        <f>M28+'06 fevrier 2019'!M30</f>
        <v>70</v>
      </c>
      <c r="N30" s="24">
        <f>N28+'06 fevrier 2019'!N30</f>
        <v>66</v>
      </c>
      <c r="O30" s="25">
        <f>O28+'06 fevrier 2019'!O30</f>
        <v>14</v>
      </c>
      <c r="P30" s="84">
        <f>P28+'06 fevrier 2019'!P30</f>
        <v>56</v>
      </c>
      <c r="Q30" s="82">
        <f>Q28+'06 fevrier 2019'!Q30</f>
        <v>6</v>
      </c>
      <c r="R30" s="90">
        <f>R28+'06 fevrier 2019'!R30</f>
        <v>0</v>
      </c>
      <c r="S30" s="83">
        <f>S28+'06 fevrier 2019'!S30</f>
        <v>3</v>
      </c>
    </row>
    <row r="31" spans="1:19" ht="33" thickBot="1">
      <c r="L31" s="203">
        <f>L29+'06 fevrier 2019'!L31:M31</f>
        <v>136</v>
      </c>
      <c r="M31" s="204"/>
      <c r="N31" s="205">
        <f>N29+'06 fevrier 2019'!N31:P31</f>
        <v>136</v>
      </c>
      <c r="O31" s="206"/>
      <c r="P31" s="207"/>
    </row>
    <row r="32" spans="1:19">
      <c r="B32" t="s">
        <v>181</v>
      </c>
      <c r="C32" s="142" t="s">
        <v>185</v>
      </c>
      <c r="D32" t="s">
        <v>181</v>
      </c>
      <c r="E32" s="208" t="s">
        <v>182</v>
      </c>
      <c r="F32" s="209"/>
    </row>
    <row r="33" spans="1:6" ht="45">
      <c r="A33" s="140" t="s">
        <v>183</v>
      </c>
      <c r="B33" s="138">
        <v>1</v>
      </c>
      <c r="C33" s="139">
        <f>B33+'06 fevrier 2019'!C33</f>
        <v>6</v>
      </c>
      <c r="D33" s="138">
        <v>7</v>
      </c>
      <c r="E33" s="195">
        <f>D33+'06 fevrier 2019'!E33:F33</f>
        <v>42</v>
      </c>
      <c r="F33" s="196"/>
    </row>
    <row r="34" spans="1:6" ht="32.25">
      <c r="A34" s="141" t="s">
        <v>184</v>
      </c>
      <c r="B34" s="138">
        <v>1</v>
      </c>
      <c r="C34" s="139">
        <f>B34+'06 fevrier 2019'!C34</f>
        <v>7</v>
      </c>
      <c r="D34" s="138">
        <v>10</v>
      </c>
      <c r="E34" s="195">
        <f>D34+'06 fevrier 2019'!E34:F34</f>
        <v>54</v>
      </c>
      <c r="F34" s="196"/>
    </row>
    <row r="35" spans="1:6">
      <c r="B35" s="143">
        <f>B34+B33</f>
        <v>2</v>
      </c>
      <c r="C35" s="143">
        <f>C34+C33</f>
        <v>13</v>
      </c>
      <c r="D35" s="143">
        <f>D34+D33</f>
        <v>17</v>
      </c>
      <c r="E35" s="210">
        <f>E34+E33</f>
        <v>96</v>
      </c>
      <c r="F35" s="210"/>
    </row>
  </sheetData>
  <mergeCells count="10">
    <mergeCell ref="L29:M29"/>
    <mergeCell ref="N29:P29"/>
    <mergeCell ref="L31:M31"/>
    <mergeCell ref="N31:P31"/>
    <mergeCell ref="E32:F32"/>
    <mergeCell ref="E33:F33"/>
    <mergeCell ref="E34:F34"/>
    <mergeCell ref="E35:F35"/>
    <mergeCell ref="F3:G3"/>
    <mergeCell ref="F29:G29"/>
  </mergeCells>
  <conditionalFormatting sqref="N31">
    <cfRule type="cellIs" dxfId="57" priority="4" operator="equal">
      <formula>$N$30+$O$30</formula>
    </cfRule>
  </conditionalFormatting>
  <conditionalFormatting sqref="N31">
    <cfRule type="cellIs" dxfId="56" priority="3" operator="equal">
      <formula>$N$36+$O$36</formula>
    </cfRule>
  </conditionalFormatting>
  <conditionalFormatting sqref="F29:G29 N29">
    <cfRule type="cellIs" dxfId="55" priority="1" operator="notEqual">
      <formula>$L$29</formula>
    </cfRule>
    <cfRule type="cellIs" dxfId="54" priority="2" operator="equal">
      <formula>$L$29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2:S42"/>
  <sheetViews>
    <sheetView workbookViewId="0">
      <pane ySplit="4" topLeftCell="A17" activePane="bottomLeft" state="frozen"/>
      <selection pane="bottomLeft" activeCell="A5" sqref="A5:S31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8.28515625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43530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7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47" t="s">
        <v>176</v>
      </c>
      <c r="B5" s="52" t="str">
        <f>VLOOKUP(A5,[1]!Tableau_cotisants,2,FALSE)</f>
        <v>RÉGNIER</v>
      </c>
      <c r="C5" s="52" t="str">
        <f>VLOOKUP(A5,[1]!Tableau_cotisants,3,FALSE)</f>
        <v>RÉGNIER</v>
      </c>
      <c r="D5" s="52" t="str">
        <f>VLOOKUP(A5,[1]!Tableau_cotisants,4,FALSE)</f>
        <v>Laëtitia</v>
      </c>
      <c r="E5" s="53">
        <f>VLOOKUP(A5,[1]!Tableau_cotisants,5,FALSE)</f>
        <v>1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29180</v>
      </c>
      <c r="I5" s="54" t="str">
        <f t="shared" ref="I5:I6" si="0">DATEDIF(H5,Date_du_jour,"y") &amp; " an(s) " &amp; DATEDIF(H5,$C$2,"ym") &amp; " mois et " &amp; DATEDIF(H5,$C$2,"md") &amp; " jour(s)"</f>
        <v>39 an(s) 3 mois et 13 jour(s)</v>
      </c>
      <c r="J5" s="52" t="str">
        <f>VLOOKUP(A5,[1]!Tableau_cotisants,10,FALSE)</f>
        <v>COGNAC</v>
      </c>
      <c r="K5" s="53" t="str">
        <f>VLOOKUP(A5,[1]!Tableau_cotisants,11,FALSE)</f>
        <v>Cognac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47" t="s">
        <v>204</v>
      </c>
      <c r="B6" s="52" t="str">
        <f>VLOOKUP(A6,[1]!Tableau_cotisants,2,FALSE)</f>
        <v>RÉGNIER</v>
      </c>
      <c r="C6" s="52" t="str">
        <f>VLOOKUP(A6,[1]!Tableau_cotisants,3,FALSE)</f>
        <v>VANDER-JENGT</v>
      </c>
      <c r="D6" s="52" t="str">
        <f>VLOOKUP(A6,[1]!Tableau_cotisants,4,FALSE)</f>
        <v>Kilauéa</v>
      </c>
      <c r="E6" s="53">
        <f>VLOOKUP(A6,[1]!Tableau_cotisants,5,FALSE)</f>
        <v>1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42655</v>
      </c>
      <c r="I6" s="54" t="str">
        <f t="shared" si="0"/>
        <v>2 an(s) 4 mois et 22 jour(s)</v>
      </c>
      <c r="J6" s="52" t="str">
        <f>VLOOKUP(A6,[1]!Tableau_cotisants,10,FALSE)</f>
        <v>COGNAC</v>
      </c>
      <c r="K6" s="53" t="str">
        <f>VLOOKUP(A6,[1]!Tableau_cotisants,11,FALSE)</f>
        <v>Cognac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03" t="s">
        <v>94</v>
      </c>
      <c r="B7" s="52" t="str">
        <f>VLOOKUP(A7,[1]!Tableau_cotisants,2,FALSE)</f>
        <v>COZIC</v>
      </c>
      <c r="C7" s="52" t="str">
        <f>VLOOKUP(A7,[1]!Tableau_cotisants,3,FALSE)</f>
        <v>COZIC</v>
      </c>
      <c r="D7" s="52" t="str">
        <f>VLOOKUP(A7,[1]!Tableau_cotisants,4,FALSE)</f>
        <v>Jennifer</v>
      </c>
      <c r="E7" s="53">
        <f>VLOOKUP(A7,[1]!Tableau_cotisants,5,FALSE)</f>
        <v>1</v>
      </c>
      <c r="F7" s="52">
        <f>VLOOKUP(A7,[1]!Tableau_cotisants,6,FALSE)</f>
        <v>1</v>
      </c>
      <c r="G7" s="52">
        <f>VLOOKUP(A7,[1]!Tableau_cotisants,7,FALSE)</f>
        <v>0</v>
      </c>
      <c r="H7" s="54">
        <f>VLOOKUP(A7,[1]!Tableau_cotisants,8,FALSE)</f>
        <v>30554</v>
      </c>
      <c r="I7" s="54" t="str">
        <f t="shared" ref="I7:I11" si="1">DATEDIF(H7,Date_du_jour,"y") &amp; " an(s) " &amp; DATEDIF(H7,$C$2,"ym") &amp; " mois et " &amp; DATEDIF(H7,$C$2,"md") &amp; " jour(s)"</f>
        <v>35 an(s) 6 mois et 8 jour(s)</v>
      </c>
      <c r="J7" s="52" t="str">
        <f>VLOOKUP(A7,[1]!Tableau_cotisants,10,FALSE)</f>
        <v>Chateaubernard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03" t="s">
        <v>95</v>
      </c>
      <c r="B8" s="52" t="str">
        <f>VLOOKUP(A8,[1]!Tableau_cotisants,2,FALSE)</f>
        <v>COZIC</v>
      </c>
      <c r="C8" s="52" t="str">
        <f>VLOOKUP(A8,[1]!Tableau_cotisants,3,FALSE)</f>
        <v>FRAISSINET COZIC</v>
      </c>
      <c r="D8" s="52" t="str">
        <f>VLOOKUP(A8,[1]!Tableau_cotisants,4,FALSE)</f>
        <v>Kathleen</v>
      </c>
      <c r="E8" s="53">
        <f>VLOOKUP(A8,[1]!Tableau_cotisants,5,FALSE)</f>
        <v>1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39909</v>
      </c>
      <c r="I8" s="54" t="str">
        <f t="shared" si="1"/>
        <v>9 an(s) 11 mois et 0 jour(s)</v>
      </c>
      <c r="J8" s="52" t="str">
        <f>VLOOKUP(A8,[1]!Tableau_cotisants,10,FALSE)</f>
        <v>Chateaubernard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03" t="s">
        <v>96</v>
      </c>
      <c r="B9" s="52" t="str">
        <f>VLOOKUP(A9,[1]!Tableau_cotisants,2,FALSE)</f>
        <v>COZIC</v>
      </c>
      <c r="C9" s="52" t="str">
        <f>VLOOKUP(A9,[1]!Tableau_cotisants,3,FALSE)</f>
        <v>FRAISSINET COZIC</v>
      </c>
      <c r="D9" s="52" t="str">
        <f>VLOOKUP(A9,[1]!Tableau_cotisants,4,FALSE)</f>
        <v>Kendall</v>
      </c>
      <c r="E9" s="53">
        <f>VLOOKUP(A9,[1]!Tableau_cotisants,5,FALSE)</f>
        <v>1</v>
      </c>
      <c r="F9" s="52">
        <f>VLOOKUP(A9,[1]!Tableau_cotisants,6,FALSE)</f>
        <v>0</v>
      </c>
      <c r="G9" s="52">
        <f>VLOOKUP(A9,[1]!Tableau_cotisants,7,FALSE)</f>
        <v>1</v>
      </c>
      <c r="H9" s="54">
        <f>VLOOKUP(A9,[1]!Tableau_cotisants,8,FALSE)</f>
        <v>40770</v>
      </c>
      <c r="I9" s="54" t="str">
        <f t="shared" si="1"/>
        <v>7 an(s) 6 mois et 19 jour(s)</v>
      </c>
      <c r="J9" s="52" t="str">
        <f>VLOOKUP(A9,[1]!Tableau_cotisants,10,FALSE)</f>
        <v>Chateaubernard</v>
      </c>
      <c r="K9" s="53" t="str">
        <f>VLOOKUP(A9,[1]!Tableau_cotisants,11,FALSE)</f>
        <v>Cognac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03" t="s">
        <v>97</v>
      </c>
      <c r="B10" s="52" t="str">
        <f>VLOOKUP(A10,[1]!Tableau_cotisants,2,FALSE)</f>
        <v>COZIC</v>
      </c>
      <c r="C10" s="52" t="str">
        <f>VLOOKUP(A10,[1]!Tableau_cotisants,3,FALSE)</f>
        <v>TARDIEU</v>
      </c>
      <c r="D10" s="52" t="str">
        <f>VLOOKUP(A10,[1]!Tableau_cotisants,4,FALSE)</f>
        <v>Gustave</v>
      </c>
      <c r="E10" s="53">
        <f>VLOOKUP(A10,[1]!Tableau_cotisants,5,FALSE)</f>
        <v>1</v>
      </c>
      <c r="F10" s="52">
        <f>VLOOKUP(A10,[1]!Tableau_cotisants,6,FALSE)</f>
        <v>0</v>
      </c>
      <c r="G10" s="52">
        <f>VLOOKUP(A10,[1]!Tableau_cotisants,7,FALSE)</f>
        <v>1</v>
      </c>
      <c r="H10" s="54">
        <f>VLOOKUP(A10,[1]!Tableau_cotisants,8,FALSE)</f>
        <v>42917</v>
      </c>
      <c r="I10" s="54" t="str">
        <f t="shared" si="1"/>
        <v>1 an(s) 8 mois et 5 jour(s)</v>
      </c>
      <c r="J10" s="52" t="str">
        <f>VLOOKUP(A10,[1]!Tableau_cotisants,10,FALSE)</f>
        <v>Chateaubernard</v>
      </c>
      <c r="K10" s="53" t="str">
        <f>VLOOKUP(A10,[1]!Tableau_cotisants,11,FALSE)</f>
        <v>Cognac</v>
      </c>
      <c r="L10" s="6">
        <v>1</v>
      </c>
      <c r="M10" s="5"/>
      <c r="N10" s="27"/>
      <c r="O10" s="26"/>
      <c r="P10" s="74">
        <v>1</v>
      </c>
      <c r="Q10" s="55"/>
      <c r="R10" s="55"/>
      <c r="S10" s="55"/>
    </row>
    <row r="11" spans="1:19" ht="12" customHeight="1">
      <c r="A11" s="103" t="s">
        <v>98</v>
      </c>
      <c r="B11" s="52" t="str">
        <f>VLOOKUP(A11,[1]!Tableau_cotisants,2,FALSE)</f>
        <v>COZIC</v>
      </c>
      <c r="C11" s="52" t="str">
        <f>VLOOKUP(A11,[1]!Tableau_cotisants,3,FALSE)</f>
        <v>BARAUD</v>
      </c>
      <c r="D11" s="52" t="str">
        <f>VLOOKUP(A11,[1]!Tableau_cotisants,4,FALSE)</f>
        <v>Théo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43016</v>
      </c>
      <c r="I11" s="54" t="str">
        <f t="shared" si="1"/>
        <v>1 an(s) 4 mois et 26 jour(s)</v>
      </c>
      <c r="J11" s="52" t="str">
        <f>VLOOKUP(A11,[1]!Tableau_cotisants,10,FALSE)</f>
        <v>Chateaubernard</v>
      </c>
      <c r="K11" s="53" t="str">
        <f>VLOOKUP(A11,[1]!Tableau_cotisants,11,FALSE)</f>
        <v>Cognac</v>
      </c>
      <c r="L11" s="6">
        <v>1</v>
      </c>
      <c r="M11" s="5"/>
      <c r="N11" s="27"/>
      <c r="O11" s="26"/>
      <c r="P11" s="74">
        <v>1</v>
      </c>
      <c r="Q11" s="55"/>
      <c r="R11" s="55"/>
      <c r="S11" s="55"/>
    </row>
    <row r="12" spans="1:19" ht="12" customHeight="1">
      <c r="A12" s="103" t="s">
        <v>195</v>
      </c>
      <c r="B12" s="52" t="str">
        <f>VLOOKUP(A12,[1]!Tableau_cotisants,2,FALSE)</f>
        <v>COZIC</v>
      </c>
      <c r="C12" s="52" t="str">
        <f>VLOOKUP(A12,[1]!Tableau_cotisants,3,FALSE)</f>
        <v xml:space="preserve">VEZIN </v>
      </c>
      <c r="D12" s="52" t="str">
        <f>VLOOKUP(A12,[1]!Tableau_cotisants,4,FALSE)</f>
        <v>Paulin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43055</v>
      </c>
      <c r="I12" s="54" t="str">
        <f t="shared" ref="I12" si="2">DATEDIF(H12,Date_du_jour,"y") &amp; " an(s) " &amp; DATEDIF(H12,$C$2,"ym") &amp; " mois et " &amp; DATEDIF(H12,$C$2,"md") &amp; " jour(s)"</f>
        <v>1 an(s) 3 mois et 18 jour(s)</v>
      </c>
      <c r="J12" s="52" t="str">
        <f>VLOOKUP(A12,[1]!Tableau_cotisants,10,FALSE)</f>
        <v>Chateaubernard</v>
      </c>
      <c r="K12" s="53" t="str">
        <f>VLOOKUP(A12,[1]!Tableau_cotisants,11,FALSE)</f>
        <v>Cognac</v>
      </c>
      <c r="L12" s="6">
        <v>1</v>
      </c>
      <c r="M12" s="5"/>
      <c r="N12" s="27"/>
      <c r="O12" s="26"/>
      <c r="P12" s="74">
        <v>1</v>
      </c>
      <c r="Q12" s="55"/>
      <c r="R12" s="55"/>
      <c r="S12" s="55"/>
    </row>
    <row r="13" spans="1:19" ht="12" customHeight="1">
      <c r="A13" s="121" t="s">
        <v>77</v>
      </c>
      <c r="B13" s="52" t="str">
        <f>VLOOKUP(A13,[1]!Tableau_cotisants,2,FALSE)</f>
        <v>DEGRIS</v>
      </c>
      <c r="C13" s="52" t="str">
        <f>VLOOKUP(A13,[1]!Tableau_cotisants,3,FALSE)</f>
        <v>DEGRIS</v>
      </c>
      <c r="D13" s="52" t="str">
        <f>VLOOKUP(A13,[1]!Tableau_cotisants,4,FALSE)</f>
        <v>Laura</v>
      </c>
      <c r="E13" s="53">
        <f>VLOOKUP(A13,[1]!Tableau_cotisants,5,FALSE)</f>
        <v>1</v>
      </c>
      <c r="F13" s="52">
        <f>VLOOKUP(A13,[1]!Tableau_cotisants,6,FALSE)</f>
        <v>1</v>
      </c>
      <c r="G13" s="52">
        <f>VLOOKUP(A13,[1]!Tableau_cotisants,7,FALSE)</f>
        <v>0</v>
      </c>
      <c r="H13" s="54">
        <f>VLOOKUP(A13,[1]!Tableau_cotisants,8,FALSE)</f>
        <v>32556</v>
      </c>
      <c r="I13" s="54" t="str">
        <f t="shared" ref="I13:I14" si="3">DATEDIF(H13,Date_du_jour,"y") &amp; " an(s) " &amp; DATEDIF(H13,$C$2,"ym") &amp; " mois et " &amp; DATEDIF(H13,$C$2,"md") &amp; " jour(s)"</f>
        <v>30 an(s) 0 mois et 17 jour(s)</v>
      </c>
      <c r="J13" s="52" t="str">
        <f>VLOOKUP(A13,[1]!Tableau_cotisants,10,FALSE)</f>
        <v>SALLES D'ANGLES</v>
      </c>
      <c r="K13" s="53" t="str">
        <f>VLOOKUP(A13,[1]!Tableau_cotisants,11,FALSE)</f>
        <v>Champagne</v>
      </c>
      <c r="L13" s="6">
        <v>1</v>
      </c>
      <c r="M13" s="5"/>
      <c r="N13" s="27">
        <v>1</v>
      </c>
      <c r="O13" s="26"/>
      <c r="P13" s="74"/>
      <c r="Q13" s="55"/>
      <c r="R13" s="55"/>
      <c r="S13" s="55"/>
    </row>
    <row r="14" spans="1:19" ht="12" customHeight="1">
      <c r="A14" s="121" t="s">
        <v>79</v>
      </c>
      <c r="B14" s="52" t="str">
        <f>VLOOKUP(A14,[1]!Tableau_cotisants,2,FALSE)</f>
        <v>DEGRIS</v>
      </c>
      <c r="C14" s="52" t="str">
        <f>VLOOKUP(A14,[1]!Tableau_cotisants,3,FALSE)</f>
        <v>GUYOT</v>
      </c>
      <c r="D14" s="52" t="str">
        <f>VLOOKUP(A14,[1]!Tableau_cotisants,4,FALSE)</f>
        <v>Léanne</v>
      </c>
      <c r="E14" s="53">
        <f>VLOOKUP(A14,[1]!Tableau_cotisants,5,FALSE)</f>
        <v>1</v>
      </c>
      <c r="F14" s="52">
        <f>VLOOKUP(A14,[1]!Tableau_cotisants,6,FALSE)</f>
        <v>1</v>
      </c>
      <c r="G14" s="52">
        <f>VLOOKUP(A14,[1]!Tableau_cotisants,7,FALSE)</f>
        <v>0</v>
      </c>
      <c r="H14" s="54">
        <f>VLOOKUP(A14,[1]!Tableau_cotisants,8,FALSE)</f>
        <v>41202</v>
      </c>
      <c r="I14" s="54" t="str">
        <f t="shared" si="3"/>
        <v>6 an(s) 4 mois et 14 jour(s)</v>
      </c>
      <c r="J14" s="52" t="str">
        <f>VLOOKUP(A14,[1]!Tableau_cotisants,10,FALSE)</f>
        <v>SALLES D'ANGLES</v>
      </c>
      <c r="K14" s="53" t="str">
        <f>VLOOKUP(A14,[1]!Tableau_cotisants,11,FALSE)</f>
        <v>Champagne</v>
      </c>
      <c r="L14" s="6">
        <v>1</v>
      </c>
      <c r="M14" s="5"/>
      <c r="N14" s="27">
        <v>1</v>
      </c>
      <c r="O14" s="26"/>
      <c r="P14" s="74"/>
      <c r="Q14" s="55"/>
      <c r="R14" s="55"/>
      <c r="S14" s="55"/>
    </row>
    <row r="15" spans="1:19" ht="12" customHeight="1">
      <c r="A15" s="121" t="s">
        <v>78</v>
      </c>
      <c r="B15" s="52" t="str">
        <f>VLOOKUP(A15,[1]!Tableau_cotisants,2,FALSE)</f>
        <v>DEGRIS</v>
      </c>
      <c r="C15" s="52" t="str">
        <f>VLOOKUP(A15,[1]!Tableau_cotisants,3,FALSE)</f>
        <v>GUYOT</v>
      </c>
      <c r="D15" s="52" t="str">
        <f>VLOOKUP(A15,[1]!Tableau_cotisants,4,FALSE)</f>
        <v>Nathan</v>
      </c>
      <c r="E15" s="53">
        <f>VLOOKUP(A15,[1]!Tableau_cotisants,5,FALSE)</f>
        <v>1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42354</v>
      </c>
      <c r="I15" s="54" t="str">
        <f t="shared" ref="I15:I16" si="4">DATEDIF(H15,Date_du_jour,"y") &amp; " an(s) " &amp; DATEDIF(H15,$C$2,"ym") &amp; " mois et " &amp; DATEDIF(H15,$C$2,"md") &amp; " jour(s)"</f>
        <v>3 an(s) 2 mois et 18 jour(s)</v>
      </c>
      <c r="J15" s="52" t="str">
        <f>VLOOKUP(A15,[1]!Tableau_cotisants,10,FALSE)</f>
        <v>SALLES D'ANGLES</v>
      </c>
      <c r="K15" s="53" t="str">
        <f>VLOOKUP(A15,[1]!Tableau_cotisants,11,FALSE)</f>
        <v>Champagne</v>
      </c>
      <c r="L15" s="6">
        <v>1</v>
      </c>
      <c r="M15" s="5"/>
      <c r="N15" s="27">
        <v>1</v>
      </c>
      <c r="O15" s="26"/>
      <c r="P15" s="74"/>
      <c r="Q15" s="55"/>
      <c r="R15" s="55"/>
      <c r="S15" s="55"/>
    </row>
    <row r="16" spans="1:19" ht="12" customHeight="1">
      <c r="A16" s="121" t="s">
        <v>132</v>
      </c>
      <c r="B16" s="52" t="str">
        <f>VLOOKUP(A16,[1]!Tableau_cotisants,2,FALSE)</f>
        <v>DEGRIS</v>
      </c>
      <c r="C16" s="52" t="str">
        <f>VLOOKUP(A16,[1]!Tableau_cotisants,3,FALSE)</f>
        <v>GABORIT TRIJOL</v>
      </c>
      <c r="D16" s="52" t="str">
        <f>VLOOKUP(A16,[1]!Tableau_cotisants,4,FALSE)</f>
        <v>Marceau</v>
      </c>
      <c r="E16" s="53">
        <f>VLOOKUP(A16,[1]!Tableau_cotisants,5,FALSE)</f>
        <v>1</v>
      </c>
      <c r="F16" s="52">
        <f>VLOOKUP(A16,[1]!Tableau_cotisants,6,FALSE)</f>
        <v>0</v>
      </c>
      <c r="G16" s="52">
        <f>VLOOKUP(A16,[1]!Tableau_cotisants,7,FALSE)</f>
        <v>1</v>
      </c>
      <c r="H16" s="54">
        <f>VLOOKUP(A16,[1]!Tableau_cotisants,8,FALSE)</f>
        <v>43002</v>
      </c>
      <c r="I16" s="54" t="str">
        <f t="shared" si="4"/>
        <v>1 an(s) 5 mois et 10 jour(s)</v>
      </c>
      <c r="J16" s="52" t="str">
        <f>VLOOKUP(A16,[1]!Tableau_cotisants,10,FALSE)</f>
        <v>SALLES D'ANGLES</v>
      </c>
      <c r="K16" s="53" t="str">
        <f>VLOOKUP(A16,[1]!Tableau_cotisants,11,FALSE)</f>
        <v>Champagne</v>
      </c>
      <c r="L16" s="6">
        <v>1</v>
      </c>
      <c r="M16" s="5"/>
      <c r="N16" s="27">
        <v>1</v>
      </c>
      <c r="O16" s="26"/>
      <c r="P16" s="74"/>
      <c r="Q16" s="55"/>
      <c r="R16" s="55"/>
      <c r="S16" s="55"/>
    </row>
    <row r="17" spans="1:19" ht="12" customHeight="1">
      <c r="A17" s="121" t="s">
        <v>133</v>
      </c>
      <c r="B17" s="52" t="str">
        <f>VLOOKUP(A17,[1]!Tableau_cotisants,2,FALSE)</f>
        <v>DEGRIS</v>
      </c>
      <c r="C17" s="52" t="str">
        <f>VLOOKUP(A17,[1]!Tableau_cotisants,3,FALSE)</f>
        <v>Enfant gardé</v>
      </c>
      <c r="D17" s="52" t="str">
        <f>VLOOKUP(A17,[1]!Tableau_cotisants,4,FALSE)</f>
        <v>Aëlynn</v>
      </c>
      <c r="E17" s="53">
        <f>VLOOKUP(A17,[1]!Tableau_cotisants,5,FALSE)</f>
        <v>1</v>
      </c>
      <c r="F17" s="52">
        <f>VLOOKUP(A17,[1]!Tableau_cotisants,6,FALSE)</f>
        <v>1</v>
      </c>
      <c r="G17" s="52">
        <f>VLOOKUP(A17,[1]!Tableau_cotisants,7,FALSE)</f>
        <v>0</v>
      </c>
      <c r="H17" s="54">
        <f>VLOOKUP(A17,[1]!Tableau_cotisants,8,FALSE)</f>
        <v>43313</v>
      </c>
      <c r="I17" s="54" t="str">
        <f t="shared" ref="I17" si="5">DATEDIF(H17,Date_du_jour,"y") &amp; " an(s) " &amp; DATEDIF(H17,$C$2,"ym") &amp; " mois et " &amp; DATEDIF(H17,$C$2,"md") &amp; " jour(s)"</f>
        <v>0 an(s) 7 mois et 5 jour(s)</v>
      </c>
      <c r="J17" s="52" t="str">
        <f>VLOOKUP(A17,[1]!Tableau_cotisants,10,FALSE)</f>
        <v>SALLES D'ANGLES</v>
      </c>
      <c r="K17" s="53" t="str">
        <f>VLOOKUP(A17,[1]!Tableau_cotisants,11,FALSE)</f>
        <v>Champagne</v>
      </c>
      <c r="L17" s="6">
        <v>1</v>
      </c>
      <c r="M17" s="5"/>
      <c r="N17" s="27">
        <v>1</v>
      </c>
      <c r="O17" s="26"/>
      <c r="P17" s="74"/>
      <c r="Q17" s="55"/>
      <c r="R17" s="55"/>
      <c r="S17" s="55"/>
    </row>
    <row r="18" spans="1:19" ht="12" customHeight="1">
      <c r="A18" s="108" t="s">
        <v>205</v>
      </c>
      <c r="B18" s="52" t="str">
        <f>VLOOKUP(A18,[1]!Tableau_cotisants,2,FALSE)</f>
        <v>RENAUD/TALIERCO</v>
      </c>
      <c r="C18" s="52" t="str">
        <f>VLOOKUP(A18,[1]!Tableau_cotisants,3,FALSE)</f>
        <v>TALIERCIO</v>
      </c>
      <c r="D18" s="52" t="str">
        <f>VLOOKUP(A18,[1]!Tableau_cotisants,4,FALSE)</f>
        <v>Marie Line</v>
      </c>
      <c r="E18" s="53">
        <f>VLOOKUP(A18,[1]!Tableau_cotisants,5,FALSE)</f>
        <v>0</v>
      </c>
      <c r="F18" s="52">
        <f>VLOOKUP(A18,[1]!Tableau_cotisants,6,FALSE)</f>
        <v>1</v>
      </c>
      <c r="G18" s="52">
        <f>VLOOKUP(A18,[1]!Tableau_cotisants,7,FALSE)</f>
        <v>0</v>
      </c>
      <c r="H18" s="54">
        <f>VLOOKUP(A18,[1]!Tableau_cotisants,8,FALSE)</f>
        <v>21821</v>
      </c>
      <c r="I18" s="54" t="str">
        <f t="shared" ref="I18:I21" si="6">DATEDIF(H18,Date_du_jour,"y") &amp; " an(s) " &amp; DATEDIF(H18,$C$2,"ym") &amp; " mois et " &amp; DATEDIF(H18,$C$2,"md") &amp; " jour(s)"</f>
        <v>59 an(s) 5 mois et 6 jour(s)</v>
      </c>
      <c r="J18" s="52" t="str">
        <f>VLOOKUP(A18,[1]!Tableau_cotisants,10,FALSE)</f>
        <v>Cognac</v>
      </c>
      <c r="K18" s="53" t="str">
        <f>VLOOKUP(A18,[1]!Tableau_cotisants,11,FALSE)</f>
        <v>Cognac</v>
      </c>
      <c r="L18" s="6">
        <v>1</v>
      </c>
      <c r="M18" s="5"/>
      <c r="N18" s="27"/>
      <c r="O18" s="26"/>
      <c r="P18" s="74">
        <v>1</v>
      </c>
      <c r="Q18" s="55"/>
      <c r="R18" s="55"/>
      <c r="S18" s="55"/>
    </row>
    <row r="19" spans="1:19" ht="12" customHeight="1">
      <c r="A19" s="108" t="s">
        <v>206</v>
      </c>
      <c r="B19" s="52" t="str">
        <f>VLOOKUP(A19,[1]!Tableau_cotisants,2,FALSE)</f>
        <v>RENAUD/TALIERCO</v>
      </c>
      <c r="C19" s="52" t="str">
        <f>VLOOKUP(A19,[1]!Tableau_cotisants,3,FALSE)</f>
        <v>RENAUD</v>
      </c>
      <c r="D19" s="52" t="str">
        <f>VLOOKUP(A19,[1]!Tableau_cotisants,4,FALSE)</f>
        <v>Jules</v>
      </c>
      <c r="E19" s="53">
        <f>VLOOKUP(A19,[1]!Tableau_cotisants,5,FALSE)</f>
        <v>0</v>
      </c>
      <c r="F19" s="52">
        <f>VLOOKUP(A19,[1]!Tableau_cotisants,6,FALSE)</f>
        <v>0</v>
      </c>
      <c r="G19" s="52">
        <f>VLOOKUP(A19,[1]!Tableau_cotisants,7,FALSE)</f>
        <v>1</v>
      </c>
      <c r="H19" s="54">
        <f>VLOOKUP(A19,[1]!Tableau_cotisants,8,FALSE)</f>
        <v>42480</v>
      </c>
      <c r="I19" s="54" t="str">
        <f t="shared" si="6"/>
        <v>2 an(s) 10 mois et 14 jour(s)</v>
      </c>
      <c r="J19" s="52" t="str">
        <f>VLOOKUP(A19,[1]!Tableau_cotisants,10,FALSE)</f>
        <v>Cognac</v>
      </c>
      <c r="K19" s="53" t="str">
        <f>VLOOKUP(A19,[1]!Tableau_cotisants,11,FALSE)</f>
        <v>Cognac</v>
      </c>
      <c r="L19" s="6">
        <v>1</v>
      </c>
      <c r="M19" s="5"/>
      <c r="N19" s="27"/>
      <c r="O19" s="26"/>
      <c r="P19" s="74">
        <v>1</v>
      </c>
      <c r="Q19" s="55"/>
      <c r="R19" s="55"/>
      <c r="S19" s="55"/>
    </row>
    <row r="20" spans="1:19" ht="12" customHeight="1">
      <c r="A20" s="109" t="s">
        <v>102</v>
      </c>
      <c r="B20" s="52" t="str">
        <f>VLOOKUP(A20,[1]!Tableau_cotisants,2,FALSE)</f>
        <v>SAMOYEAU/RAPHOZ</v>
      </c>
      <c r="C20" s="52" t="str">
        <f>VLOOKUP(A20,[1]!Tableau_cotisants,3,FALSE)</f>
        <v>SAMOYEAU</v>
      </c>
      <c r="D20" s="52" t="str">
        <f>VLOOKUP(A20,[1]!Tableau_cotisants,4,FALSE)</f>
        <v>Romain</v>
      </c>
      <c r="E20" s="53">
        <f>VLOOKUP(A20,[1]!Tableau_cotisants,5,FALSE)</f>
        <v>0</v>
      </c>
      <c r="F20" s="52">
        <f>VLOOKUP(A20,[1]!Tableau_cotisants,6,FALSE)</f>
        <v>0</v>
      </c>
      <c r="G20" s="52">
        <f>VLOOKUP(A20,[1]!Tableau_cotisants,7,FALSE)</f>
        <v>1</v>
      </c>
      <c r="H20" s="54">
        <f>VLOOKUP(A20,[1]!Tableau_cotisants,8,FALSE)</f>
        <v>30741</v>
      </c>
      <c r="I20" s="54" t="str">
        <f t="shared" si="6"/>
        <v>35 an(s) 0 mois et 5 jour(s)</v>
      </c>
      <c r="J20" s="52" t="str">
        <f>VLOOKUP(A20,[1]!Tableau_cotisants,10,FALSE)</f>
        <v>SEGONZAC</v>
      </c>
      <c r="K20" s="53" t="str">
        <f>VLOOKUP(A20,[1]!Tableau_cotisants,11,FALSE)</f>
        <v>Champagne</v>
      </c>
      <c r="L20" s="6">
        <v>1</v>
      </c>
      <c r="M20" s="5"/>
      <c r="N20" s="27"/>
      <c r="O20" s="26"/>
      <c r="P20" s="74">
        <v>1</v>
      </c>
      <c r="Q20" s="55"/>
      <c r="R20" s="55"/>
      <c r="S20" s="55"/>
    </row>
    <row r="21" spans="1:19" ht="12" customHeight="1">
      <c r="A21" s="109" t="s">
        <v>72</v>
      </c>
      <c r="B21" s="52" t="str">
        <f>VLOOKUP(A21,[1]!Tableau_cotisants,2,FALSE)</f>
        <v>SAMOYEAU/RAPHOZ</v>
      </c>
      <c r="C21" s="52" t="str">
        <f>VLOOKUP(A21,[1]!Tableau_cotisants,3,FALSE)</f>
        <v>SAMOYEAU</v>
      </c>
      <c r="D21" s="52" t="str">
        <f>VLOOKUP(A21,[1]!Tableau_cotisants,4,FALSE)</f>
        <v>Thomas</v>
      </c>
      <c r="E21" s="53">
        <f>VLOOKUP(A21,[1]!Tableau_cotisants,5,FALSE)</f>
        <v>0</v>
      </c>
      <c r="F21" s="52">
        <f>VLOOKUP(A21,[1]!Tableau_cotisants,6,FALSE)</f>
        <v>0</v>
      </c>
      <c r="G21" s="52">
        <f>VLOOKUP(A21,[1]!Tableau_cotisants,7,FALSE)</f>
        <v>1</v>
      </c>
      <c r="H21" s="54">
        <f>VLOOKUP(A21,[1]!Tableau_cotisants,8,FALSE)</f>
        <v>41862</v>
      </c>
      <c r="I21" s="54" t="str">
        <f t="shared" si="6"/>
        <v>4 an(s) 6 mois et 23 jour(s)</v>
      </c>
      <c r="J21" s="52" t="str">
        <f>VLOOKUP(A21,[1]!Tableau_cotisants,10,FALSE)</f>
        <v>SEGONZAC</v>
      </c>
      <c r="K21" s="53" t="str">
        <f>VLOOKUP(A21,[1]!Tableau_cotisants,11,FALSE)</f>
        <v>Champagne</v>
      </c>
      <c r="L21" s="6">
        <v>1</v>
      </c>
      <c r="M21" s="5"/>
      <c r="N21" s="27"/>
      <c r="O21" s="26"/>
      <c r="P21" s="74">
        <v>1</v>
      </c>
      <c r="Q21" s="55"/>
      <c r="R21" s="55"/>
      <c r="S21" s="55"/>
    </row>
    <row r="22" spans="1:19" ht="12" customHeight="1">
      <c r="A22" s="109" t="s">
        <v>207</v>
      </c>
      <c r="B22" s="56" t="str">
        <f>VLOOKUP(A22,[1]!Tableau_cotisants,2,FALSE)</f>
        <v>BETTI JOSEPH</v>
      </c>
      <c r="C22" s="56" t="str">
        <f>VLOOKUP(A22,[1]!Tableau_cotisants,3,FALSE)</f>
        <v>BETTI</v>
      </c>
      <c r="D22" s="56" t="str">
        <f>VLOOKUP(A22,[1]!Tableau_cotisants,4,FALSE)</f>
        <v>Sandra</v>
      </c>
      <c r="E22" s="57">
        <f>VLOOKUP(A22,[1]!Tableau_cotisants,5,FALSE)</f>
        <v>0</v>
      </c>
      <c r="F22" s="56">
        <f>VLOOKUP(A22,[1]!Tableau_cotisants,6,FALSE)</f>
        <v>1</v>
      </c>
      <c r="G22" s="56">
        <f>VLOOKUP(A22,[1]!Tableau_cotisants,7,FALSE)</f>
        <v>0</v>
      </c>
      <c r="H22" s="58">
        <f>VLOOKUP(A22,[1]!Tableau_cotisants,8,FALSE)</f>
        <v>30077</v>
      </c>
      <c r="I22" s="58" t="str">
        <f t="shared" ref="I22:I26" si="7">DATEDIF(H22,Date_du_jour,"y") &amp; " an(s) " &amp; DATEDIF(H22,$C$2,"ym") &amp; " mois et " &amp; DATEDIF(H22,$C$2,"md") &amp; " jour(s)"</f>
        <v>36 an(s) 10 mois et 0 jour(s)</v>
      </c>
      <c r="J22" s="56" t="str">
        <f>VLOOKUP(A22,[1]!Tableau_cotisants,10,FALSE)</f>
        <v>Lagarde sur le Né</v>
      </c>
      <c r="K22" s="57" t="str">
        <f>VLOOKUP(A22,[1]!Tableau_cotisants,11,FALSE)</f>
        <v>Hors_CDA</v>
      </c>
      <c r="L22" s="6"/>
      <c r="M22" s="5">
        <v>1</v>
      </c>
      <c r="N22" s="27"/>
      <c r="O22" s="26"/>
      <c r="P22" s="74">
        <v>1</v>
      </c>
      <c r="Q22" s="55"/>
      <c r="R22" s="55"/>
      <c r="S22" s="55"/>
    </row>
    <row r="23" spans="1:19" ht="12" customHeight="1">
      <c r="A23" s="109" t="s">
        <v>208</v>
      </c>
      <c r="B23" s="56" t="str">
        <f>VLOOKUP(A23,[1]!Tableau_cotisants,2,FALSE)</f>
        <v>BETTI JOSEPH</v>
      </c>
      <c r="C23" s="56" t="str">
        <f>VLOOKUP(A23,[1]!Tableau_cotisants,3,FALSE)</f>
        <v>BETTI JOSEPH</v>
      </c>
      <c r="D23" s="56" t="str">
        <f>VLOOKUP(A23,[1]!Tableau_cotisants,4,FALSE)</f>
        <v>Milan</v>
      </c>
      <c r="E23" s="57">
        <f>VLOOKUP(A23,[1]!Tableau_cotisants,5,FALSE)</f>
        <v>0</v>
      </c>
      <c r="F23" s="56">
        <f>VLOOKUP(A23,[1]!Tableau_cotisants,6,FALSE)</f>
        <v>0</v>
      </c>
      <c r="G23" s="56">
        <f>VLOOKUP(A23,[1]!Tableau_cotisants,7,FALSE)</f>
        <v>1</v>
      </c>
      <c r="H23" s="58">
        <f>VLOOKUP(A23,[1]!Tableau_cotisants,8,FALSE)</f>
        <v>39998</v>
      </c>
      <c r="I23" s="58" t="str">
        <f t="shared" si="7"/>
        <v>9 an(s) 8 mois et 2 jour(s)</v>
      </c>
      <c r="J23" s="56" t="str">
        <f>VLOOKUP(A23,[1]!Tableau_cotisants,10,FALSE)</f>
        <v>Lagarde sur le Né</v>
      </c>
      <c r="K23" s="57" t="str">
        <f>VLOOKUP(A23,[1]!Tableau_cotisants,11,FALSE)</f>
        <v>Hors_CDA</v>
      </c>
      <c r="L23" s="6"/>
      <c r="M23" s="5">
        <v>1</v>
      </c>
      <c r="N23" s="27"/>
      <c r="O23" s="26"/>
      <c r="P23" s="74">
        <v>1</v>
      </c>
      <c r="Q23" s="55"/>
      <c r="R23" s="55"/>
      <c r="S23" s="55"/>
    </row>
    <row r="24" spans="1:19" ht="12" customHeight="1">
      <c r="A24" s="109" t="s">
        <v>209</v>
      </c>
      <c r="B24" s="56" t="str">
        <f>VLOOKUP(A24,[1]!Tableau_cotisants,2,FALSE)</f>
        <v>BETTI JOSEPH</v>
      </c>
      <c r="C24" s="56" t="str">
        <f>VLOOKUP(A24,[1]!Tableau_cotisants,3,FALSE)</f>
        <v>BETTI JOSEPH</v>
      </c>
      <c r="D24" s="56" t="str">
        <f>VLOOKUP(A24,[1]!Tableau_cotisants,4,FALSE)</f>
        <v>Tilia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42247</v>
      </c>
      <c r="I24" s="58" t="str">
        <f t="shared" si="7"/>
        <v>3 an(s) 6 mois et 3 jour(s)</v>
      </c>
      <c r="J24" s="56" t="str">
        <f>VLOOKUP(A24,[1]!Tableau_cotisants,10,FALSE)</f>
        <v>Lagarde sur le Né</v>
      </c>
      <c r="K24" s="57" t="str">
        <f>VLOOKUP(A24,[1]!Tableau_cotisants,11,FALSE)</f>
        <v>Hors_CDA</v>
      </c>
      <c r="L24" s="6"/>
      <c r="M24" s="5">
        <v>1</v>
      </c>
      <c r="N24" s="27"/>
      <c r="O24" s="26"/>
      <c r="P24" s="74">
        <v>1</v>
      </c>
      <c r="Q24" s="55"/>
      <c r="R24" s="55"/>
      <c r="S24" s="55"/>
    </row>
    <row r="25" spans="1:19" ht="12" customHeight="1">
      <c r="A25" s="117"/>
      <c r="B25" s="148" t="s">
        <v>210</v>
      </c>
      <c r="C25" s="148" t="s">
        <v>210</v>
      </c>
      <c r="D25" s="148" t="s">
        <v>211</v>
      </c>
      <c r="E25" s="149"/>
      <c r="F25" s="148">
        <v>1</v>
      </c>
      <c r="G25" s="148"/>
      <c r="H25" s="150">
        <v>26837</v>
      </c>
      <c r="I25" s="150" t="str">
        <f t="shared" si="7"/>
        <v>45 an(s) 8 mois et 12 jour(s)</v>
      </c>
      <c r="J25" s="148" t="s">
        <v>213</v>
      </c>
      <c r="K25" s="149" t="s">
        <v>13</v>
      </c>
      <c r="L25" s="6"/>
      <c r="M25" s="5">
        <v>1</v>
      </c>
      <c r="N25" s="27">
        <v>1</v>
      </c>
      <c r="O25" s="26"/>
      <c r="P25" s="74"/>
      <c r="Q25" s="55"/>
      <c r="R25" s="55">
        <v>1</v>
      </c>
      <c r="S25" s="55"/>
    </row>
    <row r="26" spans="1:19" ht="12" customHeight="1">
      <c r="A26" s="117"/>
      <c r="B26" s="148" t="s">
        <v>210</v>
      </c>
      <c r="C26" s="148" t="s">
        <v>210</v>
      </c>
      <c r="D26" s="148" t="s">
        <v>212</v>
      </c>
      <c r="E26" s="149"/>
      <c r="F26" s="148">
        <v>1</v>
      </c>
      <c r="G26" s="148"/>
      <c r="H26" s="150">
        <v>40856</v>
      </c>
      <c r="I26" s="150" t="str">
        <f t="shared" si="7"/>
        <v>7 an(s) 3 mois et 25 jour(s)</v>
      </c>
      <c r="J26" s="148" t="s">
        <v>213</v>
      </c>
      <c r="K26" s="149" t="s">
        <v>13</v>
      </c>
      <c r="L26" s="6"/>
      <c r="M26" s="5">
        <v>1</v>
      </c>
      <c r="N26" s="27">
        <v>1</v>
      </c>
      <c r="O26" s="26"/>
      <c r="P26" s="74"/>
      <c r="Q26" s="55"/>
      <c r="R26" s="55">
        <v>1</v>
      </c>
      <c r="S26" s="55"/>
    </row>
    <row r="27" spans="1:19" ht="12" customHeight="1">
      <c r="A27" s="147" t="s">
        <v>214</v>
      </c>
      <c r="B27" s="56" t="str">
        <f>VLOOKUP(A27,[1]!Tableau_cotisants,2,FALSE)</f>
        <v>LACHAUME/MERCIER</v>
      </c>
      <c r="C27" s="56" t="str">
        <f>VLOOKUP(A27,[1]!Tableau_cotisants,3,FALSE)</f>
        <v>LACHAUME</v>
      </c>
      <c r="D27" s="56" t="str">
        <f>VLOOKUP(A27,[1]!Tableau_cotisants,4,FALSE)</f>
        <v>Charline</v>
      </c>
      <c r="E27" s="57">
        <f>VLOOKUP(A27,[1]!Tableau_cotisants,5,FALSE)</f>
        <v>0</v>
      </c>
      <c r="F27" s="56">
        <f>VLOOKUP(A27,[1]!Tableau_cotisants,6,FALSE)</f>
        <v>1</v>
      </c>
      <c r="G27" s="56">
        <f>VLOOKUP(A27,[1]!Tableau_cotisants,7,FALSE)</f>
        <v>0</v>
      </c>
      <c r="H27" s="58">
        <f>VLOOKUP(A27,[1]!Tableau_cotisants,8,FALSE)</f>
        <v>32066</v>
      </c>
      <c r="I27" s="58" t="str">
        <f t="shared" ref="I27:I28" si="8">DATEDIF(H27,Date_du_jour,"y") &amp; " an(s) " &amp; DATEDIF(H27,$C$2,"ym") &amp; " mois et " &amp; DATEDIF(H27,$C$2,"md") &amp; " jour(s)"</f>
        <v>31 an(s) 4 mois et 18 jour(s)</v>
      </c>
      <c r="J27" s="56" t="str">
        <f>VLOOKUP(A27,[1]!Tableau_cotisants,10,FALSE)</f>
        <v>Boutiers</v>
      </c>
      <c r="K27" s="57" t="str">
        <f>VLOOKUP(A27,[1]!Tableau_cotisants,11,FALSE)</f>
        <v>Cognac</v>
      </c>
      <c r="L27" s="6"/>
      <c r="M27" s="5">
        <v>1</v>
      </c>
      <c r="N27" s="27"/>
      <c r="O27" s="26">
        <v>1</v>
      </c>
      <c r="P27" s="74"/>
      <c r="Q27" s="55"/>
      <c r="R27" s="55"/>
      <c r="S27" s="55"/>
    </row>
    <row r="28" spans="1:19" ht="12" customHeight="1">
      <c r="A28" s="147" t="s">
        <v>215</v>
      </c>
      <c r="B28" s="56" t="str">
        <f>VLOOKUP(A28,[1]!Tableau_cotisants,2,FALSE)</f>
        <v>LACHAUME/MERCIER</v>
      </c>
      <c r="C28" s="56" t="str">
        <f>VLOOKUP(A28,[1]!Tableau_cotisants,3,FALSE)</f>
        <v>LACHAUME</v>
      </c>
      <c r="D28" s="56" t="str">
        <f>VLOOKUP(A28,[1]!Tableau_cotisants,4,FALSE)</f>
        <v>Valentin</v>
      </c>
      <c r="E28" s="57">
        <f>VLOOKUP(A28,[1]!Tableau_cotisants,5,FALSE)</f>
        <v>0</v>
      </c>
      <c r="F28" s="56">
        <f>VLOOKUP(A28,[1]!Tableau_cotisants,6,FALSE)</f>
        <v>0</v>
      </c>
      <c r="G28" s="56">
        <f>VLOOKUP(A28,[1]!Tableau_cotisants,7,FALSE)</f>
        <v>1</v>
      </c>
      <c r="H28" s="58">
        <f>VLOOKUP(A28,[1]!Tableau_cotisants,8,FALSE)</f>
        <v>42403</v>
      </c>
      <c r="I28" s="58" t="str">
        <f t="shared" si="8"/>
        <v>3 an(s) 1 mois et 3 jour(s)</v>
      </c>
      <c r="J28" s="56" t="str">
        <f>VLOOKUP(A28,[1]!Tableau_cotisants,10,FALSE)</f>
        <v>Boutiers</v>
      </c>
      <c r="K28" s="57" t="str">
        <f>VLOOKUP(A28,[1]!Tableau_cotisants,11,FALSE)</f>
        <v>Cognac</v>
      </c>
      <c r="L28" s="6"/>
      <c r="M28" s="5">
        <v>1</v>
      </c>
      <c r="N28" s="27"/>
      <c r="O28" s="26">
        <v>1</v>
      </c>
      <c r="P28" s="74"/>
      <c r="Q28" s="55"/>
      <c r="R28" s="55"/>
      <c r="S28" s="55"/>
    </row>
    <row r="29" spans="1:19" ht="12" customHeight="1">
      <c r="A29" s="111" t="s">
        <v>216</v>
      </c>
      <c r="B29" s="56" t="str">
        <f>VLOOKUP(A29,[1]!Tableau_cotisants,2,FALSE)</f>
        <v>DEFARGE</v>
      </c>
      <c r="C29" s="56" t="str">
        <f>VLOOKUP(A29,[1]!Tableau_cotisants,3,FALSE)</f>
        <v>DEFARGE</v>
      </c>
      <c r="D29" s="56" t="str">
        <f>VLOOKUP(A29,[1]!Tableau_cotisants,4,FALSE)</f>
        <v>Maxime</v>
      </c>
      <c r="E29" s="57">
        <f>VLOOKUP(A29,[1]!Tableau_cotisants,5,FALSE)</f>
        <v>0</v>
      </c>
      <c r="F29" s="56">
        <f>VLOOKUP(A29,[1]!Tableau_cotisants,6,FALSE)</f>
        <v>0</v>
      </c>
      <c r="G29" s="56">
        <f>VLOOKUP(A29,[1]!Tableau_cotisants,7,FALSE)</f>
        <v>1</v>
      </c>
      <c r="H29" s="58">
        <f>VLOOKUP(A29,[1]!Tableau_cotisants,8,FALSE)</f>
        <v>39328</v>
      </c>
      <c r="I29" s="58" t="str">
        <f t="shared" ref="I29:I31" si="9">DATEDIF(H29,Date_du_jour,"y") &amp; " an(s) " &amp; DATEDIF(H29,$C$2,"ym") &amp; " mois et " &amp; DATEDIF(H29,$C$2,"md") &amp; " jour(s)"</f>
        <v>11 an(s) 6 mois et 3 jour(s)</v>
      </c>
      <c r="J29" s="56" t="str">
        <f>VLOOKUP(A29,[1]!Tableau_cotisants,10,FALSE)</f>
        <v>Cognac</v>
      </c>
      <c r="K29" s="57" t="str">
        <f>VLOOKUP(A29,[1]!Tableau_cotisants,11,FALSE)</f>
        <v>Cognac</v>
      </c>
      <c r="L29" s="6"/>
      <c r="M29" s="5">
        <v>1</v>
      </c>
      <c r="N29" s="27"/>
      <c r="O29" s="26"/>
      <c r="P29" s="74">
        <v>1</v>
      </c>
      <c r="Q29" s="55"/>
      <c r="R29" s="55"/>
      <c r="S29" s="55"/>
    </row>
    <row r="30" spans="1:19" ht="12" customHeight="1">
      <c r="A30" s="111" t="s">
        <v>217</v>
      </c>
      <c r="B30" s="56" t="str">
        <f>VLOOKUP(A30,[1]!Tableau_cotisants,2,FALSE)</f>
        <v>DEFARGE</v>
      </c>
      <c r="C30" s="56" t="str">
        <f>VLOOKUP(A30,[1]!Tableau_cotisants,3,FALSE)</f>
        <v>DEFARGE</v>
      </c>
      <c r="D30" s="56" t="str">
        <f>VLOOKUP(A30,[1]!Tableau_cotisants,4,FALSE)</f>
        <v>Coraline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41450</v>
      </c>
      <c r="I30" s="58" t="str">
        <f t="shared" si="9"/>
        <v>5 an(s) 8 mois et 9 jour(s)</v>
      </c>
      <c r="J30" s="56" t="str">
        <f>VLOOKUP(A30,[1]!Tableau_cotisants,10,FALSE)</f>
        <v>Cognac</v>
      </c>
      <c r="K30" s="57" t="str">
        <f>VLOOKUP(A30,[1]!Tableau_cotisants,11,FALSE)</f>
        <v>Cognac</v>
      </c>
      <c r="L30" s="6"/>
      <c r="M30" s="5">
        <v>1</v>
      </c>
      <c r="N30" s="27"/>
      <c r="O30" s="26"/>
      <c r="P30" s="74">
        <v>1</v>
      </c>
      <c r="Q30" s="55"/>
      <c r="R30" s="55"/>
      <c r="S30" s="55"/>
    </row>
    <row r="31" spans="1:19" ht="12" customHeight="1">
      <c r="A31" s="111" t="s">
        <v>218</v>
      </c>
      <c r="B31" s="56" t="str">
        <f>VLOOKUP(A31,[1]!Tableau_cotisants,2,FALSE)</f>
        <v>DEFARGE</v>
      </c>
      <c r="C31" s="56" t="str">
        <f>VLOOKUP(A31,[1]!Tableau_cotisants,3,FALSE)</f>
        <v>DEFARGE</v>
      </c>
      <c r="D31" s="56" t="str">
        <f>VLOOKUP(A31,[1]!Tableau_cotisants,4,FALSE)</f>
        <v>Robin</v>
      </c>
      <c r="E31" s="57">
        <f>VLOOKUP(A31,[1]!Tableau_cotisants,5,FALSE)</f>
        <v>0</v>
      </c>
      <c r="F31" s="56">
        <f>VLOOKUP(A31,[1]!Tableau_cotisants,6,FALSE)</f>
        <v>0</v>
      </c>
      <c r="G31" s="56">
        <f>VLOOKUP(A31,[1]!Tableau_cotisants,7,FALSE)</f>
        <v>1</v>
      </c>
      <c r="H31" s="58">
        <f>VLOOKUP(A31,[1]!Tableau_cotisants,8,FALSE)</f>
        <v>42172</v>
      </c>
      <c r="I31" s="58" t="str">
        <f t="shared" si="9"/>
        <v>3 an(s) 8 mois et 17 jour(s)</v>
      </c>
      <c r="J31" s="56" t="str">
        <f>VLOOKUP(A31,[1]!Tableau_cotisants,10,FALSE)</f>
        <v>Cognac</v>
      </c>
      <c r="K31" s="57" t="str">
        <f>VLOOKUP(A31,[1]!Tableau_cotisants,11,FALSE)</f>
        <v>Cognac</v>
      </c>
      <c r="L31" s="6"/>
      <c r="M31" s="5">
        <v>1</v>
      </c>
      <c r="N31" s="27"/>
      <c r="O31" s="26"/>
      <c r="P31" s="74">
        <v>1</v>
      </c>
      <c r="Q31" s="55"/>
      <c r="R31" s="55"/>
      <c r="S31" s="55"/>
    </row>
    <row r="32" spans="1:19" ht="12" customHeight="1">
      <c r="A32" s="117"/>
      <c r="B32" s="56"/>
      <c r="C32" s="56"/>
      <c r="D32" s="56"/>
      <c r="E32" s="57"/>
      <c r="F32" s="56"/>
      <c r="G32" s="56"/>
      <c r="H32" s="58"/>
      <c r="I32" s="58"/>
      <c r="J32" s="56"/>
      <c r="K32" s="57"/>
      <c r="L32" s="6"/>
      <c r="M32" s="5"/>
      <c r="N32" s="27"/>
      <c r="O32" s="26"/>
      <c r="P32" s="74"/>
      <c r="Q32" s="55"/>
      <c r="R32" s="55"/>
      <c r="S32" s="55"/>
    </row>
    <row r="33" spans="1:19" ht="12" customHeight="1">
      <c r="A33" s="117"/>
      <c r="B33" s="56"/>
      <c r="C33" s="56"/>
      <c r="D33" s="56"/>
      <c r="E33" s="57"/>
      <c r="F33" s="56"/>
      <c r="G33" s="56"/>
      <c r="H33" s="58"/>
      <c r="I33" s="58"/>
      <c r="J33" s="56"/>
      <c r="K33" s="57"/>
      <c r="L33" s="6"/>
      <c r="M33" s="5"/>
      <c r="N33" s="27"/>
      <c r="O33" s="26"/>
      <c r="P33" s="74"/>
      <c r="Q33" s="55"/>
      <c r="R33" s="55"/>
      <c r="S33" s="55"/>
    </row>
    <row r="34" spans="1:19" ht="12" customHeight="1" thickBot="1">
      <c r="A34" s="117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6"/>
      <c r="M34" s="5"/>
      <c r="N34" s="27"/>
      <c r="O34" s="26"/>
      <c r="P34" s="74"/>
      <c r="Q34" s="55"/>
      <c r="R34" s="55"/>
      <c r="S34" s="55"/>
    </row>
    <row r="35" spans="1:19" ht="19.5" thickBot="1">
      <c r="A35" s="100"/>
      <c r="B35" s="4"/>
      <c r="C35" s="4"/>
      <c r="D35" s="4"/>
      <c r="E35" s="4">
        <f>SUM(E5:E34)</f>
        <v>13</v>
      </c>
      <c r="F35" s="4">
        <f>SUM(F5:F34)</f>
        <v>13</v>
      </c>
      <c r="G35" s="4">
        <f>SUM(G5:G34)</f>
        <v>14</v>
      </c>
      <c r="H35" s="4"/>
      <c r="I35" s="4"/>
      <c r="J35" s="4"/>
      <c r="K35" s="18">
        <f>SUM(K7:K34)</f>
        <v>0</v>
      </c>
      <c r="L35" s="93">
        <f t="shared" ref="L35:S35" si="10">SUM(L5:L34)</f>
        <v>17</v>
      </c>
      <c r="M35" s="19">
        <f t="shared" si="10"/>
        <v>10</v>
      </c>
      <c r="N35" s="20">
        <f t="shared" si="10"/>
        <v>9</v>
      </c>
      <c r="O35" s="28">
        <f t="shared" si="10"/>
        <v>2</v>
      </c>
      <c r="P35" s="72">
        <f t="shared" si="10"/>
        <v>16</v>
      </c>
      <c r="Q35" s="79">
        <f t="shared" si="10"/>
        <v>0</v>
      </c>
      <c r="R35" s="80">
        <f t="shared" si="10"/>
        <v>2</v>
      </c>
      <c r="S35" s="81">
        <f t="shared" si="10"/>
        <v>0</v>
      </c>
    </row>
    <row r="36" spans="1:19" ht="24" thickBot="1">
      <c r="B36" t="s">
        <v>28</v>
      </c>
      <c r="C36" s="98"/>
      <c r="F36" s="201">
        <f>F35+G35</f>
        <v>27</v>
      </c>
      <c r="G36" s="201"/>
      <c r="L36" s="201">
        <f>L35+M35</f>
        <v>27</v>
      </c>
      <c r="M36" s="201"/>
      <c r="N36" s="202">
        <f>N35+O35+P35</f>
        <v>27</v>
      </c>
      <c r="O36" s="202"/>
      <c r="P36" s="202"/>
      <c r="Q36" s="145"/>
      <c r="R36" s="145"/>
      <c r="S36" s="145"/>
    </row>
    <row r="37" spans="1:19" ht="15.75" thickBot="1">
      <c r="B37" t="s">
        <v>75</v>
      </c>
      <c r="L37" s="22">
        <f>L35+'13 fevrier 2019'!L30</f>
        <v>83</v>
      </c>
      <c r="M37" s="23">
        <f>M35+'13 fevrier 2019'!M30</f>
        <v>80</v>
      </c>
      <c r="N37" s="24">
        <f>N35+'13 fevrier 2019'!N30</f>
        <v>75</v>
      </c>
      <c r="O37" s="25">
        <f>O35+'13 fevrier 2019'!O30</f>
        <v>16</v>
      </c>
      <c r="P37" s="84">
        <f>P35+'13 fevrier 2019'!P30</f>
        <v>72</v>
      </c>
      <c r="Q37" s="82">
        <f>Q35+'13 fevrier 2019'!Q30</f>
        <v>6</v>
      </c>
      <c r="R37" s="90">
        <f>R35+'13 fevrier 2019'!R30</f>
        <v>2</v>
      </c>
      <c r="S37" s="83">
        <f>S35+'13 fevrier 2019'!S30</f>
        <v>3</v>
      </c>
    </row>
    <row r="38" spans="1:19" ht="33" thickBot="1">
      <c r="L38" s="203">
        <f>L36+'13 fevrier 2019'!L31:M31</f>
        <v>163</v>
      </c>
      <c r="M38" s="204"/>
      <c r="N38" s="205">
        <f>N36+'13 fevrier 2019'!N31:P31</f>
        <v>163</v>
      </c>
      <c r="O38" s="206"/>
      <c r="P38" s="207"/>
    </row>
    <row r="39" spans="1:19">
      <c r="B39" t="s">
        <v>181</v>
      </c>
      <c r="C39" s="142" t="s">
        <v>185</v>
      </c>
      <c r="D39" t="s">
        <v>181</v>
      </c>
      <c r="E39" s="208" t="s">
        <v>182</v>
      </c>
      <c r="F39" s="209"/>
    </row>
    <row r="40" spans="1:19" ht="45">
      <c r="A40" s="140" t="s">
        <v>183</v>
      </c>
      <c r="B40" s="138"/>
      <c r="C40" s="139">
        <f>B40+'13 fevrier 2019'!C33</f>
        <v>6</v>
      </c>
      <c r="D40" s="138"/>
      <c r="E40" s="195">
        <f>D40+'13 fevrier 2019'!E33:F33</f>
        <v>42</v>
      </c>
      <c r="F40" s="196"/>
    </row>
    <row r="41" spans="1:19" ht="32.25">
      <c r="A41" s="141" t="s">
        <v>184</v>
      </c>
      <c r="B41" s="138"/>
      <c r="C41" s="139">
        <f>B41+'13 fevrier 2019'!C34</f>
        <v>7</v>
      </c>
      <c r="D41" s="138"/>
      <c r="E41" s="195">
        <f>D41+'13 fevrier 2019'!E34:F34</f>
        <v>54</v>
      </c>
      <c r="F41" s="196"/>
    </row>
    <row r="42" spans="1:19">
      <c r="B42" s="145">
        <f>B41+B40</f>
        <v>0</v>
      </c>
      <c r="C42" s="145">
        <f>C41+C40</f>
        <v>13</v>
      </c>
      <c r="D42" s="145">
        <f>D41+D40</f>
        <v>0</v>
      </c>
      <c r="E42" s="210">
        <f>E41+E40</f>
        <v>96</v>
      </c>
      <c r="F42" s="210"/>
    </row>
  </sheetData>
  <mergeCells count="10">
    <mergeCell ref="E40:F40"/>
    <mergeCell ref="E41:F41"/>
    <mergeCell ref="E42:F42"/>
    <mergeCell ref="F3:G3"/>
    <mergeCell ref="F36:G36"/>
    <mergeCell ref="L36:M36"/>
    <mergeCell ref="N36:P36"/>
    <mergeCell ref="L38:M38"/>
    <mergeCell ref="N38:P38"/>
    <mergeCell ref="E39:F39"/>
  </mergeCells>
  <conditionalFormatting sqref="N38">
    <cfRule type="cellIs" dxfId="53" priority="4" operator="equal">
      <formula>$N$37+$O$37</formula>
    </cfRule>
  </conditionalFormatting>
  <conditionalFormatting sqref="N38">
    <cfRule type="cellIs" dxfId="52" priority="3" operator="equal">
      <formula>$N$43+$O$43</formula>
    </cfRule>
  </conditionalFormatting>
  <conditionalFormatting sqref="F36:G36 N36">
    <cfRule type="cellIs" dxfId="51" priority="1" operator="notEqual">
      <formula>$L$36</formula>
    </cfRule>
    <cfRule type="cellIs" dxfId="50" priority="2" operator="equal">
      <formula>$L$36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2:S42"/>
  <sheetViews>
    <sheetView workbookViewId="0">
      <pane ySplit="4" topLeftCell="A11" activePane="bottomLeft" state="frozen"/>
      <selection pane="bottomLeft" activeCell="A19" sqref="A19:S34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43537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8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9" t="s">
        <v>109</v>
      </c>
      <c r="B5" s="52" t="str">
        <f>VLOOKUP(A5,[1]!Tableau_cotisants,2,FALSE)</f>
        <v>LIENART DELABEYE</v>
      </c>
      <c r="C5" s="52" t="str">
        <f>VLOOKUP(A5,[1]!Tableau_cotisants,3,FALSE)</f>
        <v>LIENART DELABEYE</v>
      </c>
      <c r="D5" s="52" t="str">
        <f>VLOOKUP(A5,[1]!Tableau_cotisants,4,FALSE)</f>
        <v>Brigitte</v>
      </c>
      <c r="E5" s="53">
        <f>VLOOKUP(A5,[1]!Tableau_cotisants,5,FALSE)</f>
        <v>0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20885</v>
      </c>
      <c r="I5" s="54" t="str">
        <f t="shared" ref="I5:I6" si="0">DATEDIF(H5,Date_du_jour,"y") &amp; " an(s) " &amp; DATEDIF(H5,$C$2,"ym") &amp; " mois et " &amp; DATEDIF(H5,$C$2,"md") &amp; " jour(s)"</f>
        <v>62 an(s) 0 mois et 7 jour(s)</v>
      </c>
      <c r="J5" s="52" t="str">
        <f>VLOOKUP(A5,[1]!Tableau_cotisants,10,FALSE)</f>
        <v>ANGEAC CHAMPAGNE</v>
      </c>
      <c r="K5" s="53" t="str">
        <f>VLOOKUP(A5,[1]!Tableau_cotisants,11,FALSE)</f>
        <v>Champagne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09" t="s">
        <v>111</v>
      </c>
      <c r="B6" s="52" t="str">
        <f>VLOOKUP(A6,[1]!Tableau_cotisants,2,FALSE)</f>
        <v>LIENART DELABEYE</v>
      </c>
      <c r="C6" s="52" t="str">
        <f>VLOOKUP(A6,[1]!Tableau_cotisants,3,FALSE)</f>
        <v>LIENART</v>
      </c>
      <c r="D6" s="52" t="str">
        <f>VLOOKUP(A6,[1]!Tableau_cotisants,4,FALSE)</f>
        <v>Sacha</v>
      </c>
      <c r="E6" s="53">
        <f>VLOOKUP(A6,[1]!Tableau_cotisants,5,FALSE)</f>
        <v>0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42830</v>
      </c>
      <c r="I6" s="54" t="str">
        <f t="shared" si="0"/>
        <v>1 an(s) 11 mois et 8 jour(s)</v>
      </c>
      <c r="J6" s="52" t="str">
        <f>VLOOKUP(A6,[1]!Tableau_cotisants,10,FALSE)</f>
        <v>ANGEAC CHAMPAGNE</v>
      </c>
      <c r="K6" s="53" t="str">
        <f>VLOOKUP(A6,[1]!Tableau_cotisants,11,FALSE)</f>
        <v>Champagne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03"/>
      <c r="B7" s="52"/>
      <c r="C7" s="52"/>
      <c r="D7" s="52"/>
      <c r="E7" s="53"/>
      <c r="F7" s="52"/>
      <c r="G7" s="52"/>
      <c r="H7" s="54"/>
      <c r="I7" s="54"/>
      <c r="J7" s="52"/>
      <c r="K7" s="53"/>
      <c r="L7" s="6"/>
      <c r="M7" s="5"/>
      <c r="N7" s="27"/>
      <c r="O7" s="26"/>
      <c r="P7" s="74"/>
      <c r="Q7" s="55"/>
      <c r="R7" s="55"/>
      <c r="S7" s="55"/>
    </row>
    <row r="8" spans="1:19" ht="12" customHeight="1">
      <c r="A8" s="103"/>
      <c r="B8" s="52"/>
      <c r="C8" s="52"/>
      <c r="D8" s="52"/>
      <c r="E8" s="53"/>
      <c r="F8" s="52"/>
      <c r="G8" s="52"/>
      <c r="H8" s="54"/>
      <c r="I8" s="54"/>
      <c r="J8" s="52"/>
      <c r="K8" s="53"/>
      <c r="L8" s="6"/>
      <c r="M8" s="5"/>
      <c r="N8" s="27"/>
      <c r="O8" s="26"/>
      <c r="P8" s="74"/>
      <c r="Q8" s="55"/>
      <c r="R8" s="55"/>
      <c r="S8" s="55"/>
    </row>
    <row r="9" spans="1:19" ht="12" customHeight="1">
      <c r="A9" s="103"/>
      <c r="B9" s="52"/>
      <c r="C9" s="52"/>
      <c r="D9" s="52"/>
      <c r="E9" s="53"/>
      <c r="F9" s="52"/>
      <c r="G9" s="52"/>
      <c r="H9" s="54"/>
      <c r="I9" s="54"/>
      <c r="J9" s="52"/>
      <c r="K9" s="53"/>
      <c r="L9" s="6"/>
      <c r="M9" s="5"/>
      <c r="N9" s="27"/>
      <c r="O9" s="26"/>
      <c r="P9" s="74"/>
      <c r="Q9" s="55"/>
      <c r="R9" s="55"/>
      <c r="S9" s="55"/>
    </row>
    <row r="10" spans="1:19" ht="12" customHeight="1">
      <c r="A10" s="103"/>
      <c r="B10" s="52"/>
      <c r="C10" s="52"/>
      <c r="D10" s="52"/>
      <c r="E10" s="53"/>
      <c r="F10" s="52"/>
      <c r="G10" s="52"/>
      <c r="H10" s="54"/>
      <c r="I10" s="54"/>
      <c r="J10" s="52"/>
      <c r="K10" s="53"/>
      <c r="L10" s="6"/>
      <c r="M10" s="5"/>
      <c r="N10" s="27"/>
      <c r="O10" s="26"/>
      <c r="P10" s="74"/>
      <c r="Q10" s="55"/>
      <c r="R10" s="55"/>
      <c r="S10" s="55"/>
    </row>
    <row r="11" spans="1:19" ht="12" customHeight="1">
      <c r="A11" s="103"/>
      <c r="B11" s="52"/>
      <c r="C11" s="52"/>
      <c r="D11" s="52"/>
      <c r="E11" s="53"/>
      <c r="F11" s="52"/>
      <c r="G11" s="52"/>
      <c r="H11" s="54"/>
      <c r="I11" s="54"/>
      <c r="J11" s="52"/>
      <c r="K11" s="53"/>
      <c r="L11" s="6"/>
      <c r="M11" s="5"/>
      <c r="N11" s="27"/>
      <c r="O11" s="26"/>
      <c r="P11" s="74"/>
      <c r="Q11" s="55"/>
      <c r="R11" s="55"/>
      <c r="S11" s="55"/>
    </row>
    <row r="12" spans="1:19" ht="12" customHeight="1">
      <c r="A12" s="103"/>
      <c r="B12" s="125" t="s">
        <v>219</v>
      </c>
      <c r="C12" s="112"/>
      <c r="D12" s="112"/>
      <c r="E12" s="53"/>
      <c r="F12" s="52"/>
      <c r="G12" s="52"/>
      <c r="H12" s="54"/>
      <c r="I12" s="54"/>
      <c r="J12" s="52"/>
      <c r="K12" s="53"/>
      <c r="L12" s="6"/>
      <c r="M12" s="5"/>
      <c r="N12" s="27"/>
      <c r="O12" s="26"/>
      <c r="P12" s="74"/>
      <c r="Q12" s="55"/>
      <c r="R12" s="55"/>
      <c r="S12" s="55"/>
    </row>
    <row r="13" spans="1:19" ht="12" customHeight="1">
      <c r="A13" s="103"/>
      <c r="B13" s="52"/>
      <c r="C13" s="52"/>
      <c r="D13" s="52"/>
      <c r="E13" s="53"/>
      <c r="F13" s="52"/>
      <c r="G13" s="52"/>
      <c r="H13" s="54"/>
      <c r="I13" s="54"/>
      <c r="J13" s="52"/>
      <c r="K13" s="53"/>
      <c r="L13" s="6"/>
      <c r="M13" s="5"/>
      <c r="N13" s="27"/>
      <c r="O13" s="26"/>
      <c r="P13" s="74"/>
      <c r="Q13" s="55"/>
      <c r="R13" s="55"/>
      <c r="S13" s="55"/>
    </row>
    <row r="14" spans="1:19" ht="12" customHeight="1">
      <c r="A14" s="103"/>
      <c r="B14" s="52"/>
      <c r="C14" s="52"/>
      <c r="D14" s="52"/>
      <c r="E14" s="53"/>
      <c r="F14" s="52"/>
      <c r="G14" s="52"/>
      <c r="H14" s="54"/>
      <c r="I14" s="54"/>
      <c r="J14" s="52"/>
      <c r="K14" s="53"/>
      <c r="L14" s="6"/>
      <c r="M14" s="5"/>
      <c r="N14" s="27"/>
      <c r="O14" s="26"/>
      <c r="P14" s="74"/>
      <c r="Q14" s="55"/>
      <c r="R14" s="55"/>
      <c r="S14" s="55"/>
    </row>
    <row r="15" spans="1:19" ht="12" customHeight="1">
      <c r="A15" s="103"/>
      <c r="B15" s="52"/>
      <c r="C15" s="52"/>
      <c r="D15" s="52"/>
      <c r="E15" s="53"/>
      <c r="F15" s="52"/>
      <c r="G15" s="52"/>
      <c r="H15" s="54"/>
      <c r="I15" s="54"/>
      <c r="J15" s="52"/>
      <c r="K15" s="53"/>
      <c r="L15" s="6"/>
      <c r="M15" s="5"/>
      <c r="N15" s="27"/>
      <c r="O15" s="26"/>
      <c r="P15" s="74"/>
      <c r="Q15" s="55"/>
      <c r="R15" s="55"/>
      <c r="S15" s="55"/>
    </row>
    <row r="16" spans="1:19" ht="12" customHeight="1">
      <c r="A16" s="103"/>
      <c r="B16" s="52"/>
      <c r="C16" s="52"/>
      <c r="D16" s="52"/>
      <c r="E16" s="53"/>
      <c r="F16" s="52"/>
      <c r="G16" s="52"/>
      <c r="H16" s="54"/>
      <c r="I16" s="54"/>
      <c r="J16" s="52"/>
      <c r="K16" s="53"/>
      <c r="L16" s="6"/>
      <c r="M16" s="5"/>
      <c r="N16" s="27"/>
      <c r="O16" s="26"/>
      <c r="P16" s="74"/>
      <c r="Q16" s="55"/>
      <c r="R16" s="55"/>
      <c r="S16" s="55"/>
    </row>
    <row r="17" spans="1:19" ht="12" customHeight="1">
      <c r="A17" s="103"/>
      <c r="B17" s="125" t="s">
        <v>240</v>
      </c>
      <c r="C17" s="112"/>
      <c r="D17" s="112"/>
      <c r="E17" s="53"/>
      <c r="F17" s="52"/>
      <c r="G17" s="52"/>
      <c r="H17" s="54"/>
      <c r="I17" s="54"/>
      <c r="J17" s="52"/>
      <c r="K17" s="53"/>
      <c r="L17" s="6"/>
      <c r="M17" s="5"/>
      <c r="N17" s="27"/>
      <c r="O17" s="26"/>
      <c r="P17" s="74"/>
      <c r="Q17" s="55"/>
      <c r="R17" s="55"/>
      <c r="S17" s="55"/>
    </row>
    <row r="18" spans="1:19" ht="12" customHeight="1">
      <c r="A18" s="103"/>
      <c r="B18" s="125" t="s">
        <v>220</v>
      </c>
      <c r="C18" s="112"/>
      <c r="D18" s="112"/>
      <c r="E18" s="53"/>
      <c r="F18" s="52"/>
      <c r="G18" s="52"/>
      <c r="H18" s="54"/>
      <c r="I18" s="54"/>
      <c r="J18" s="52"/>
      <c r="K18" s="53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13" t="s">
        <v>113</v>
      </c>
      <c r="B19" s="56" t="str">
        <f>VLOOKUP(A19,[1]!Tableau_cotisants,2,FALSE)</f>
        <v>Barett De Coutures</v>
      </c>
      <c r="C19" s="56" t="str">
        <f>VLOOKUP(A19,[1]!Tableau_cotisants,3,FALSE)</f>
        <v>Barett De Coutures</v>
      </c>
      <c r="D19" s="56" t="str">
        <f>VLOOKUP(A19,[1]!Tableau_cotisants,4,FALSE)</f>
        <v>Sophie</v>
      </c>
      <c r="E19" s="57">
        <f>VLOOKUP(A19,[1]!Tableau_cotisants,5,FALSE)</f>
        <v>0</v>
      </c>
      <c r="F19" s="56">
        <f>VLOOKUP(A19,[1]!Tableau_cotisants,6,FALSE)</f>
        <v>1</v>
      </c>
      <c r="G19" s="56">
        <f>VLOOKUP(A19,[1]!Tableau_cotisants,7,FALSE)</f>
        <v>0</v>
      </c>
      <c r="H19" s="58">
        <f>VLOOKUP(A19,[1]!Tableau_cotisants,8,FALSE)</f>
        <v>26736</v>
      </c>
      <c r="I19" s="58" t="str">
        <f t="shared" ref="I19:I22" si="1">DATEDIF(H19,Date_du_jour,"y") &amp; " an(s) " &amp; DATEDIF(H19,$C$2,"ym") &amp; " mois et " &amp; DATEDIF(H19,$C$2,"md") &amp; " jour(s)"</f>
        <v>46 an(s) 0 mois et 0 jour(s)</v>
      </c>
      <c r="J19" s="56" t="str">
        <f>VLOOKUP(A19,[1]!Tableau_cotisants,10,FALSE)</f>
        <v>Bourg Charente</v>
      </c>
      <c r="K19" s="57" t="str">
        <f>VLOOKUP(A19,[1]!Tableau_cotisants,11,FALSE)</f>
        <v>Jarnac</v>
      </c>
      <c r="L19" s="6"/>
      <c r="M19" s="5">
        <v>1</v>
      </c>
      <c r="N19" s="27">
        <v>1</v>
      </c>
      <c r="O19" s="26"/>
      <c r="P19" s="74"/>
      <c r="Q19" s="55"/>
      <c r="R19" s="55"/>
      <c r="S19" s="55"/>
    </row>
    <row r="20" spans="1:19" ht="12" customHeight="1">
      <c r="A20" s="113" t="s">
        <v>114</v>
      </c>
      <c r="B20" s="56" t="str">
        <f>VLOOKUP(A20,[1]!Tableau_cotisants,2,FALSE)</f>
        <v>Barett De Coutures</v>
      </c>
      <c r="C20" s="56" t="str">
        <f>VLOOKUP(A20,[1]!Tableau_cotisants,3,FALSE)</f>
        <v>Barett De Coutures</v>
      </c>
      <c r="D20" s="56" t="str">
        <f>VLOOKUP(A20,[1]!Tableau_cotisants,4,FALSE)</f>
        <v>Louise</v>
      </c>
      <c r="E20" s="57">
        <f>VLOOKUP(A20,[1]!Tableau_cotisants,5,FALSE)</f>
        <v>0</v>
      </c>
      <c r="F20" s="56">
        <f>VLOOKUP(A20,[1]!Tableau_cotisants,6,FALSE)</f>
        <v>1</v>
      </c>
      <c r="G20" s="56">
        <f>VLOOKUP(A20,[1]!Tableau_cotisants,7,FALSE)</f>
        <v>0</v>
      </c>
      <c r="H20" s="58">
        <f>VLOOKUP(A20,[1]!Tableau_cotisants,8,FALSE)</f>
        <v>41504</v>
      </c>
      <c r="I20" s="58" t="str">
        <f t="shared" si="1"/>
        <v>5 an(s) 6 mois et 23 jour(s)</v>
      </c>
      <c r="J20" s="56" t="str">
        <f>VLOOKUP(A20,[1]!Tableau_cotisants,10,FALSE)</f>
        <v>Bourg Charente</v>
      </c>
      <c r="K20" s="57" t="str">
        <f>VLOOKUP(A20,[1]!Tableau_cotisants,11,FALSE)</f>
        <v>Jarnac</v>
      </c>
      <c r="L20" s="6"/>
      <c r="M20" s="5">
        <v>1</v>
      </c>
      <c r="N20" s="27">
        <v>1</v>
      </c>
      <c r="O20" s="26"/>
      <c r="P20" s="74"/>
      <c r="Q20" s="55"/>
      <c r="R20" s="55"/>
      <c r="S20" s="55"/>
    </row>
    <row r="21" spans="1:19" ht="12" customHeight="1">
      <c r="A21" s="110" t="s">
        <v>158</v>
      </c>
      <c r="B21" s="56" t="str">
        <f>VLOOKUP(A21,[1]!Tableau_cotisants,2,FALSE)</f>
        <v>MENON</v>
      </c>
      <c r="C21" s="56" t="str">
        <f>VLOOKUP(A21,[1]!Tableau_cotisants,3,FALSE)</f>
        <v>MENON</v>
      </c>
      <c r="D21" s="56" t="str">
        <f>VLOOKUP(A21,[1]!Tableau_cotisants,4,FALSE)</f>
        <v>Caroline</v>
      </c>
      <c r="E21" s="57">
        <f>VLOOKUP(A21,[1]!Tableau_cotisants,5,FALSE)</f>
        <v>0</v>
      </c>
      <c r="F21" s="56">
        <f>VLOOKUP(A21,[1]!Tableau_cotisants,6,FALSE)</f>
        <v>1</v>
      </c>
      <c r="G21" s="56">
        <f>VLOOKUP(A21,[1]!Tableau_cotisants,7,FALSE)</f>
        <v>0</v>
      </c>
      <c r="H21" s="58">
        <f>VLOOKUP(A21,[1]!Tableau_cotisants,8,FALSE)</f>
        <v>29713</v>
      </c>
      <c r="I21" s="58" t="str">
        <f t="shared" si="1"/>
        <v>37 an(s) 10 mois et 6 jour(s)</v>
      </c>
      <c r="J21" s="56" t="str">
        <f>VLOOKUP(A21,[1]!Tableau_cotisants,10,FALSE)</f>
        <v>Genté</v>
      </c>
      <c r="K21" s="57" t="str">
        <f>VLOOKUP(A21,[1]!Tableau_cotisants,11,FALSE)</f>
        <v>Champagne</v>
      </c>
      <c r="L21" s="6"/>
      <c r="M21" s="5">
        <v>1</v>
      </c>
      <c r="N21" s="27"/>
      <c r="O21" s="26">
        <v>1</v>
      </c>
      <c r="P21" s="74"/>
      <c r="Q21" s="55"/>
      <c r="R21" s="55"/>
      <c r="S21" s="55"/>
    </row>
    <row r="22" spans="1:19" ht="12" customHeight="1">
      <c r="A22" s="111" t="s">
        <v>196</v>
      </c>
      <c r="B22" s="56" t="str">
        <f>VLOOKUP(A22,[1]!Tableau_cotisants,2,FALSE)</f>
        <v>EYMARD/LEHOUX</v>
      </c>
      <c r="C22" s="56" t="str">
        <f>VLOOKUP(A22,[1]!Tableau_cotisants,3,FALSE)</f>
        <v>LEHOUX</v>
      </c>
      <c r="D22" s="56" t="str">
        <f>VLOOKUP(A22,[1]!Tableau_cotisants,4,FALSE)</f>
        <v>Mélanie</v>
      </c>
      <c r="E22" s="57">
        <f>VLOOKUP(A22,[1]!Tableau_cotisants,5,FALSE)</f>
        <v>0</v>
      </c>
      <c r="F22" s="56">
        <f>VLOOKUP(A22,[1]!Tableau_cotisants,6,FALSE)</f>
        <v>1</v>
      </c>
      <c r="G22" s="56">
        <f>VLOOKUP(A22,[1]!Tableau_cotisants,7,FALSE)</f>
        <v>0</v>
      </c>
      <c r="H22" s="58">
        <f>VLOOKUP(A22,[1]!Tableau_cotisants,8,FALSE)</f>
        <v>29361</v>
      </c>
      <c r="I22" s="58" t="str">
        <f t="shared" si="1"/>
        <v>38 an(s) 9 mois et 21 jour(s)</v>
      </c>
      <c r="J22" s="56" t="str">
        <f>VLOOKUP(A22,[1]!Tableau_cotisants,10,FALSE)</f>
        <v>SEGONZAC</v>
      </c>
      <c r="K22" s="57" t="str">
        <f>VLOOKUP(A22,[1]!Tableau_cotisants,11,FALSE)</f>
        <v>Champagne</v>
      </c>
      <c r="L22" s="6"/>
      <c r="M22" s="5">
        <v>1</v>
      </c>
      <c r="N22" s="27"/>
      <c r="O22" s="26">
        <v>1</v>
      </c>
      <c r="P22" s="74"/>
      <c r="Q22" s="55"/>
      <c r="R22" s="55"/>
      <c r="S22" s="55"/>
    </row>
    <row r="23" spans="1:19" ht="12" customHeight="1">
      <c r="A23" s="111" t="s">
        <v>221</v>
      </c>
      <c r="B23" s="56" t="str">
        <f>VLOOKUP(A23,[1]!Tableau_cotisants,2,FALSE)</f>
        <v>EYMARD/LEHOUX</v>
      </c>
      <c r="C23" s="56" t="str">
        <f>VLOOKUP(A23,[1]!Tableau_cotisants,3,FALSE)</f>
        <v>EYMARD</v>
      </c>
      <c r="D23" s="56" t="str">
        <f>VLOOKUP(A23,[1]!Tableau_cotisants,4,FALSE)</f>
        <v>Léo</v>
      </c>
      <c r="E23" s="57">
        <f>VLOOKUP(A23,[1]!Tableau_cotisants,5,FALSE)</f>
        <v>0</v>
      </c>
      <c r="F23" s="56">
        <f>VLOOKUP(A23,[1]!Tableau_cotisants,6,FALSE)</f>
        <v>0</v>
      </c>
      <c r="G23" s="56">
        <f>VLOOKUP(A23,[1]!Tableau_cotisants,7,FALSE)</f>
        <v>1</v>
      </c>
      <c r="H23" s="58">
        <f>VLOOKUP(A23,[1]!Tableau_cotisants,8,FALSE)</f>
        <v>41196</v>
      </c>
      <c r="I23" s="58" t="str">
        <f t="shared" ref="I23:I24" si="2">DATEDIF(H23,Date_du_jour,"y") &amp; " an(s) " &amp; DATEDIF(H23,$C$2,"ym") &amp; " mois et " &amp; DATEDIF(H23,$C$2,"md") &amp; " jour(s)"</f>
        <v>6 an(s) 4 mois et 27 jour(s)</v>
      </c>
      <c r="J23" s="56" t="str">
        <f>VLOOKUP(A23,[1]!Tableau_cotisants,10,FALSE)</f>
        <v>SEGONZAC</v>
      </c>
      <c r="K23" s="57" t="str">
        <f>VLOOKUP(A23,[1]!Tableau_cotisants,11,FALSE)</f>
        <v>Champagne</v>
      </c>
      <c r="L23" s="6"/>
      <c r="M23" s="5">
        <v>1</v>
      </c>
      <c r="N23" s="27"/>
      <c r="O23" s="26">
        <v>1</v>
      </c>
      <c r="P23" s="74"/>
      <c r="Q23" s="55"/>
      <c r="R23" s="55"/>
      <c r="S23" s="55"/>
    </row>
    <row r="24" spans="1:19" ht="12" customHeight="1">
      <c r="A24" s="111" t="s">
        <v>222</v>
      </c>
      <c r="B24" s="56" t="str">
        <f>VLOOKUP(A24,[1]!Tableau_cotisants,2,FALSE)</f>
        <v>EYMARD/LEHOUX</v>
      </c>
      <c r="C24" s="56" t="str">
        <f>VLOOKUP(A24,[1]!Tableau_cotisants,3,FALSE)</f>
        <v>EYMARD</v>
      </c>
      <c r="D24" s="56" t="str">
        <f>VLOOKUP(A24,[1]!Tableau_cotisants,4,FALSE)</f>
        <v>Victoire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41603</v>
      </c>
      <c r="I24" s="58" t="str">
        <f t="shared" si="2"/>
        <v>5 an(s) 3 mois et 16 jour(s)</v>
      </c>
      <c r="J24" s="56" t="str">
        <f>VLOOKUP(A24,[1]!Tableau_cotisants,10,FALSE)</f>
        <v>SEGONZAC</v>
      </c>
      <c r="K24" s="57" t="str">
        <f>VLOOKUP(A24,[1]!Tableau_cotisants,11,FALSE)</f>
        <v>Champagne</v>
      </c>
      <c r="L24" s="6"/>
      <c r="M24" s="5">
        <v>1</v>
      </c>
      <c r="N24" s="27"/>
      <c r="O24" s="26">
        <v>1</v>
      </c>
      <c r="P24" s="74"/>
      <c r="Q24" s="55"/>
      <c r="R24" s="55"/>
      <c r="S24" s="55"/>
    </row>
    <row r="25" spans="1:19" ht="12" customHeight="1">
      <c r="A25" s="111" t="s">
        <v>197</v>
      </c>
      <c r="B25" s="56" t="str">
        <f>VLOOKUP(A25,[1]!Tableau_cotisants,2,FALSE)</f>
        <v>EYMARD/LEHOUX</v>
      </c>
      <c r="C25" s="56" t="str">
        <f>VLOOKUP(A25,[1]!Tableau_cotisants,3,FALSE)</f>
        <v>EYMARD</v>
      </c>
      <c r="D25" s="56" t="str">
        <f>VLOOKUP(A25,[1]!Tableau_cotisants,4,FALSE)</f>
        <v>Marius</v>
      </c>
      <c r="E25" s="57">
        <f>VLOOKUP(A25,[1]!Tableau_cotisants,5,FALSE)</f>
        <v>0</v>
      </c>
      <c r="F25" s="56">
        <f>VLOOKUP(A25,[1]!Tableau_cotisants,6,FALSE)</f>
        <v>0</v>
      </c>
      <c r="G25" s="56">
        <f>VLOOKUP(A25,[1]!Tableau_cotisants,7,FALSE)</f>
        <v>1</v>
      </c>
      <c r="H25" s="58">
        <f>VLOOKUP(A25,[1]!Tableau_cotisants,8,FALSE)</f>
        <v>43320</v>
      </c>
      <c r="I25" s="58" t="str">
        <f t="shared" ref="I25:I26" si="3">DATEDIF(H25,Date_du_jour,"y") &amp; " an(s) " &amp; DATEDIF(H25,$C$2,"ym") &amp; " mois et " &amp; DATEDIF(H25,$C$2,"md") &amp; " jour(s)"</f>
        <v>0 an(s) 7 mois et 5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/>
      <c r="O25" s="26">
        <v>1</v>
      </c>
      <c r="P25" s="74"/>
      <c r="Q25" s="55"/>
      <c r="R25" s="55"/>
      <c r="S25" s="55"/>
    </row>
    <row r="26" spans="1:19" ht="12" customHeight="1">
      <c r="A26" s="111"/>
      <c r="B26" s="56" t="s">
        <v>236</v>
      </c>
      <c r="C26" s="56" t="s">
        <v>237</v>
      </c>
      <c r="D26" s="56" t="s">
        <v>238</v>
      </c>
      <c r="E26" s="57"/>
      <c r="F26" s="56">
        <v>1</v>
      </c>
      <c r="G26" s="56"/>
      <c r="H26" s="58">
        <v>34698</v>
      </c>
      <c r="I26" s="58" t="str">
        <f t="shared" si="3"/>
        <v>24 an(s) 2 mois et 11 jour(s)</v>
      </c>
      <c r="J26" s="56" t="s">
        <v>167</v>
      </c>
      <c r="K26" s="57" t="s">
        <v>168</v>
      </c>
      <c r="L26" s="6"/>
      <c r="M26" s="5">
        <v>1</v>
      </c>
      <c r="N26" s="27"/>
      <c r="O26" s="26">
        <v>1</v>
      </c>
      <c r="P26" s="74"/>
      <c r="Q26" s="55">
        <v>1</v>
      </c>
      <c r="R26" s="55"/>
      <c r="S26" s="55"/>
    </row>
    <row r="27" spans="1:19" ht="12" customHeight="1">
      <c r="A27" s="133" t="s">
        <v>156</v>
      </c>
      <c r="B27" s="56" t="str">
        <f>VLOOKUP(A27,[1]!Tableau_cotisants,2,FALSE)</f>
        <v>MONTGOMERY</v>
      </c>
      <c r="C27" s="56" t="str">
        <f>VLOOKUP(A27,[1]!Tableau_cotisants,3,FALSE)</f>
        <v>MONTGOMERY</v>
      </c>
      <c r="D27" s="56" t="str">
        <f>VLOOKUP(A27,[1]!Tableau_cotisants,4,FALSE)</f>
        <v>Rebecca</v>
      </c>
      <c r="E27" s="57">
        <f>VLOOKUP(A27,[1]!Tableau_cotisants,5,FALSE)</f>
        <v>0</v>
      </c>
      <c r="F27" s="56">
        <f>VLOOKUP(A27,[1]!Tableau_cotisants,6,FALSE)</f>
        <v>1</v>
      </c>
      <c r="G27" s="56">
        <f>VLOOKUP(A27,[1]!Tableau_cotisants,7,FALSE)</f>
        <v>0</v>
      </c>
      <c r="H27" s="58">
        <f>VLOOKUP(A27,[1]!Tableau_cotisants,8,FALSE)</f>
        <v>26339</v>
      </c>
      <c r="I27" s="58" t="str">
        <f t="shared" ref="I27:I32" si="4">DATEDIF(H27,Date_du_jour,"y") &amp; " an(s) " &amp; DATEDIF(H27,$C$2,"ym") &amp; " mois et " &amp; DATEDIF(H27,$C$2,"md") &amp; " jour(s)"</f>
        <v>47 an(s) 1 mois et 3 jour(s)</v>
      </c>
      <c r="J27" s="56" t="str">
        <f>VLOOKUP(A27,[1]!Tableau_cotisants,10,FALSE)</f>
        <v>SEGONZAC</v>
      </c>
      <c r="K27" s="57" t="str">
        <f>VLOOKUP(A27,[1]!Tableau_cotisants,11,FALSE)</f>
        <v>Champagne</v>
      </c>
      <c r="L27" s="6"/>
      <c r="M27" s="5">
        <v>1</v>
      </c>
      <c r="N27" s="27"/>
      <c r="O27" s="26">
        <v>1</v>
      </c>
      <c r="P27" s="74"/>
      <c r="Q27" s="55"/>
      <c r="R27" s="55"/>
      <c r="S27" s="55"/>
    </row>
    <row r="28" spans="1:19" ht="12" customHeight="1">
      <c r="A28" s="103"/>
      <c r="B28" s="56" t="s">
        <v>239</v>
      </c>
      <c r="C28" s="56" t="s">
        <v>239</v>
      </c>
      <c r="D28" s="56" t="s">
        <v>223</v>
      </c>
      <c r="E28" s="57"/>
      <c r="F28" s="56">
        <v>1</v>
      </c>
      <c r="G28" s="56"/>
      <c r="H28" s="58">
        <v>23218</v>
      </c>
      <c r="I28" s="58" t="str">
        <f t="shared" si="4"/>
        <v>55 an(s) 7 mois et 15 jour(s)</v>
      </c>
      <c r="J28" s="56" t="s">
        <v>224</v>
      </c>
      <c r="K28" s="57" t="s">
        <v>225</v>
      </c>
      <c r="L28" s="6"/>
      <c r="M28" s="5">
        <v>1</v>
      </c>
      <c r="N28" s="27">
        <v>1</v>
      </c>
      <c r="O28" s="26"/>
      <c r="P28" s="74"/>
      <c r="Q28" s="55">
        <v>1</v>
      </c>
      <c r="R28" s="55"/>
      <c r="S28" s="55"/>
    </row>
    <row r="29" spans="1:19" ht="12" customHeight="1">
      <c r="A29" s="103"/>
      <c r="B29" s="56" t="s">
        <v>226</v>
      </c>
      <c r="C29" s="56" t="s">
        <v>227</v>
      </c>
      <c r="D29" s="56" t="s">
        <v>229</v>
      </c>
      <c r="E29" s="57"/>
      <c r="F29" s="56">
        <v>1</v>
      </c>
      <c r="G29" s="56"/>
      <c r="H29" s="58">
        <v>34181</v>
      </c>
      <c r="I29" s="58" t="str">
        <f t="shared" si="4"/>
        <v>25 an(s) 7 mois et 10 jour(s)</v>
      </c>
      <c r="J29" s="56" t="s">
        <v>234</v>
      </c>
      <c r="K29" s="57" t="s">
        <v>168</v>
      </c>
      <c r="L29" s="6"/>
      <c r="M29" s="5">
        <v>1</v>
      </c>
      <c r="N29" s="27">
        <v>1</v>
      </c>
      <c r="O29" s="26"/>
      <c r="P29" s="74"/>
      <c r="Q29" s="55">
        <v>1</v>
      </c>
      <c r="R29" s="55"/>
      <c r="S29" s="55"/>
    </row>
    <row r="30" spans="1:19" ht="12" customHeight="1">
      <c r="A30" s="103"/>
      <c r="B30" s="56" t="s">
        <v>226</v>
      </c>
      <c r="C30" s="56" t="s">
        <v>228</v>
      </c>
      <c r="D30" s="56" t="s">
        <v>230</v>
      </c>
      <c r="E30" s="57"/>
      <c r="F30" s="56"/>
      <c r="G30" s="56">
        <v>1</v>
      </c>
      <c r="H30" s="58">
        <v>41883</v>
      </c>
      <c r="I30" s="58" t="str">
        <f t="shared" si="4"/>
        <v>4 an(s) 6 mois et 12 jour(s)</v>
      </c>
      <c r="J30" s="56" t="s">
        <v>234</v>
      </c>
      <c r="K30" s="57" t="s">
        <v>168</v>
      </c>
      <c r="L30" s="6"/>
      <c r="M30" s="5">
        <v>1</v>
      </c>
      <c r="N30" s="27">
        <v>1</v>
      </c>
      <c r="O30" s="26"/>
      <c r="P30" s="74"/>
      <c r="Q30" s="55">
        <v>1</v>
      </c>
      <c r="R30" s="55"/>
      <c r="S30" s="55"/>
    </row>
    <row r="31" spans="1:19" ht="12" customHeight="1">
      <c r="A31" s="103"/>
      <c r="B31" s="56" t="s">
        <v>231</v>
      </c>
      <c r="C31" s="56" t="s">
        <v>227</v>
      </c>
      <c r="D31" s="56" t="s">
        <v>232</v>
      </c>
      <c r="E31" s="57"/>
      <c r="F31" s="56">
        <v>1</v>
      </c>
      <c r="G31" s="56"/>
      <c r="H31" s="58">
        <v>31842</v>
      </c>
      <c r="I31" s="58" t="str">
        <f t="shared" si="4"/>
        <v>32 an(s) 0 mois et 7 jour(s)</v>
      </c>
      <c r="J31" s="56" t="s">
        <v>235</v>
      </c>
      <c r="K31" s="57" t="s">
        <v>168</v>
      </c>
      <c r="L31" s="6"/>
      <c r="M31" s="5">
        <v>1</v>
      </c>
      <c r="N31" s="27">
        <v>1</v>
      </c>
      <c r="O31" s="26"/>
      <c r="P31" s="74"/>
      <c r="Q31" s="55">
        <v>1</v>
      </c>
      <c r="R31" s="55"/>
      <c r="S31" s="55"/>
    </row>
    <row r="32" spans="1:19" ht="12" customHeight="1">
      <c r="A32" s="103"/>
      <c r="B32" s="56" t="s">
        <v>231</v>
      </c>
      <c r="C32" s="56" t="s">
        <v>233</v>
      </c>
      <c r="D32" s="58" t="s">
        <v>233</v>
      </c>
      <c r="E32" s="57"/>
      <c r="F32" s="56">
        <v>1</v>
      </c>
      <c r="G32" s="56"/>
      <c r="H32" s="58">
        <v>42105</v>
      </c>
      <c r="I32" s="58" t="str">
        <f t="shared" si="4"/>
        <v>3 an(s) 11 mois et 2 jour(s)</v>
      </c>
      <c r="J32" s="56" t="s">
        <v>235</v>
      </c>
      <c r="K32" s="57" t="s">
        <v>168</v>
      </c>
      <c r="L32" s="6"/>
      <c r="M32" s="5">
        <v>1</v>
      </c>
      <c r="N32" s="27">
        <v>1</v>
      </c>
      <c r="O32" s="26"/>
      <c r="P32" s="74"/>
      <c r="Q32" s="55">
        <v>1</v>
      </c>
      <c r="R32" s="55"/>
      <c r="S32" s="55"/>
    </row>
    <row r="33" spans="1:19" ht="12" customHeight="1">
      <c r="A33" s="103"/>
      <c r="B33" s="56"/>
      <c r="C33" s="56"/>
      <c r="D33" s="56"/>
      <c r="E33" s="57"/>
      <c r="F33" s="56"/>
      <c r="G33" s="56"/>
      <c r="H33" s="58"/>
      <c r="I33" s="58"/>
      <c r="J33" s="56"/>
      <c r="K33" s="57"/>
      <c r="L33" s="6"/>
      <c r="M33" s="5"/>
      <c r="N33" s="27"/>
      <c r="O33" s="26"/>
      <c r="P33" s="74"/>
      <c r="Q33" s="55"/>
      <c r="R33" s="55"/>
      <c r="S33" s="55"/>
    </row>
    <row r="34" spans="1:19" ht="12" customHeight="1" thickBot="1">
      <c r="A34" s="103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6"/>
      <c r="M34" s="5"/>
      <c r="N34" s="27"/>
      <c r="O34" s="26"/>
      <c r="P34" s="74"/>
      <c r="Q34" s="55"/>
      <c r="R34" s="55"/>
      <c r="S34" s="55"/>
    </row>
    <row r="35" spans="1:19" ht="19.5" thickBot="1">
      <c r="A35" s="100"/>
      <c r="B35" s="4"/>
      <c r="C35" s="4"/>
      <c r="D35" s="4"/>
      <c r="E35" s="4">
        <f>SUM(E5:E34)</f>
        <v>0</v>
      </c>
      <c r="F35" s="4">
        <f>SUM(F5:F34)</f>
        <v>12</v>
      </c>
      <c r="G35" s="4">
        <f>SUM(G5:G34)</f>
        <v>4</v>
      </c>
      <c r="H35" s="4"/>
      <c r="I35" s="4"/>
      <c r="J35" s="4"/>
      <c r="K35" s="18">
        <f>SUM(K7:K34)</f>
        <v>0</v>
      </c>
      <c r="L35" s="93">
        <f t="shared" ref="L35:S35" si="5">SUM(L5:L34)</f>
        <v>2</v>
      </c>
      <c r="M35" s="19">
        <f t="shared" si="5"/>
        <v>14</v>
      </c>
      <c r="N35" s="20">
        <f t="shared" si="5"/>
        <v>9</v>
      </c>
      <c r="O35" s="28">
        <f t="shared" si="5"/>
        <v>7</v>
      </c>
      <c r="P35" s="72">
        <f t="shared" si="5"/>
        <v>0</v>
      </c>
      <c r="Q35" s="79">
        <f t="shared" si="5"/>
        <v>6</v>
      </c>
      <c r="R35" s="80">
        <f t="shared" si="5"/>
        <v>0</v>
      </c>
      <c r="S35" s="81">
        <f t="shared" si="5"/>
        <v>0</v>
      </c>
    </row>
    <row r="36" spans="1:19" ht="24" thickBot="1">
      <c r="B36" t="s">
        <v>28</v>
      </c>
      <c r="C36" s="98"/>
      <c r="F36" s="201">
        <f>F35+G35</f>
        <v>16</v>
      </c>
      <c r="G36" s="201"/>
      <c r="L36" s="201">
        <f>L35+M35</f>
        <v>16</v>
      </c>
      <c r="M36" s="201"/>
      <c r="N36" s="202">
        <f>N35+O35+P35</f>
        <v>16</v>
      </c>
      <c r="O36" s="202"/>
      <c r="P36" s="202"/>
      <c r="Q36" s="146"/>
      <c r="R36" s="146"/>
      <c r="S36" s="146"/>
    </row>
    <row r="37" spans="1:19" ht="15.75" thickBot="1">
      <c r="B37" t="s">
        <v>75</v>
      </c>
      <c r="L37" s="22">
        <f>L35+'06 mars 2019'!L37</f>
        <v>85</v>
      </c>
      <c r="M37" s="23">
        <f>M35+'06 mars 2019'!M37</f>
        <v>94</v>
      </c>
      <c r="N37" s="24">
        <f>N35+'06 mars 2019'!N37</f>
        <v>84</v>
      </c>
      <c r="O37" s="25">
        <f>O35+'06 mars 2019'!O37</f>
        <v>23</v>
      </c>
      <c r="P37" s="84">
        <f>P35+'06 mars 2019'!P37</f>
        <v>72</v>
      </c>
      <c r="Q37" s="82">
        <f>Q35+'06 mars 2019'!Q37</f>
        <v>12</v>
      </c>
      <c r="R37" s="90">
        <f>R35+'06 mars 2019'!R37</f>
        <v>2</v>
      </c>
      <c r="S37" s="83">
        <f>S35+'06 mars 2019'!S37</f>
        <v>3</v>
      </c>
    </row>
    <row r="38" spans="1:19" ht="33" thickBot="1">
      <c r="L38" s="203">
        <f>L36+'06 mars 2019'!L38:M38</f>
        <v>179</v>
      </c>
      <c r="M38" s="204"/>
      <c r="N38" s="205">
        <f>N36+'06 mars 2019'!N38:P38</f>
        <v>179</v>
      </c>
      <c r="O38" s="206"/>
      <c r="P38" s="207"/>
    </row>
    <row r="39" spans="1:19">
      <c r="B39" t="s">
        <v>181</v>
      </c>
      <c r="C39" s="142" t="s">
        <v>185</v>
      </c>
      <c r="D39" t="s">
        <v>181</v>
      </c>
      <c r="E39" s="208" t="s">
        <v>182</v>
      </c>
      <c r="F39" s="209"/>
    </row>
    <row r="40" spans="1:19" ht="45">
      <c r="A40" s="140" t="s">
        <v>183</v>
      </c>
      <c r="B40" s="138">
        <v>2</v>
      </c>
      <c r="C40" s="139">
        <f>B40+'06 mars 2019'!C40</f>
        <v>8</v>
      </c>
      <c r="D40" s="138">
        <v>14</v>
      </c>
      <c r="E40" s="195">
        <f>D40+'06 mars 2019'!E40:F40</f>
        <v>56</v>
      </c>
      <c r="F40" s="196"/>
    </row>
    <row r="41" spans="1:19" ht="32.25">
      <c r="A41" s="141" t="s">
        <v>184</v>
      </c>
      <c r="B41" s="138">
        <v>1</v>
      </c>
      <c r="C41" s="139">
        <f>B41+'06 mars 2019'!C41</f>
        <v>8</v>
      </c>
      <c r="D41" s="138">
        <v>9</v>
      </c>
      <c r="E41" s="195">
        <f>D41+'06 mars 2019'!E41:F41</f>
        <v>63</v>
      </c>
      <c r="F41" s="196"/>
    </row>
    <row r="42" spans="1:19">
      <c r="B42" s="146">
        <f>B41+B40</f>
        <v>3</v>
      </c>
      <c r="C42" s="146">
        <f>C41+C40</f>
        <v>16</v>
      </c>
      <c r="D42" s="146">
        <f>D41+D40</f>
        <v>23</v>
      </c>
      <c r="E42" s="210">
        <f>E41+E40</f>
        <v>119</v>
      </c>
      <c r="F42" s="210"/>
    </row>
  </sheetData>
  <mergeCells count="10">
    <mergeCell ref="L36:M36"/>
    <mergeCell ref="N36:P36"/>
    <mergeCell ref="L38:M38"/>
    <mergeCell ref="N38:P38"/>
    <mergeCell ref="E39:F39"/>
    <mergeCell ref="E40:F40"/>
    <mergeCell ref="E41:F41"/>
    <mergeCell ref="E42:F42"/>
    <mergeCell ref="F3:G3"/>
    <mergeCell ref="F36:G36"/>
  </mergeCells>
  <conditionalFormatting sqref="N38">
    <cfRule type="cellIs" dxfId="49" priority="4" operator="equal">
      <formula>$N$37+$O$37</formula>
    </cfRule>
  </conditionalFormatting>
  <conditionalFormatting sqref="N38">
    <cfRule type="cellIs" dxfId="48" priority="3" operator="equal">
      <formula>$N$43+$O$43</formula>
    </cfRule>
  </conditionalFormatting>
  <conditionalFormatting sqref="F36:G36 N36">
    <cfRule type="cellIs" dxfId="47" priority="1" operator="notEqual">
      <formula>$L$36</formula>
    </cfRule>
    <cfRule type="cellIs" dxfId="46" priority="2" operator="equal">
      <formula>$L$36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2:S51"/>
  <sheetViews>
    <sheetView workbookViewId="0">
      <pane ySplit="4" topLeftCell="A20" activePane="bottomLeft" state="frozen"/>
      <selection pane="bottomLeft" activeCell="A28" sqref="A28:S43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43544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9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9" t="s">
        <v>134</v>
      </c>
      <c r="B5" s="52" t="str">
        <f>VLOOKUP(A5,[1]!Tableau_cotisants,2,FALSE)</f>
        <v>RATIE/LONJARD</v>
      </c>
      <c r="C5" s="52" t="str">
        <f>VLOOKUP(A5,[1]!Tableau_cotisants,3,FALSE)</f>
        <v>LONJARD</v>
      </c>
      <c r="D5" s="52" t="str">
        <f>VLOOKUP(A5,[1]!Tableau_cotisants,4,FALSE)</f>
        <v>Nathalie</v>
      </c>
      <c r="E5" s="53">
        <f>VLOOKUP(A5,[1]!Tableau_cotisants,5,FALSE)</f>
        <v>0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23531</v>
      </c>
      <c r="I5" s="54" t="str">
        <f t="shared" ref="I5" si="0">DATEDIF(H5,Date_du_jour,"y") &amp; " an(s) " &amp; DATEDIF(H5,$C$2,"ym") &amp; " mois et " &amp; DATEDIF(H5,$C$2,"md") &amp; " jour(s)"</f>
        <v>54 an(s) 9 mois et 17 jour(s)</v>
      </c>
      <c r="J5" s="52" t="str">
        <f>VLOOKUP(A5,[1]!Tableau_cotisants,10,FALSE)</f>
        <v>SEGONZAC</v>
      </c>
      <c r="K5" s="53" t="str">
        <f>VLOOKUP(A5,[1]!Tableau_cotisants,11,FALSE)</f>
        <v>Champagne</v>
      </c>
      <c r="L5" s="6">
        <v>1</v>
      </c>
      <c r="M5" s="5"/>
      <c r="N5" s="27"/>
      <c r="O5" s="26">
        <v>1</v>
      </c>
      <c r="P5" s="74"/>
      <c r="Q5" s="55"/>
      <c r="R5" s="55"/>
      <c r="S5" s="55"/>
    </row>
    <row r="6" spans="1:19" ht="12" customHeight="1">
      <c r="A6" s="109" t="s">
        <v>135</v>
      </c>
      <c r="B6" s="52" t="str">
        <f>VLOOKUP(A6,[1]!Tableau_cotisants,2,FALSE)</f>
        <v>RATIE/LONJARD</v>
      </c>
      <c r="C6" s="52" t="str">
        <f>VLOOKUP(A6,[1]!Tableau_cotisants,3,FALSE)</f>
        <v>RATIE</v>
      </c>
      <c r="D6" s="52" t="str">
        <f>VLOOKUP(A6,[1]!Tableau_cotisants,4,FALSE)</f>
        <v>Nathan</v>
      </c>
      <c r="E6" s="53">
        <f>VLOOKUP(A6,[1]!Tableau_cotisants,5,FALSE)</f>
        <v>0</v>
      </c>
      <c r="F6" s="52">
        <f>VLOOKUP(A6,[1]!Tableau_cotisants,6,FALSE)</f>
        <v>0</v>
      </c>
      <c r="G6" s="52">
        <f>VLOOKUP(A6,[1]!Tableau_cotisants,7,FALSE)</f>
        <v>1</v>
      </c>
      <c r="H6" s="54">
        <f>VLOOKUP(A6,[1]!Tableau_cotisants,8,FALSE)</f>
        <v>40448</v>
      </c>
      <c r="I6" s="54" t="str">
        <f t="shared" ref="I6:I18" si="1">DATEDIF(H6,Date_du_jour,"y") &amp; " an(s) " &amp; DATEDIF(H6,$C$2,"ym") &amp; " mois et " &amp; DATEDIF(H6,$C$2,"md") &amp; " jour(s)"</f>
        <v>8 an(s) 5 mois et 21 jour(s)</v>
      </c>
      <c r="J6" s="52" t="str">
        <f>VLOOKUP(A6,[1]!Tableau_cotisants,10,FALSE)</f>
        <v>SEGONZAC</v>
      </c>
      <c r="K6" s="53" t="str">
        <f>VLOOKUP(A6,[1]!Tableau_cotisants,11,FALSE)</f>
        <v>Champagne</v>
      </c>
      <c r="L6" s="6">
        <v>1</v>
      </c>
      <c r="M6" s="5"/>
      <c r="N6" s="27"/>
      <c r="O6" s="26">
        <v>1</v>
      </c>
      <c r="P6" s="74"/>
      <c r="Q6" s="55"/>
      <c r="R6" s="55"/>
      <c r="S6" s="55"/>
    </row>
    <row r="7" spans="1:19" ht="12" customHeight="1">
      <c r="A7" s="153" t="s">
        <v>90</v>
      </c>
      <c r="B7" s="52" t="str">
        <f>VLOOKUP(A7,[1]!Tableau_cotisants,2,FALSE)</f>
        <v>GUYOT</v>
      </c>
      <c r="C7" s="52" t="str">
        <f>VLOOKUP(A7,[1]!Tableau_cotisants,3,FALSE)</f>
        <v>GUYOT</v>
      </c>
      <c r="D7" s="52" t="str">
        <f>VLOOKUP(A7,[1]!Tableau_cotisants,4,FALSE)</f>
        <v>Virginie</v>
      </c>
      <c r="E7" s="53">
        <f>VLOOKUP(A7,[1]!Tableau_cotisants,5,FALSE)</f>
        <v>1</v>
      </c>
      <c r="F7" s="52">
        <f>VLOOKUP(A7,[1]!Tableau_cotisants,6,FALSE)</f>
        <v>1</v>
      </c>
      <c r="G7" s="52">
        <f>VLOOKUP(A7,[1]!Tableau_cotisants,7,FALSE)</f>
        <v>0</v>
      </c>
      <c r="H7" s="54">
        <f>VLOOKUP(A7,[1]!Tableau_cotisants,8,FALSE)</f>
        <v>30012</v>
      </c>
      <c r="I7" s="54" t="str">
        <f t="shared" si="1"/>
        <v>37 an(s) 0 mois et 18 jour(s)</v>
      </c>
      <c r="J7" s="52" t="str">
        <f>VLOOKUP(A7,[1]!Tableau_cotisants,10,FALSE)</f>
        <v>Chateaubernard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53" t="s">
        <v>194</v>
      </c>
      <c r="B8" s="52" t="str">
        <f>VLOOKUP(A8,[1]!Tableau_cotisants,2,FALSE)</f>
        <v>GUYOT</v>
      </c>
      <c r="C8" s="52" t="str">
        <f>VLOOKUP(A8,[1]!Tableau_cotisants,3,FALSE)</f>
        <v>ZIDI</v>
      </c>
      <c r="D8" s="52" t="str">
        <f>VLOOKUP(A8,[1]!Tableau_cotisants,4,FALSE)</f>
        <v>Driss</v>
      </c>
      <c r="E8" s="53">
        <f>VLOOKUP(A8,[1]!Tableau_cotisants,5,FALSE)</f>
        <v>1</v>
      </c>
      <c r="F8" s="52">
        <f>VLOOKUP(A8,[1]!Tableau_cotisants,6,FALSE)</f>
        <v>0</v>
      </c>
      <c r="G8" s="52">
        <f>VLOOKUP(A8,[1]!Tableau_cotisants,7,FALSE)</f>
        <v>1</v>
      </c>
      <c r="H8" s="54">
        <f>VLOOKUP(A8,[1]!Tableau_cotisants,8,FALSE)</f>
        <v>42935</v>
      </c>
      <c r="I8" s="54" t="str">
        <f t="shared" si="1"/>
        <v>1 an(s) 8 mois et 1 jour(s)</v>
      </c>
      <c r="J8" s="52" t="str">
        <f>VLOOKUP(A8,[1]!Tableau_cotisants,10,FALSE)</f>
        <v>Chateaubernard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03" t="s">
        <v>93</v>
      </c>
      <c r="B9" s="52" t="str">
        <f>VLOOKUP(A9,[1]!Tableau_cotisants,2,FALSE)</f>
        <v>GUYOT</v>
      </c>
      <c r="C9" s="52" t="str">
        <f>VLOOKUP(A9,[1]!Tableau_cotisants,3,FALSE)</f>
        <v>FARCY</v>
      </c>
      <c r="D9" s="52" t="str">
        <f>VLOOKUP(A9,[1]!Tableau_cotisants,4,FALSE)</f>
        <v>Sacha</v>
      </c>
      <c r="E9" s="53">
        <f>VLOOKUP(A9,[1]!Tableau_cotisants,5,FALSE)</f>
        <v>1</v>
      </c>
      <c r="F9" s="52">
        <f>VLOOKUP(A9,[1]!Tableau_cotisants,6,FALSE)</f>
        <v>0</v>
      </c>
      <c r="G9" s="52">
        <f>VLOOKUP(A9,[1]!Tableau_cotisants,7,FALSE)</f>
        <v>1</v>
      </c>
      <c r="H9" s="54">
        <f>VLOOKUP(A9,[1]!Tableau_cotisants,8,FALSE)</f>
        <v>43040</v>
      </c>
      <c r="I9" s="54" t="str">
        <f t="shared" si="1"/>
        <v>1 an(s) 4 mois et 19 jour(s)</v>
      </c>
      <c r="J9" s="52" t="str">
        <f>VLOOKUP(A9,[1]!Tableau_cotisants,10,FALSE)</f>
        <v>Chateaubernard</v>
      </c>
      <c r="K9" s="53" t="str">
        <f>VLOOKUP(A9,[1]!Tableau_cotisants,11,FALSE)</f>
        <v>Cognac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03" t="s">
        <v>91</v>
      </c>
      <c r="B10" s="52" t="str">
        <f>VLOOKUP(A10,[1]!Tableau_cotisants,2,FALSE)</f>
        <v>GUYOT</v>
      </c>
      <c r="C10" s="52" t="str">
        <f>VLOOKUP(A10,[1]!Tableau_cotisants,3,FALSE)</f>
        <v>FORGEARD</v>
      </c>
      <c r="D10" s="52" t="str">
        <f>VLOOKUP(A10,[1]!Tableau_cotisants,4,FALSE)</f>
        <v>Yanis</v>
      </c>
      <c r="E10" s="53">
        <f>VLOOKUP(A10,[1]!Tableau_cotisants,5,FALSE)</f>
        <v>1</v>
      </c>
      <c r="F10" s="52">
        <f>VLOOKUP(A10,[1]!Tableau_cotisants,6,FALSE)</f>
        <v>0</v>
      </c>
      <c r="G10" s="52">
        <f>VLOOKUP(A10,[1]!Tableau_cotisants,7,FALSE)</f>
        <v>1</v>
      </c>
      <c r="H10" s="54">
        <f>VLOOKUP(A10,[1]!Tableau_cotisants,8,FALSE)</f>
        <v>43315</v>
      </c>
      <c r="I10" s="54" t="str">
        <f t="shared" si="1"/>
        <v>0 an(s) 7 mois et 17 jour(s)</v>
      </c>
      <c r="J10" s="52" t="str">
        <f>VLOOKUP(A10,[1]!Tableau_cotisants,10,FALSE)</f>
        <v>Chateaubernard</v>
      </c>
      <c r="K10" s="53" t="str">
        <f>VLOOKUP(A10,[1]!Tableau_cotisants,11,FALSE)</f>
        <v>Cognac</v>
      </c>
      <c r="L10" s="6">
        <v>1</v>
      </c>
      <c r="M10" s="5"/>
      <c r="N10" s="27"/>
      <c r="O10" s="26"/>
      <c r="P10" s="74">
        <v>1</v>
      </c>
      <c r="Q10" s="55"/>
      <c r="R10" s="55"/>
      <c r="S10" s="55"/>
    </row>
    <row r="11" spans="1:19" ht="12" customHeight="1">
      <c r="A11" s="103" t="s">
        <v>92</v>
      </c>
      <c r="B11" s="52" t="str">
        <f>VLOOKUP(A11,[1]!Tableau_cotisants,2,FALSE)</f>
        <v>GUYOT</v>
      </c>
      <c r="C11" s="52" t="str">
        <f>VLOOKUP(A11,[1]!Tableau_cotisants,3,FALSE)</f>
        <v>FRIOUX-GARCIA</v>
      </c>
      <c r="D11" s="52" t="str">
        <f>VLOOKUP(A11,[1]!Tableau_cotisants,4,FALSE)</f>
        <v>Marius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43395</v>
      </c>
      <c r="I11" s="54" t="str">
        <f t="shared" si="1"/>
        <v>0 an(s) 4 mois et 26 jour(s)</v>
      </c>
      <c r="J11" s="52" t="str">
        <f>VLOOKUP(A11,[1]!Tableau_cotisants,10,FALSE)</f>
        <v>Chateaubernard</v>
      </c>
      <c r="K11" s="53" t="str">
        <f>VLOOKUP(A11,[1]!Tableau_cotisants,11,FALSE)</f>
        <v>Cognac</v>
      </c>
      <c r="L11" s="6">
        <v>1</v>
      </c>
      <c r="M11" s="5"/>
      <c r="N11" s="27"/>
      <c r="O11" s="26"/>
      <c r="P11" s="74">
        <v>1</v>
      </c>
      <c r="Q11" s="55"/>
      <c r="R11" s="55"/>
      <c r="S11" s="55"/>
    </row>
    <row r="12" spans="1:19" ht="12" customHeight="1">
      <c r="A12" s="103" t="s">
        <v>94</v>
      </c>
      <c r="B12" s="52" t="str">
        <f>VLOOKUP(A12,[1]!Tableau_cotisants,2,FALSE)</f>
        <v>COZIC</v>
      </c>
      <c r="C12" s="52" t="str">
        <f>VLOOKUP(A12,[1]!Tableau_cotisants,3,FALSE)</f>
        <v>COZIC</v>
      </c>
      <c r="D12" s="52" t="str">
        <f>VLOOKUP(A12,[1]!Tableau_cotisants,4,FALSE)</f>
        <v>Jennifer</v>
      </c>
      <c r="E12" s="53">
        <f>VLOOKUP(A12,[1]!Tableau_cotisants,5,FALSE)</f>
        <v>1</v>
      </c>
      <c r="F12" s="52">
        <f>VLOOKUP(A12,[1]!Tableau_cotisants,6,FALSE)</f>
        <v>1</v>
      </c>
      <c r="G12" s="52">
        <f>VLOOKUP(A12,[1]!Tableau_cotisants,7,FALSE)</f>
        <v>0</v>
      </c>
      <c r="H12" s="54">
        <f>VLOOKUP(A12,[1]!Tableau_cotisants,8,FALSE)</f>
        <v>30554</v>
      </c>
      <c r="I12" s="54" t="str">
        <f t="shared" si="1"/>
        <v>35 an(s) 6 mois et 22 jour(s)</v>
      </c>
      <c r="J12" s="52" t="str">
        <f>VLOOKUP(A12,[1]!Tableau_cotisants,10,FALSE)</f>
        <v>Chateaubernard</v>
      </c>
      <c r="K12" s="53" t="str">
        <f>VLOOKUP(A12,[1]!Tableau_cotisants,11,FALSE)</f>
        <v>Cognac</v>
      </c>
      <c r="L12" s="6">
        <v>1</v>
      </c>
      <c r="M12" s="5"/>
      <c r="N12" s="27">
        <v>1</v>
      </c>
      <c r="O12" s="26"/>
      <c r="P12" s="74"/>
      <c r="Q12" s="55"/>
      <c r="R12" s="55"/>
      <c r="S12" s="55"/>
    </row>
    <row r="13" spans="1:19" ht="12" customHeight="1">
      <c r="A13" s="103" t="s">
        <v>241</v>
      </c>
      <c r="B13" s="52" t="str">
        <f>VLOOKUP(A13,[1]!Tableau_cotisants,2,FALSE)</f>
        <v>COZIC</v>
      </c>
      <c r="C13" s="52" t="str">
        <f>VLOOKUP(A13,[1]!Tableau_cotisants,3,FALSE)</f>
        <v>BARAUD</v>
      </c>
      <c r="D13" s="52" t="str">
        <f>VLOOKUP(A13,[1]!Tableau_cotisants,4,FALSE)</f>
        <v>Théo</v>
      </c>
      <c r="E13" s="53">
        <f>VLOOKUP(A13,[1]!Tableau_cotisants,5,FALSE)</f>
        <v>1</v>
      </c>
      <c r="F13" s="52">
        <f>VLOOKUP(A13,[1]!Tableau_cotisants,6,FALSE)</f>
        <v>0</v>
      </c>
      <c r="G13" s="52">
        <f>VLOOKUP(A13,[1]!Tableau_cotisants,7,FALSE)</f>
        <v>1</v>
      </c>
      <c r="H13" s="54">
        <f>VLOOKUP(A13,[1]!Tableau_cotisants,8,FALSE)</f>
        <v>43016</v>
      </c>
      <c r="I13" s="54" t="str">
        <f t="shared" si="1"/>
        <v>1 an(s) 5 mois et 12 jour(s)</v>
      </c>
      <c r="J13" s="52" t="str">
        <f>VLOOKUP(A13,[1]!Tableau_cotisants,10,FALSE)</f>
        <v>Chateaubernard</v>
      </c>
      <c r="K13" s="53" t="str">
        <f>VLOOKUP(A13,[1]!Tableau_cotisants,11,FALSE)</f>
        <v>Cognac</v>
      </c>
      <c r="L13" s="6">
        <v>1</v>
      </c>
      <c r="M13" s="5"/>
      <c r="N13" s="27">
        <v>1</v>
      </c>
      <c r="O13" s="26"/>
      <c r="P13" s="74"/>
      <c r="Q13" s="55"/>
      <c r="R13" s="55"/>
      <c r="S13" s="55"/>
    </row>
    <row r="14" spans="1:19" ht="12" customHeight="1">
      <c r="A14" s="103" t="s">
        <v>195</v>
      </c>
      <c r="B14" s="52" t="str">
        <f>VLOOKUP(A14,[1]!Tableau_cotisants,2,FALSE)</f>
        <v>COZIC</v>
      </c>
      <c r="C14" s="52" t="str">
        <f>VLOOKUP(A14,[1]!Tableau_cotisants,3,FALSE)</f>
        <v xml:space="preserve">VEZIN </v>
      </c>
      <c r="D14" s="52" t="str">
        <f>VLOOKUP(A14,[1]!Tableau_cotisants,4,FALSE)</f>
        <v>Paulin</v>
      </c>
      <c r="E14" s="53">
        <f>VLOOKUP(A14,[1]!Tableau_cotisants,5,FALSE)</f>
        <v>1</v>
      </c>
      <c r="F14" s="52">
        <f>VLOOKUP(A14,[1]!Tableau_cotisants,6,FALSE)</f>
        <v>0</v>
      </c>
      <c r="G14" s="52">
        <f>VLOOKUP(A14,[1]!Tableau_cotisants,7,FALSE)</f>
        <v>1</v>
      </c>
      <c r="H14" s="54">
        <f>VLOOKUP(A14,[1]!Tableau_cotisants,8,FALSE)</f>
        <v>43055</v>
      </c>
      <c r="I14" s="54" t="str">
        <f t="shared" si="1"/>
        <v>1 an(s) 4 mois et 4 jour(s)</v>
      </c>
      <c r="J14" s="52" t="str">
        <f>VLOOKUP(A14,[1]!Tableau_cotisants,10,FALSE)</f>
        <v>Chateaubernard</v>
      </c>
      <c r="K14" s="53" t="str">
        <f>VLOOKUP(A14,[1]!Tableau_cotisants,11,FALSE)</f>
        <v>Cognac</v>
      </c>
      <c r="L14" s="6">
        <v>1</v>
      </c>
      <c r="M14" s="5"/>
      <c r="N14" s="27">
        <v>1</v>
      </c>
      <c r="O14" s="26"/>
      <c r="P14" s="74"/>
      <c r="Q14" s="55"/>
      <c r="R14" s="55"/>
      <c r="S14" s="55"/>
    </row>
    <row r="15" spans="1:19" ht="12" customHeight="1">
      <c r="A15" s="103" t="s">
        <v>97</v>
      </c>
      <c r="B15" s="52" t="str">
        <f>VLOOKUP(A15,[1]!Tableau_cotisants,2,FALSE)</f>
        <v>COZIC</v>
      </c>
      <c r="C15" s="52" t="str">
        <f>VLOOKUP(A15,[1]!Tableau_cotisants,3,FALSE)</f>
        <v>TARDIEU</v>
      </c>
      <c r="D15" s="52" t="str">
        <f>VLOOKUP(A15,[1]!Tableau_cotisants,4,FALSE)</f>
        <v>Gustave</v>
      </c>
      <c r="E15" s="53">
        <f>VLOOKUP(A15,[1]!Tableau_cotisants,5,FALSE)</f>
        <v>1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42917</v>
      </c>
      <c r="I15" s="54" t="str">
        <f t="shared" si="1"/>
        <v>1 an(s) 8 mois et 19 jour(s)</v>
      </c>
      <c r="J15" s="52" t="str">
        <f>VLOOKUP(A15,[1]!Tableau_cotisants,10,FALSE)</f>
        <v>Chateaubernard</v>
      </c>
      <c r="K15" s="53" t="str">
        <f>VLOOKUP(A15,[1]!Tableau_cotisants,11,FALSE)</f>
        <v>Cognac</v>
      </c>
      <c r="L15" s="6">
        <v>1</v>
      </c>
      <c r="M15" s="5"/>
      <c r="N15" s="27">
        <v>1</v>
      </c>
      <c r="O15" s="26"/>
      <c r="P15" s="74"/>
      <c r="Q15" s="55"/>
      <c r="R15" s="55"/>
      <c r="S15" s="55"/>
    </row>
    <row r="16" spans="1:19" ht="12" customHeight="1">
      <c r="A16" s="103" t="s">
        <v>95</v>
      </c>
      <c r="B16" s="52" t="str">
        <f>VLOOKUP(A16,[1]!Tableau_cotisants,2,FALSE)</f>
        <v>COZIC</v>
      </c>
      <c r="C16" s="52" t="str">
        <f>VLOOKUP(A16,[1]!Tableau_cotisants,3,FALSE)</f>
        <v>FRAISSINET COZIC</v>
      </c>
      <c r="D16" s="52" t="str">
        <f>VLOOKUP(A16,[1]!Tableau_cotisants,4,FALSE)</f>
        <v>Kathleen</v>
      </c>
      <c r="E16" s="53">
        <f>VLOOKUP(A16,[1]!Tableau_cotisants,5,FALSE)</f>
        <v>1</v>
      </c>
      <c r="F16" s="52">
        <f>VLOOKUP(A16,[1]!Tableau_cotisants,6,FALSE)</f>
        <v>1</v>
      </c>
      <c r="G16" s="52">
        <f>VLOOKUP(A16,[1]!Tableau_cotisants,7,FALSE)</f>
        <v>0</v>
      </c>
      <c r="H16" s="54">
        <f>VLOOKUP(A16,[1]!Tableau_cotisants,8,FALSE)</f>
        <v>39909</v>
      </c>
      <c r="I16" s="54" t="str">
        <f t="shared" si="1"/>
        <v>9 an(s) 11 mois et 14 jour(s)</v>
      </c>
      <c r="J16" s="52" t="str">
        <f>VLOOKUP(A16,[1]!Tableau_cotisants,10,FALSE)</f>
        <v>Chateaubernard</v>
      </c>
      <c r="K16" s="53" t="str">
        <f>VLOOKUP(A16,[1]!Tableau_cotisants,11,FALSE)</f>
        <v>Cognac</v>
      </c>
      <c r="L16" s="6">
        <v>1</v>
      </c>
      <c r="M16" s="5"/>
      <c r="N16" s="27">
        <v>1</v>
      </c>
      <c r="O16" s="26"/>
      <c r="P16" s="74"/>
      <c r="Q16" s="55"/>
      <c r="R16" s="55"/>
      <c r="S16" s="55"/>
    </row>
    <row r="17" spans="1:19" ht="12" customHeight="1">
      <c r="A17" s="103" t="s">
        <v>96</v>
      </c>
      <c r="B17" s="52" t="str">
        <f>VLOOKUP(A17,[1]!Tableau_cotisants,2,FALSE)</f>
        <v>COZIC</v>
      </c>
      <c r="C17" s="52" t="str">
        <f>VLOOKUP(A17,[1]!Tableau_cotisants,3,FALSE)</f>
        <v>FRAISSINET COZIC</v>
      </c>
      <c r="D17" s="52" t="str">
        <f>VLOOKUP(A17,[1]!Tableau_cotisants,4,FALSE)</f>
        <v>Kendall</v>
      </c>
      <c r="E17" s="53">
        <f>VLOOKUP(A17,[1]!Tableau_cotisants,5,FALSE)</f>
        <v>1</v>
      </c>
      <c r="F17" s="52">
        <f>VLOOKUP(A17,[1]!Tableau_cotisants,6,FALSE)</f>
        <v>0</v>
      </c>
      <c r="G17" s="52">
        <f>VLOOKUP(A17,[1]!Tableau_cotisants,7,FALSE)</f>
        <v>1</v>
      </c>
      <c r="H17" s="54">
        <f>VLOOKUP(A17,[1]!Tableau_cotisants,8,FALSE)</f>
        <v>40770</v>
      </c>
      <c r="I17" s="54" t="str">
        <f t="shared" si="1"/>
        <v>7 an(s) 7 mois et 5 jour(s)</v>
      </c>
      <c r="J17" s="52" t="str">
        <f>VLOOKUP(A17,[1]!Tableau_cotisants,10,FALSE)</f>
        <v>Chateaubernard</v>
      </c>
      <c r="K17" s="53" t="str">
        <f>VLOOKUP(A17,[1]!Tableau_cotisants,11,FALSE)</f>
        <v>Cognac</v>
      </c>
      <c r="L17" s="6">
        <v>1</v>
      </c>
      <c r="M17" s="5"/>
      <c r="N17" s="27">
        <v>1</v>
      </c>
      <c r="O17" s="26"/>
      <c r="P17" s="74"/>
      <c r="Q17" s="55"/>
      <c r="R17" s="55"/>
      <c r="S17" s="55"/>
    </row>
    <row r="18" spans="1:19" ht="12" customHeight="1">
      <c r="A18" s="103" t="s">
        <v>107</v>
      </c>
      <c r="B18" s="52" t="str">
        <f>VLOOKUP(A18,[1]!Tableau_cotisants,2,FALSE)</f>
        <v>PRESSON-HALLYG</v>
      </c>
      <c r="C18" s="52" t="str">
        <f>VLOOKUP(A18,[1]!Tableau_cotisants,3,FALSE)</f>
        <v>HALLYG</v>
      </c>
      <c r="D18" s="52" t="str">
        <f>VLOOKUP(A18,[1]!Tableau_cotisants,4,FALSE)</f>
        <v>Bérangère</v>
      </c>
      <c r="E18" s="53">
        <f>VLOOKUP(A18,[1]!Tableau_cotisants,5,FALSE)</f>
        <v>0</v>
      </c>
      <c r="F18" s="52">
        <f>VLOOKUP(A18,[1]!Tableau_cotisants,6,FALSE)</f>
        <v>1</v>
      </c>
      <c r="G18" s="52">
        <f>VLOOKUP(A18,[1]!Tableau_cotisants,7,FALSE)</f>
        <v>0</v>
      </c>
      <c r="H18" s="54">
        <f>VLOOKUP(A18,[1]!Tableau_cotisants,8,FALSE)</f>
        <v>27325</v>
      </c>
      <c r="I18" s="54" t="str">
        <f t="shared" si="1"/>
        <v>44 an(s) 4 mois et 25 jour(s)</v>
      </c>
      <c r="J18" s="52" t="str">
        <f>VLOOKUP(A18,[1]!Tableau_cotisants,10,FALSE)</f>
        <v>COGNAC</v>
      </c>
      <c r="K18" s="53" t="str">
        <f>VLOOKUP(A18,[1]!Tableau_cotisants,11,FALSE)</f>
        <v>Cognac</v>
      </c>
      <c r="L18" s="6">
        <v>1</v>
      </c>
      <c r="M18" s="5"/>
      <c r="N18" s="27"/>
      <c r="O18" s="26">
        <v>1</v>
      </c>
      <c r="P18" s="74"/>
      <c r="Q18" s="55"/>
      <c r="R18" s="55"/>
      <c r="S18" s="55"/>
    </row>
    <row r="19" spans="1:19" ht="12" customHeight="1">
      <c r="A19" s="113" t="s">
        <v>242</v>
      </c>
      <c r="B19" s="52" t="str">
        <f>VLOOKUP(A19,[1]!Tableau_cotisants,2,FALSE)</f>
        <v>CHAGNEAU</v>
      </c>
      <c r="C19" s="52" t="str">
        <f>VLOOKUP(A19,[1]!Tableau_cotisants,3,FALSE)</f>
        <v>CHAGNEAU</v>
      </c>
      <c r="D19" s="52" t="str">
        <f>VLOOKUP(A19,[1]!Tableau_cotisants,4,FALSE)</f>
        <v>Karine</v>
      </c>
      <c r="E19" s="53">
        <f>VLOOKUP(A19,[1]!Tableau_cotisants,5,FALSE)</f>
        <v>1</v>
      </c>
      <c r="F19" s="52">
        <f>VLOOKUP(A19,[1]!Tableau_cotisants,6,FALSE)</f>
        <v>1</v>
      </c>
      <c r="G19" s="52">
        <f>VLOOKUP(A19,[1]!Tableau_cotisants,7,FALSE)</f>
        <v>0</v>
      </c>
      <c r="H19" s="54">
        <f>VLOOKUP(A19,[1]!Tableau_cotisants,8,FALSE)</f>
        <v>29352</v>
      </c>
      <c r="I19" s="54" t="str">
        <f t="shared" ref="I19:I22" si="2">DATEDIF(H19,Date_du_jour,"y") &amp; " an(s) " &amp; DATEDIF(H19,$C$2,"ym") &amp; " mois et " &amp; DATEDIF(H19,$C$2,"md") &amp; " jour(s)"</f>
        <v>38 an(s) 10 mois et 9 jour(s)</v>
      </c>
      <c r="J19" s="52" t="str">
        <f>VLOOKUP(A19,[1]!Tableau_cotisants,10,FALSE)</f>
        <v>Merpins</v>
      </c>
      <c r="K19" s="53" t="str">
        <f>VLOOKUP(A19,[1]!Tableau_cotisants,11,FALSE)</f>
        <v>Cognac</v>
      </c>
      <c r="L19" s="6">
        <v>1</v>
      </c>
      <c r="M19" s="5"/>
      <c r="N19" s="27">
        <v>1</v>
      </c>
      <c r="O19" s="26"/>
      <c r="P19" s="74"/>
      <c r="Q19" s="55"/>
      <c r="R19" s="55"/>
      <c r="S19" s="55"/>
    </row>
    <row r="20" spans="1:19" ht="12" customHeight="1">
      <c r="A20" s="113" t="s">
        <v>243</v>
      </c>
      <c r="B20" s="52" t="str">
        <f>VLOOKUP(A20,[1]!Tableau_cotisants,2,FALSE)</f>
        <v>CHAGNEAU</v>
      </c>
      <c r="C20" s="52" t="str">
        <f>VLOOKUP(A20,[1]!Tableau_cotisants,3,FALSE)</f>
        <v>SAUVION</v>
      </c>
      <c r="D20" s="52" t="str">
        <f>VLOOKUP(A20,[1]!Tableau_cotisants,4,FALSE)</f>
        <v>Emmy</v>
      </c>
      <c r="E20" s="53">
        <f>VLOOKUP(A20,[1]!Tableau_cotisants,5,FALSE)</f>
        <v>1</v>
      </c>
      <c r="F20" s="52">
        <f>VLOOKUP(A20,[1]!Tableau_cotisants,6,FALSE)</f>
        <v>1</v>
      </c>
      <c r="G20" s="52">
        <f>VLOOKUP(A20,[1]!Tableau_cotisants,7,FALSE)</f>
        <v>0</v>
      </c>
      <c r="H20" s="54">
        <f>VLOOKUP(A20,[1]!Tableau_cotisants,8,FALSE)</f>
        <v>43213</v>
      </c>
      <c r="I20" s="54" t="str">
        <f t="shared" si="2"/>
        <v>0 an(s) 10 mois et 25 jour(s)</v>
      </c>
      <c r="J20" s="52" t="str">
        <f>VLOOKUP(A20,[1]!Tableau_cotisants,10,FALSE)</f>
        <v>Merpins</v>
      </c>
      <c r="K20" s="53" t="str">
        <f>VLOOKUP(A20,[1]!Tableau_cotisants,11,FALSE)</f>
        <v>Cognac</v>
      </c>
      <c r="L20" s="6">
        <v>1</v>
      </c>
      <c r="M20" s="5"/>
      <c r="N20" s="27">
        <v>1</v>
      </c>
      <c r="O20" s="26"/>
      <c r="P20" s="74"/>
      <c r="Q20" s="55"/>
      <c r="R20" s="55"/>
      <c r="S20" s="55"/>
    </row>
    <row r="21" spans="1:19" ht="12" customHeight="1">
      <c r="A21" s="113" t="s">
        <v>244</v>
      </c>
      <c r="B21" s="52" t="str">
        <f>VLOOKUP(A21,[1]!Tableau_cotisants,2,FALSE)</f>
        <v>CHAGNEAU</v>
      </c>
      <c r="C21" s="52" t="str">
        <f>VLOOKUP(A21,[1]!Tableau_cotisants,3,FALSE)</f>
        <v>DESBORDES</v>
      </c>
      <c r="D21" s="52" t="str">
        <f>VLOOKUP(A21,[1]!Tableau_cotisants,4,FALSE)</f>
        <v>Paula</v>
      </c>
      <c r="E21" s="53">
        <f>VLOOKUP(A21,[1]!Tableau_cotisants,5,FALSE)</f>
        <v>1</v>
      </c>
      <c r="F21" s="52">
        <f>VLOOKUP(A21,[1]!Tableau_cotisants,6,FALSE)</f>
        <v>1</v>
      </c>
      <c r="G21" s="52">
        <f>VLOOKUP(A21,[1]!Tableau_cotisants,7,FALSE)</f>
        <v>0</v>
      </c>
      <c r="H21" s="54">
        <f>VLOOKUP(A21,[1]!Tableau_cotisants,8,FALSE)</f>
        <v>43125</v>
      </c>
      <c r="I21" s="54" t="str">
        <f t="shared" si="2"/>
        <v>1 an(s) 1 mois et 23 jour(s)</v>
      </c>
      <c r="J21" s="52" t="str">
        <f>VLOOKUP(A21,[1]!Tableau_cotisants,10,FALSE)</f>
        <v>Merpins</v>
      </c>
      <c r="K21" s="53" t="str">
        <f>VLOOKUP(A21,[1]!Tableau_cotisants,11,FALSE)</f>
        <v>Cognac</v>
      </c>
      <c r="L21" s="6">
        <v>1</v>
      </c>
      <c r="M21" s="5"/>
      <c r="N21" s="27">
        <v>1</v>
      </c>
      <c r="O21" s="26"/>
      <c r="P21" s="74"/>
      <c r="Q21" s="55"/>
      <c r="R21" s="55"/>
      <c r="S21" s="55"/>
    </row>
    <row r="22" spans="1:19" ht="12" customHeight="1">
      <c r="A22" s="113" t="s">
        <v>245</v>
      </c>
      <c r="B22" s="52" t="str">
        <f>VLOOKUP(A22,[1]!Tableau_cotisants,2,FALSE)</f>
        <v>CHAGNEAU</v>
      </c>
      <c r="C22" s="52" t="str">
        <f>VLOOKUP(A22,[1]!Tableau_cotisants,3,FALSE)</f>
        <v>MEUNIER</v>
      </c>
      <c r="D22" s="52" t="str">
        <f>VLOOKUP(A22,[1]!Tableau_cotisants,4,FALSE)</f>
        <v>Hugo</v>
      </c>
      <c r="E22" s="53">
        <f>VLOOKUP(A22,[1]!Tableau_cotisants,5,FALSE)</f>
        <v>1</v>
      </c>
      <c r="F22" s="52">
        <f>VLOOKUP(A22,[1]!Tableau_cotisants,6,FALSE)</f>
        <v>0</v>
      </c>
      <c r="G22" s="52">
        <f>VLOOKUP(A22,[1]!Tableau_cotisants,7,FALSE)</f>
        <v>1</v>
      </c>
      <c r="H22" s="54">
        <f>VLOOKUP(A22,[1]!Tableau_cotisants,8,FALSE)</f>
        <v>43284</v>
      </c>
      <c r="I22" s="54" t="str">
        <f t="shared" si="2"/>
        <v>0 an(s) 8 mois et 17 jour(s)</v>
      </c>
      <c r="J22" s="52" t="str">
        <f>VLOOKUP(A22,[1]!Tableau_cotisants,10,FALSE)</f>
        <v>Merpins</v>
      </c>
      <c r="K22" s="53" t="str">
        <f>VLOOKUP(A22,[1]!Tableau_cotisants,11,FALSE)</f>
        <v>Cognac</v>
      </c>
      <c r="L22" s="6">
        <v>1</v>
      </c>
      <c r="M22" s="5"/>
      <c r="N22" s="27">
        <v>1</v>
      </c>
      <c r="O22" s="26"/>
      <c r="P22" s="74"/>
      <c r="Q22" s="55"/>
      <c r="R22" s="55"/>
      <c r="S22" s="55"/>
    </row>
    <row r="23" spans="1:19" ht="12" customHeight="1">
      <c r="A23" s="111" t="s">
        <v>110</v>
      </c>
      <c r="B23" s="52" t="str">
        <f>VLOOKUP(A23,[1]!Tableau_cotisants,2,FALSE)</f>
        <v>LIENART DELABEYE</v>
      </c>
      <c r="C23" s="52" t="str">
        <f>VLOOKUP(A23,[1]!Tableau_cotisants,3,FALSE)</f>
        <v>LIENART</v>
      </c>
      <c r="D23" s="52" t="str">
        <f>VLOOKUP(A23,[1]!Tableau_cotisants,4,FALSE)</f>
        <v>Séverine</v>
      </c>
      <c r="E23" s="53">
        <f>VLOOKUP(A23,[1]!Tableau_cotisants,5,FALSE)</f>
        <v>0</v>
      </c>
      <c r="F23" s="52">
        <f>VLOOKUP(A23,[1]!Tableau_cotisants,6,FALSE)</f>
        <v>1</v>
      </c>
      <c r="G23" s="52">
        <f>VLOOKUP(A23,[1]!Tableau_cotisants,7,FALSE)</f>
        <v>0</v>
      </c>
      <c r="H23" s="54">
        <f>VLOOKUP(A23,[1]!Tableau_cotisants,8,FALSE)</f>
        <v>31438</v>
      </c>
      <c r="I23" s="54" t="str">
        <f t="shared" ref="I23:I26" si="3">DATEDIF(H23,Date_du_jour,"y") &amp; " an(s) " &amp; DATEDIF(H23,$C$2,"ym") &amp; " mois et " &amp; DATEDIF(H23,$C$2,"md") &amp; " jour(s)"</f>
        <v>33 an(s) 1 mois et 22 jour(s)</v>
      </c>
      <c r="J23" s="52" t="str">
        <f>VLOOKUP(A23,[1]!Tableau_cotisants,10,FALSE)</f>
        <v>ANGEAC CHAMPAGNE</v>
      </c>
      <c r="K23" s="53" t="str">
        <f>VLOOKUP(A23,[1]!Tableau_cotisants,11,FALSE)</f>
        <v>Champagne</v>
      </c>
      <c r="L23" s="6">
        <v>1</v>
      </c>
      <c r="M23" s="5"/>
      <c r="N23" s="27">
        <v>1</v>
      </c>
      <c r="O23" s="26"/>
      <c r="P23" s="74"/>
      <c r="Q23" s="55"/>
      <c r="R23" s="55"/>
      <c r="S23" s="55"/>
    </row>
    <row r="24" spans="1:19" ht="12" customHeight="1">
      <c r="A24" s="111" t="s">
        <v>115</v>
      </c>
      <c r="B24" s="52" t="str">
        <f>VLOOKUP(A24,[1]!Tableau_cotisants,2,FALSE)</f>
        <v>GABORIT-TRIJOL</v>
      </c>
      <c r="C24" s="52" t="str">
        <f>VLOOKUP(A24,[1]!Tableau_cotisants,3,FALSE)</f>
        <v>TRIJOL</v>
      </c>
      <c r="D24" s="52" t="str">
        <f>VLOOKUP(A24,[1]!Tableau_cotisants,4,FALSE)</f>
        <v>Alexandra</v>
      </c>
      <c r="E24" s="53">
        <f>VLOOKUP(A24,[1]!Tableau_cotisants,5,FALSE)</f>
        <v>0</v>
      </c>
      <c r="F24" s="52">
        <f>VLOOKUP(A24,[1]!Tableau_cotisants,6,FALSE)</f>
        <v>1</v>
      </c>
      <c r="G24" s="52">
        <f>VLOOKUP(A24,[1]!Tableau_cotisants,7,FALSE)</f>
        <v>0</v>
      </c>
      <c r="H24" s="54">
        <f>VLOOKUP(A24,[1]!Tableau_cotisants,8,FALSE)</f>
        <v>30766</v>
      </c>
      <c r="I24" s="54" t="str">
        <f t="shared" si="3"/>
        <v>34 an(s) 11 mois et 23 jour(s)</v>
      </c>
      <c r="J24" s="52" t="str">
        <f>VLOOKUP(A24,[1]!Tableau_cotisants,10,FALSE)</f>
        <v>Mainxe</v>
      </c>
      <c r="K24" s="53" t="str">
        <f>VLOOKUP(A24,[1]!Tableau_cotisants,11,FALSE)</f>
        <v>Jarnac</v>
      </c>
      <c r="L24" s="6">
        <v>1</v>
      </c>
      <c r="M24" s="5"/>
      <c r="N24" s="27">
        <v>1</v>
      </c>
      <c r="O24" s="26"/>
      <c r="P24" s="74"/>
      <c r="Q24" s="55"/>
      <c r="R24" s="55"/>
      <c r="S24" s="55"/>
    </row>
    <row r="25" spans="1:19" ht="12" customHeight="1">
      <c r="A25" s="153"/>
      <c r="B25" s="155" t="s">
        <v>256</v>
      </c>
      <c r="C25" s="155" t="s">
        <v>246</v>
      </c>
      <c r="D25" s="155" t="s">
        <v>211</v>
      </c>
      <c r="E25" s="156">
        <v>1</v>
      </c>
      <c r="F25" s="155">
        <v>1</v>
      </c>
      <c r="G25" s="155"/>
      <c r="H25" s="157">
        <v>29128</v>
      </c>
      <c r="I25" s="157" t="str">
        <f t="shared" si="3"/>
        <v>39 an(s) 5 mois et 18 jour(s)</v>
      </c>
      <c r="J25" s="155" t="s">
        <v>247</v>
      </c>
      <c r="K25" s="156" t="s">
        <v>224</v>
      </c>
      <c r="L25" s="6">
        <v>1</v>
      </c>
      <c r="M25" s="5"/>
      <c r="N25" s="27">
        <v>1</v>
      </c>
      <c r="O25" s="26"/>
      <c r="P25" s="74"/>
      <c r="Q25" s="55"/>
      <c r="R25" s="55"/>
      <c r="S25" s="55"/>
    </row>
    <row r="26" spans="1:19" ht="12" customHeight="1">
      <c r="A26" s="153"/>
      <c r="B26" s="155" t="s">
        <v>256</v>
      </c>
      <c r="C26" s="155" t="s">
        <v>257</v>
      </c>
      <c r="D26" s="155" t="s">
        <v>258</v>
      </c>
      <c r="E26" s="156">
        <v>1</v>
      </c>
      <c r="F26" s="155">
        <v>1</v>
      </c>
      <c r="G26" s="155"/>
      <c r="H26" s="157">
        <v>42816</v>
      </c>
      <c r="I26" s="157" t="str">
        <f t="shared" si="3"/>
        <v>1 an(s) 11 mois et 26 jour(s)</v>
      </c>
      <c r="J26" s="155" t="s">
        <v>247</v>
      </c>
      <c r="K26" s="156" t="s">
        <v>224</v>
      </c>
      <c r="L26" s="6">
        <v>1</v>
      </c>
      <c r="M26" s="5"/>
      <c r="N26" s="27">
        <v>1</v>
      </c>
      <c r="O26" s="26"/>
      <c r="P26" s="74"/>
      <c r="Q26" s="55"/>
      <c r="R26" s="55"/>
      <c r="S26" s="55"/>
    </row>
    <row r="27" spans="1:19" ht="12" customHeight="1">
      <c r="A27" s="153"/>
      <c r="B27" s="125" t="s">
        <v>259</v>
      </c>
      <c r="C27" s="112"/>
      <c r="D27" s="112"/>
      <c r="E27" s="53"/>
      <c r="F27" s="52"/>
      <c r="G27" s="52"/>
      <c r="H27" s="54"/>
      <c r="I27" s="54"/>
      <c r="J27" s="52"/>
      <c r="K27" s="53"/>
      <c r="L27" s="6"/>
      <c r="M27" s="5"/>
      <c r="N27" s="27"/>
      <c r="O27" s="26"/>
      <c r="P27" s="74"/>
      <c r="Q27" s="55"/>
      <c r="R27" s="55"/>
      <c r="S27" s="55"/>
    </row>
    <row r="28" spans="1:19" ht="12" customHeight="1">
      <c r="A28" s="109" t="s">
        <v>207</v>
      </c>
      <c r="B28" s="56" t="str">
        <f>VLOOKUP(A28,[1]!Tableau_cotisants,2,FALSE)</f>
        <v>BETTI JOSEPH</v>
      </c>
      <c r="C28" s="56" t="str">
        <f>VLOOKUP(A28,[1]!Tableau_cotisants,3,FALSE)</f>
        <v>BETTI</v>
      </c>
      <c r="D28" s="56" t="str">
        <f>VLOOKUP(A28,[1]!Tableau_cotisants,4,FALSE)</f>
        <v>Sandra</v>
      </c>
      <c r="E28" s="57">
        <f>VLOOKUP(A28,[1]!Tableau_cotisants,5,FALSE)</f>
        <v>0</v>
      </c>
      <c r="F28" s="56">
        <f>VLOOKUP(A28,[1]!Tableau_cotisants,6,FALSE)</f>
        <v>1</v>
      </c>
      <c r="G28" s="56">
        <f>VLOOKUP(A28,[1]!Tableau_cotisants,7,FALSE)</f>
        <v>0</v>
      </c>
      <c r="H28" s="58">
        <f>VLOOKUP(A28,[1]!Tableau_cotisants,8,FALSE)</f>
        <v>30077</v>
      </c>
      <c r="I28" s="58" t="str">
        <f t="shared" ref="I28" si="4">DATEDIF(H28,Date_du_jour,"y") &amp; " an(s) " &amp; DATEDIF(H28,$C$2,"ym") &amp; " mois et " &amp; DATEDIF(H28,$C$2,"md") &amp; " jour(s)"</f>
        <v>36 an(s) 10 mois et 14 jour(s)</v>
      </c>
      <c r="J28" s="56" t="str">
        <f>VLOOKUP(A28,[1]!Tableau_cotisants,10,FALSE)</f>
        <v>Lagarde sur le Né</v>
      </c>
      <c r="K28" s="57" t="str">
        <f>VLOOKUP(A28,[1]!Tableau_cotisants,11,FALSE)</f>
        <v>Hors_CDA</v>
      </c>
      <c r="L28" s="6"/>
      <c r="M28" s="5">
        <v>1</v>
      </c>
      <c r="N28" s="27">
        <v>1</v>
      </c>
      <c r="O28" s="26"/>
      <c r="P28" s="74"/>
      <c r="Q28" s="55"/>
      <c r="R28" s="55"/>
      <c r="S28" s="55">
        <v>1</v>
      </c>
    </row>
    <row r="29" spans="1:19" ht="12" customHeight="1">
      <c r="A29" s="109" t="s">
        <v>208</v>
      </c>
      <c r="B29" s="56" t="str">
        <f>VLOOKUP(A29,[1]!Tableau_cotisants,2,FALSE)</f>
        <v>BETTI JOSEPH</v>
      </c>
      <c r="C29" s="56" t="str">
        <f>VLOOKUP(A29,[1]!Tableau_cotisants,3,FALSE)</f>
        <v>BETTI JOSEPH</v>
      </c>
      <c r="D29" s="56" t="str">
        <f>VLOOKUP(A29,[1]!Tableau_cotisants,4,FALSE)</f>
        <v>Milan</v>
      </c>
      <c r="E29" s="57">
        <f>VLOOKUP(A29,[1]!Tableau_cotisants,5,FALSE)</f>
        <v>0</v>
      </c>
      <c r="F29" s="56">
        <f>VLOOKUP(A29,[1]!Tableau_cotisants,6,FALSE)</f>
        <v>0</v>
      </c>
      <c r="G29" s="56">
        <f>VLOOKUP(A29,[1]!Tableau_cotisants,7,FALSE)</f>
        <v>1</v>
      </c>
      <c r="H29" s="58">
        <f>VLOOKUP(A29,[1]!Tableau_cotisants,8,FALSE)</f>
        <v>39998</v>
      </c>
      <c r="I29" s="58" t="str">
        <f t="shared" ref="I29:I33" si="5">DATEDIF(H29,Date_du_jour,"y") &amp; " an(s) " &amp; DATEDIF(H29,$C$2,"ym") &amp; " mois et " &amp; DATEDIF(H29,$C$2,"md") &amp; " jour(s)"</f>
        <v>9 an(s) 8 mois et 16 jour(s)</v>
      </c>
      <c r="J29" s="56" t="str">
        <f>VLOOKUP(A29,[1]!Tableau_cotisants,10,FALSE)</f>
        <v>Lagarde sur le Né</v>
      </c>
      <c r="K29" s="57" t="str">
        <f>VLOOKUP(A29,[1]!Tableau_cotisants,11,FALSE)</f>
        <v>Hors_CDA</v>
      </c>
      <c r="L29" s="6"/>
      <c r="M29" s="5">
        <v>1</v>
      </c>
      <c r="N29" s="27">
        <v>1</v>
      </c>
      <c r="O29" s="26"/>
      <c r="P29" s="74"/>
      <c r="Q29" s="55"/>
      <c r="R29" s="55"/>
      <c r="S29" s="55">
        <v>1</v>
      </c>
    </row>
    <row r="30" spans="1:19" ht="12" customHeight="1">
      <c r="A30" s="109" t="s">
        <v>209</v>
      </c>
      <c r="B30" s="56" t="str">
        <f>VLOOKUP(A30,[1]!Tableau_cotisants,2,FALSE)</f>
        <v>BETTI JOSEPH</v>
      </c>
      <c r="C30" s="56" t="str">
        <f>VLOOKUP(A30,[1]!Tableau_cotisants,3,FALSE)</f>
        <v>BETTI JOSEPH</v>
      </c>
      <c r="D30" s="56" t="str">
        <f>VLOOKUP(A30,[1]!Tableau_cotisants,4,FALSE)</f>
        <v>Tilia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42247</v>
      </c>
      <c r="I30" s="58" t="str">
        <f t="shared" si="5"/>
        <v>3 an(s) 6 mois et 17 jour(s)</v>
      </c>
      <c r="J30" s="56" t="str">
        <f>VLOOKUP(A30,[1]!Tableau_cotisants,10,FALSE)</f>
        <v>Lagarde sur le Né</v>
      </c>
      <c r="K30" s="57" t="str">
        <f>VLOOKUP(A30,[1]!Tableau_cotisants,11,FALSE)</f>
        <v>Hors_CDA</v>
      </c>
      <c r="L30" s="6"/>
      <c r="M30" s="5">
        <v>1</v>
      </c>
      <c r="N30" s="27">
        <v>1</v>
      </c>
      <c r="O30" s="26"/>
      <c r="P30" s="74"/>
      <c r="Q30" s="55"/>
      <c r="R30" s="55"/>
      <c r="S30" s="55">
        <v>1</v>
      </c>
    </row>
    <row r="31" spans="1:19" ht="12" customHeight="1">
      <c r="A31" s="122" t="s">
        <v>250</v>
      </c>
      <c r="B31" s="56" t="str">
        <f>VLOOKUP(A31,[1]!Tableau_cotisants,2,FALSE)</f>
        <v>MOREAU</v>
      </c>
      <c r="C31" s="56" t="str">
        <f>VLOOKUP(A31,[1]!Tableau_cotisants,3,FALSE)</f>
        <v>MOREAU</v>
      </c>
      <c r="D31" s="56" t="str">
        <f>VLOOKUP(A31,[1]!Tableau_cotisants,4,FALSE)</f>
        <v>Caroline</v>
      </c>
      <c r="E31" s="57">
        <f>VLOOKUP(A31,[1]!Tableau_cotisants,5,FALSE)</f>
        <v>0</v>
      </c>
      <c r="F31" s="56">
        <f>VLOOKUP(A31,[1]!Tableau_cotisants,6,FALSE)</f>
        <v>1</v>
      </c>
      <c r="G31" s="56">
        <f>VLOOKUP(A31,[1]!Tableau_cotisants,7,FALSE)</f>
        <v>0</v>
      </c>
      <c r="H31" s="58">
        <f>VLOOKUP(A31,[1]!Tableau_cotisants,8,FALSE)</f>
        <v>29123</v>
      </c>
      <c r="I31" s="58" t="str">
        <f t="shared" si="5"/>
        <v>39 an(s) 5 mois et 23 jour(s)</v>
      </c>
      <c r="J31" s="56" t="str">
        <f>VLOOKUP(A31,[1]!Tableau_cotisants,10,FALSE)</f>
        <v>SEGONZAC</v>
      </c>
      <c r="K31" s="57" t="str">
        <f>VLOOKUP(A31,[1]!Tableau_cotisants,11,FALSE)</f>
        <v>Champagne</v>
      </c>
      <c r="L31" s="6"/>
      <c r="M31" s="5">
        <v>1</v>
      </c>
      <c r="N31" s="27">
        <v>1</v>
      </c>
      <c r="O31" s="26"/>
      <c r="P31" s="74"/>
      <c r="Q31" s="55"/>
      <c r="R31" s="55"/>
      <c r="S31" s="55">
        <v>1</v>
      </c>
    </row>
    <row r="32" spans="1:19" ht="12" customHeight="1">
      <c r="A32" s="122" t="s">
        <v>248</v>
      </c>
      <c r="B32" s="56" t="str">
        <f>VLOOKUP(A32,[1]!Tableau_cotisants,2,FALSE)</f>
        <v>MOREAU</v>
      </c>
      <c r="C32" s="56" t="str">
        <f>VLOOKUP(A32,[1]!Tableau_cotisants,3,FALSE)</f>
        <v>MOREAU</v>
      </c>
      <c r="D32" s="56" t="str">
        <f>VLOOKUP(A32,[1]!Tableau_cotisants,4,FALSE)</f>
        <v>Eliot</v>
      </c>
      <c r="E32" s="57">
        <f>VLOOKUP(A32,[1]!Tableau_cotisants,5,FALSE)</f>
        <v>0</v>
      </c>
      <c r="F32" s="56">
        <f>VLOOKUP(A32,[1]!Tableau_cotisants,6,FALSE)</f>
        <v>0</v>
      </c>
      <c r="G32" s="56">
        <f>VLOOKUP(A32,[1]!Tableau_cotisants,7,FALSE)</f>
        <v>1</v>
      </c>
      <c r="H32" s="58">
        <f>VLOOKUP(A32,[1]!Tableau_cotisants,8,FALSE)</f>
        <v>40452</v>
      </c>
      <c r="I32" s="58" t="str">
        <f t="shared" si="5"/>
        <v>8 an(s) 5 mois et 19 jour(s)</v>
      </c>
      <c r="J32" s="56" t="str">
        <f>VLOOKUP(A32,[1]!Tableau_cotisants,10,FALSE)</f>
        <v>SEGONZAC</v>
      </c>
      <c r="K32" s="57" t="str">
        <f>VLOOKUP(A32,[1]!Tableau_cotisants,11,FALSE)</f>
        <v>Champagne</v>
      </c>
      <c r="L32" s="6"/>
      <c r="M32" s="5">
        <v>1</v>
      </c>
      <c r="N32" s="27">
        <v>1</v>
      </c>
      <c r="O32" s="26"/>
      <c r="P32" s="74"/>
      <c r="Q32" s="55"/>
      <c r="R32" s="55"/>
      <c r="S32" s="55">
        <v>1</v>
      </c>
    </row>
    <row r="33" spans="1:19" ht="12" customHeight="1">
      <c r="A33" s="122" t="s">
        <v>249</v>
      </c>
      <c r="B33" s="56" t="str">
        <f>VLOOKUP(A33,[1]!Tableau_cotisants,2,FALSE)</f>
        <v>MOREAU</v>
      </c>
      <c r="C33" s="56" t="str">
        <f>VLOOKUP(A33,[1]!Tableau_cotisants,3,FALSE)</f>
        <v>MOREAU</v>
      </c>
      <c r="D33" s="56" t="str">
        <f>VLOOKUP(A33,[1]!Tableau_cotisants,4,FALSE)</f>
        <v>Lily</v>
      </c>
      <c r="E33" s="57">
        <f>VLOOKUP(A33,[1]!Tableau_cotisants,5,FALSE)</f>
        <v>0</v>
      </c>
      <c r="F33" s="56">
        <f>VLOOKUP(A33,[1]!Tableau_cotisants,6,FALSE)</f>
        <v>1</v>
      </c>
      <c r="G33" s="56">
        <f>VLOOKUP(A33,[1]!Tableau_cotisants,7,FALSE)</f>
        <v>0</v>
      </c>
      <c r="H33" s="58">
        <f>VLOOKUP(A33,[1]!Tableau_cotisants,8,FALSE)</f>
        <v>41223</v>
      </c>
      <c r="I33" s="58" t="str">
        <f t="shared" si="5"/>
        <v>6 an(s) 4 mois et 10 jour(s)</v>
      </c>
      <c r="J33" s="56" t="str">
        <f>VLOOKUP(A33,[1]!Tableau_cotisants,10,FALSE)</f>
        <v>SEGONZAC</v>
      </c>
      <c r="K33" s="57" t="str">
        <f>VLOOKUP(A33,[1]!Tableau_cotisants,11,FALSE)</f>
        <v>Champagne</v>
      </c>
      <c r="L33" s="6"/>
      <c r="M33" s="5">
        <v>1</v>
      </c>
      <c r="N33" s="27">
        <v>1</v>
      </c>
      <c r="O33" s="26"/>
      <c r="P33" s="74"/>
      <c r="Q33" s="55"/>
      <c r="R33" s="55"/>
      <c r="S33" s="55">
        <v>1</v>
      </c>
    </row>
    <row r="34" spans="1:19" ht="12" customHeight="1">
      <c r="A34" s="121" t="s">
        <v>77</v>
      </c>
      <c r="B34" s="56" t="str">
        <f>VLOOKUP(A34,[1]!Tableau_cotisants,2,FALSE)</f>
        <v>DEGRIS</v>
      </c>
      <c r="C34" s="56" t="str">
        <f>VLOOKUP(A34,[1]!Tableau_cotisants,3,FALSE)</f>
        <v>DEGRIS</v>
      </c>
      <c r="D34" s="56" t="str">
        <f>VLOOKUP(A34,[1]!Tableau_cotisants,4,FALSE)</f>
        <v>Laura</v>
      </c>
      <c r="E34" s="57">
        <f>VLOOKUP(A34,[1]!Tableau_cotisants,5,FALSE)</f>
        <v>1</v>
      </c>
      <c r="F34" s="56">
        <f>VLOOKUP(A34,[1]!Tableau_cotisants,6,FALSE)</f>
        <v>1</v>
      </c>
      <c r="G34" s="56">
        <f>VLOOKUP(A34,[1]!Tableau_cotisants,7,FALSE)</f>
        <v>0</v>
      </c>
      <c r="H34" s="58">
        <f>VLOOKUP(A34,[1]!Tableau_cotisants,8,FALSE)</f>
        <v>32556</v>
      </c>
      <c r="I34" s="58" t="str">
        <f t="shared" ref="I34:I39" si="6">DATEDIF(H34,Date_du_jour,"y") &amp; " an(s) " &amp; DATEDIF(H34,$C$2,"ym") &amp; " mois et " &amp; DATEDIF(H34,$C$2,"md") &amp; " jour(s)"</f>
        <v>30 an(s) 1 mois et 3 jour(s)</v>
      </c>
      <c r="J34" s="56" t="str">
        <f>VLOOKUP(A34,[1]!Tableau_cotisants,10,FALSE)</f>
        <v>SALLES D'ANGLES</v>
      </c>
      <c r="K34" s="57" t="str">
        <f>VLOOKUP(A34,[1]!Tableau_cotisants,11,FALSE)</f>
        <v>Champagne</v>
      </c>
      <c r="L34" s="6"/>
      <c r="M34" s="5">
        <v>1</v>
      </c>
      <c r="N34" s="27">
        <v>1</v>
      </c>
      <c r="O34" s="26"/>
      <c r="P34" s="74"/>
      <c r="Q34" s="55"/>
      <c r="R34" s="55"/>
      <c r="S34" s="55">
        <v>1</v>
      </c>
    </row>
    <row r="35" spans="1:19" ht="12" customHeight="1">
      <c r="A35" s="121" t="s">
        <v>79</v>
      </c>
      <c r="B35" s="56" t="str">
        <f>VLOOKUP(A35,[1]!Tableau_cotisants,2,FALSE)</f>
        <v>DEGRIS</v>
      </c>
      <c r="C35" s="56" t="str">
        <f>VLOOKUP(A35,[1]!Tableau_cotisants,3,FALSE)</f>
        <v>GUYOT</v>
      </c>
      <c r="D35" s="56" t="str">
        <f>VLOOKUP(A35,[1]!Tableau_cotisants,4,FALSE)</f>
        <v>Léanne</v>
      </c>
      <c r="E35" s="57">
        <f>VLOOKUP(A35,[1]!Tableau_cotisants,5,FALSE)</f>
        <v>1</v>
      </c>
      <c r="F35" s="56">
        <f>VLOOKUP(A35,[1]!Tableau_cotisants,6,FALSE)</f>
        <v>1</v>
      </c>
      <c r="G35" s="56">
        <f>VLOOKUP(A35,[1]!Tableau_cotisants,7,FALSE)</f>
        <v>0</v>
      </c>
      <c r="H35" s="58">
        <f>VLOOKUP(A35,[1]!Tableau_cotisants,8,FALSE)</f>
        <v>41202</v>
      </c>
      <c r="I35" s="58" t="str">
        <f t="shared" si="6"/>
        <v>6 an(s) 5 mois et 0 jour(s)</v>
      </c>
      <c r="J35" s="56" t="str">
        <f>VLOOKUP(A35,[1]!Tableau_cotisants,10,FALSE)</f>
        <v>SALLES D'ANGLES</v>
      </c>
      <c r="K35" s="57" t="str">
        <f>VLOOKUP(A35,[1]!Tableau_cotisants,11,FALSE)</f>
        <v>Champagne</v>
      </c>
      <c r="L35" s="6"/>
      <c r="M35" s="5">
        <v>1</v>
      </c>
      <c r="N35" s="27">
        <v>1</v>
      </c>
      <c r="O35" s="26"/>
      <c r="P35" s="74"/>
      <c r="Q35" s="55"/>
      <c r="R35" s="55"/>
      <c r="S35" s="55">
        <v>1</v>
      </c>
    </row>
    <row r="36" spans="1:19" ht="12" customHeight="1">
      <c r="A36" s="121" t="s">
        <v>78</v>
      </c>
      <c r="B36" s="56" t="str">
        <f>VLOOKUP(A36,[1]!Tableau_cotisants,2,FALSE)</f>
        <v>DEGRIS</v>
      </c>
      <c r="C36" s="56" t="str">
        <f>VLOOKUP(A36,[1]!Tableau_cotisants,3,FALSE)</f>
        <v>GUYOT</v>
      </c>
      <c r="D36" s="56" t="str">
        <f>VLOOKUP(A36,[1]!Tableau_cotisants,4,FALSE)</f>
        <v>Nathan</v>
      </c>
      <c r="E36" s="57">
        <f>VLOOKUP(A36,[1]!Tableau_cotisants,5,FALSE)</f>
        <v>1</v>
      </c>
      <c r="F36" s="56">
        <f>VLOOKUP(A36,[1]!Tableau_cotisants,6,FALSE)</f>
        <v>0</v>
      </c>
      <c r="G36" s="56">
        <f>VLOOKUP(A36,[1]!Tableau_cotisants,7,FALSE)</f>
        <v>1</v>
      </c>
      <c r="H36" s="58">
        <f>VLOOKUP(A36,[1]!Tableau_cotisants,8,FALSE)</f>
        <v>42354</v>
      </c>
      <c r="I36" s="58" t="str">
        <f t="shared" si="6"/>
        <v>3 an(s) 3 mois et 4 jour(s)</v>
      </c>
      <c r="J36" s="56" t="str">
        <f>VLOOKUP(A36,[1]!Tableau_cotisants,10,FALSE)</f>
        <v>SALLES D'ANGLES</v>
      </c>
      <c r="K36" s="57" t="str">
        <f>VLOOKUP(A36,[1]!Tableau_cotisants,11,FALSE)</f>
        <v>Champagne</v>
      </c>
      <c r="L36" s="6"/>
      <c r="M36" s="5">
        <v>1</v>
      </c>
      <c r="N36" s="27">
        <v>1</v>
      </c>
      <c r="O36" s="26"/>
      <c r="P36" s="74"/>
      <c r="Q36" s="55"/>
      <c r="R36" s="55"/>
      <c r="S36" s="55"/>
    </row>
    <row r="37" spans="1:19" ht="12" customHeight="1">
      <c r="A37" s="121" t="s">
        <v>132</v>
      </c>
      <c r="B37" s="56" t="str">
        <f>VLOOKUP(A37,[1]!Tableau_cotisants,2,FALSE)</f>
        <v>DEGRIS</v>
      </c>
      <c r="C37" s="56" t="str">
        <f>VLOOKUP(A37,[1]!Tableau_cotisants,3,FALSE)</f>
        <v>GABORIT TRIJOL</v>
      </c>
      <c r="D37" s="56" t="str">
        <f>VLOOKUP(A37,[1]!Tableau_cotisants,4,FALSE)</f>
        <v>Marceau</v>
      </c>
      <c r="E37" s="57">
        <f>VLOOKUP(A37,[1]!Tableau_cotisants,5,FALSE)</f>
        <v>1</v>
      </c>
      <c r="F37" s="56">
        <f>VLOOKUP(A37,[1]!Tableau_cotisants,6,FALSE)</f>
        <v>0</v>
      </c>
      <c r="G37" s="56">
        <f>VLOOKUP(A37,[1]!Tableau_cotisants,7,FALSE)</f>
        <v>1</v>
      </c>
      <c r="H37" s="58">
        <f>VLOOKUP(A37,[1]!Tableau_cotisants,8,FALSE)</f>
        <v>43002</v>
      </c>
      <c r="I37" s="58" t="str">
        <f t="shared" si="6"/>
        <v>1 an(s) 5 mois et 24 jour(s)</v>
      </c>
      <c r="J37" s="56" t="str">
        <f>VLOOKUP(A37,[1]!Tableau_cotisants,10,FALSE)</f>
        <v>SALLES D'ANGLES</v>
      </c>
      <c r="K37" s="57" t="str">
        <f>VLOOKUP(A37,[1]!Tableau_cotisants,11,FALSE)</f>
        <v>Champagne</v>
      </c>
      <c r="L37" s="6"/>
      <c r="M37" s="5">
        <v>1</v>
      </c>
      <c r="N37" s="27">
        <v>1</v>
      </c>
      <c r="O37" s="26"/>
      <c r="P37" s="74"/>
      <c r="Q37" s="55"/>
      <c r="R37" s="55"/>
      <c r="S37" s="55"/>
    </row>
    <row r="38" spans="1:19" ht="12" customHeight="1">
      <c r="A38" s="121" t="s">
        <v>133</v>
      </c>
      <c r="B38" s="56" t="str">
        <f>VLOOKUP(A38,[1]!Tableau_cotisants,2,FALSE)</f>
        <v>DEGRIS</v>
      </c>
      <c r="C38" s="56" t="str">
        <f>VLOOKUP(A38,[1]!Tableau_cotisants,3,FALSE)</f>
        <v>Enfant gardé</v>
      </c>
      <c r="D38" s="56" t="str">
        <f>VLOOKUP(A38,[1]!Tableau_cotisants,4,FALSE)</f>
        <v>Aëlynn</v>
      </c>
      <c r="E38" s="57">
        <f>VLOOKUP(A38,[1]!Tableau_cotisants,5,FALSE)</f>
        <v>1</v>
      </c>
      <c r="F38" s="56">
        <f>VLOOKUP(A38,[1]!Tableau_cotisants,6,FALSE)</f>
        <v>1</v>
      </c>
      <c r="G38" s="56">
        <f>VLOOKUP(A38,[1]!Tableau_cotisants,7,FALSE)</f>
        <v>0</v>
      </c>
      <c r="H38" s="58">
        <f>VLOOKUP(A38,[1]!Tableau_cotisants,8,FALSE)</f>
        <v>43313</v>
      </c>
      <c r="I38" s="58" t="str">
        <f t="shared" si="6"/>
        <v>0 an(s) 7 mois et 19 jour(s)</v>
      </c>
      <c r="J38" s="56" t="str">
        <f>VLOOKUP(A38,[1]!Tableau_cotisants,10,FALSE)</f>
        <v>SALLES D'ANGLES</v>
      </c>
      <c r="K38" s="57" t="str">
        <f>VLOOKUP(A38,[1]!Tableau_cotisants,11,FALSE)</f>
        <v>Champagne</v>
      </c>
      <c r="L38" s="6"/>
      <c r="M38" s="5">
        <v>1</v>
      </c>
      <c r="N38" s="27">
        <v>1</v>
      </c>
      <c r="O38" s="26"/>
      <c r="P38" s="74"/>
      <c r="Q38" s="55"/>
      <c r="R38" s="55"/>
      <c r="S38" s="55"/>
    </row>
    <row r="39" spans="1:19" ht="12" customHeight="1">
      <c r="A39" s="154"/>
      <c r="B39" s="158" t="s">
        <v>251</v>
      </c>
      <c r="C39" s="158" t="s">
        <v>252</v>
      </c>
      <c r="D39" s="158" t="s">
        <v>253</v>
      </c>
      <c r="E39" s="159"/>
      <c r="F39" s="158">
        <v>1</v>
      </c>
      <c r="G39" s="158"/>
      <c r="H39" s="160">
        <v>41202</v>
      </c>
      <c r="I39" s="160" t="str">
        <f t="shared" si="6"/>
        <v>6 an(s) 5 mois et 0 jour(s)</v>
      </c>
      <c r="J39" s="158" t="s">
        <v>254</v>
      </c>
      <c r="K39" s="159" t="s">
        <v>255</v>
      </c>
      <c r="L39" s="6"/>
      <c r="M39" s="5">
        <v>1</v>
      </c>
      <c r="N39" s="27">
        <v>1</v>
      </c>
      <c r="O39" s="26"/>
      <c r="P39" s="74"/>
      <c r="Q39" s="55"/>
      <c r="R39" s="55"/>
      <c r="S39" s="55">
        <v>1</v>
      </c>
    </row>
    <row r="40" spans="1:19" ht="12" customHeight="1">
      <c r="A40" s="113" t="s">
        <v>260</v>
      </c>
      <c r="B40" s="56" t="str">
        <f>VLOOKUP(A40,[1]!Tableau_cotisants,2,FALSE)</f>
        <v>GUERARD/REDEUIL</v>
      </c>
      <c r="C40" s="56" t="str">
        <f>VLOOKUP(A40,[1]!Tableau_cotisants,3,FALSE)</f>
        <v>REDEUIL</v>
      </c>
      <c r="D40" s="56" t="str">
        <f>VLOOKUP(A40,[1]!Tableau_cotisants,4,FALSE)</f>
        <v>Florence</v>
      </c>
      <c r="E40" s="57">
        <f>VLOOKUP(A40,[1]!Tableau_cotisants,5,FALSE)</f>
        <v>0</v>
      </c>
      <c r="F40" s="56">
        <f>VLOOKUP(A40,[1]!Tableau_cotisants,6,FALSE)</f>
        <v>1</v>
      </c>
      <c r="G40" s="56">
        <f>VLOOKUP(A40,[1]!Tableau_cotisants,7,FALSE)</f>
        <v>0</v>
      </c>
      <c r="H40" s="58">
        <f>VLOOKUP(A40,[1]!Tableau_cotisants,8,FALSE)</f>
        <v>23515</v>
      </c>
      <c r="I40" s="58" t="str">
        <f t="shared" ref="I40" si="7">DATEDIF(H40,Date_du_jour,"y") &amp; " an(s) " &amp; DATEDIF(H40,$C$2,"ym") &amp; " mois et " &amp; DATEDIF(H40,$C$2,"md") &amp; " jour(s)"</f>
        <v>54 an(s) 10 mois et 2 jour(s)</v>
      </c>
      <c r="J40" s="56" t="str">
        <f>VLOOKUP(A40,[1]!Tableau_cotisants,10,FALSE)</f>
        <v>SEGONZAC</v>
      </c>
      <c r="K40" s="57" t="str">
        <f>VLOOKUP(A40,[1]!Tableau_cotisants,11,FALSE)</f>
        <v>Champagne</v>
      </c>
      <c r="L40" s="6"/>
      <c r="M40" s="5">
        <v>1</v>
      </c>
      <c r="N40" s="27">
        <v>1</v>
      </c>
      <c r="O40" s="26"/>
      <c r="P40" s="74"/>
      <c r="Q40" s="55"/>
      <c r="R40" s="55"/>
      <c r="S40" s="55">
        <v>1</v>
      </c>
    </row>
    <row r="41" spans="1:19" ht="12" customHeight="1">
      <c r="A41" s="117" t="s">
        <v>125</v>
      </c>
      <c r="B41" s="56" t="str">
        <f>VLOOKUP(A41,[1]!Tableau_cotisants,2,FALSE)</f>
        <v>SANSAUD/MOREAU</v>
      </c>
      <c r="C41" s="56" t="str">
        <f>VLOOKUP(A41,[1]!Tableau_cotisants,3,FALSE)</f>
        <v>MOREAU</v>
      </c>
      <c r="D41" s="56" t="str">
        <f>VLOOKUP(A41,[1]!Tableau_cotisants,4,FALSE)</f>
        <v>Emmanuelle</v>
      </c>
      <c r="E41" s="57">
        <f>VLOOKUP(A41,[1]!Tableau_cotisants,5,FALSE)</f>
        <v>0</v>
      </c>
      <c r="F41" s="56">
        <f>VLOOKUP(A41,[1]!Tableau_cotisants,6,FALSE)</f>
        <v>1</v>
      </c>
      <c r="G41" s="56">
        <f>VLOOKUP(A41,[1]!Tableau_cotisants,7,FALSE)</f>
        <v>0</v>
      </c>
      <c r="H41" s="58">
        <f>VLOOKUP(A41,[1]!Tableau_cotisants,8,FALSE)</f>
        <v>29187</v>
      </c>
      <c r="I41" s="58" t="str">
        <f t="shared" ref="I41:I43" si="8">DATEDIF(H41,Date_du_jour,"y") &amp; " an(s) " &amp; DATEDIF(H41,$C$2,"ym") &amp; " mois et " &amp; DATEDIF(H41,$C$2,"md") &amp; " jour(s)"</f>
        <v>39 an(s) 3 mois et 20 jour(s)</v>
      </c>
      <c r="J41" s="56" t="str">
        <f>VLOOKUP(A41,[1]!Tableau_cotisants,10,FALSE)</f>
        <v>SEGONZAC</v>
      </c>
      <c r="K41" s="57" t="str">
        <f>VLOOKUP(A41,[1]!Tableau_cotisants,11,FALSE)</f>
        <v>Champagne</v>
      </c>
      <c r="L41" s="6"/>
      <c r="M41" s="5">
        <v>1</v>
      </c>
      <c r="N41" s="27"/>
      <c r="O41" s="26"/>
      <c r="P41" s="74">
        <v>1</v>
      </c>
      <c r="Q41" s="55"/>
      <c r="R41" s="55"/>
      <c r="S41" s="55"/>
    </row>
    <row r="42" spans="1:19" ht="12" customHeight="1">
      <c r="A42" s="117" t="s">
        <v>126</v>
      </c>
      <c r="B42" s="56" t="str">
        <f>VLOOKUP(A42,[1]!Tableau_cotisants,2,FALSE)</f>
        <v>SANSAUD/MOREAU</v>
      </c>
      <c r="C42" s="56" t="str">
        <f>VLOOKUP(A42,[1]!Tableau_cotisants,3,FALSE)</f>
        <v>SANSAUD</v>
      </c>
      <c r="D42" s="56" t="str">
        <f>VLOOKUP(A42,[1]!Tableau_cotisants,4,FALSE)</f>
        <v>Ethan</v>
      </c>
      <c r="E42" s="57">
        <f>VLOOKUP(A42,[1]!Tableau_cotisants,5,FALSE)</f>
        <v>0</v>
      </c>
      <c r="F42" s="56">
        <f>VLOOKUP(A42,[1]!Tableau_cotisants,6,FALSE)</f>
        <v>0</v>
      </c>
      <c r="G42" s="56">
        <f>VLOOKUP(A42,[1]!Tableau_cotisants,7,FALSE)</f>
        <v>1</v>
      </c>
      <c r="H42" s="58">
        <f>VLOOKUP(A42,[1]!Tableau_cotisants,8,FALSE)</f>
        <v>41015</v>
      </c>
      <c r="I42" s="58" t="str">
        <f t="shared" si="8"/>
        <v>6 an(s) 11 mois et 4 jour(s)</v>
      </c>
      <c r="J42" s="56" t="str">
        <f>VLOOKUP(A42,[1]!Tableau_cotisants,10,FALSE)</f>
        <v>SEGONZAC</v>
      </c>
      <c r="K42" s="57" t="str">
        <f>VLOOKUP(A42,[1]!Tableau_cotisants,11,FALSE)</f>
        <v>Champagne</v>
      </c>
      <c r="L42" s="6"/>
      <c r="M42" s="5">
        <v>1</v>
      </c>
      <c r="N42" s="27"/>
      <c r="O42" s="26"/>
      <c r="P42" s="74">
        <v>1</v>
      </c>
      <c r="Q42" s="55"/>
      <c r="R42" s="55"/>
      <c r="S42" s="55"/>
    </row>
    <row r="43" spans="1:19" ht="12" customHeight="1" thickBot="1">
      <c r="A43" s="117" t="s">
        <v>127</v>
      </c>
      <c r="B43" s="56" t="str">
        <f>VLOOKUP(A43,[1]!Tableau_cotisants,2,FALSE)</f>
        <v>SANSAUD/MOREAU</v>
      </c>
      <c r="C43" s="56" t="str">
        <f>VLOOKUP(A43,[1]!Tableau_cotisants,3,FALSE)</f>
        <v>SANSAUD</v>
      </c>
      <c r="D43" s="56" t="str">
        <f>VLOOKUP(A43,[1]!Tableau_cotisants,4,FALSE)</f>
        <v>Axel</v>
      </c>
      <c r="E43" s="57">
        <f>VLOOKUP(A43,[1]!Tableau_cotisants,5,FALSE)</f>
        <v>0</v>
      </c>
      <c r="F43" s="56">
        <f>VLOOKUP(A43,[1]!Tableau_cotisants,6,FALSE)</f>
        <v>0</v>
      </c>
      <c r="G43" s="56">
        <f>VLOOKUP(A43,[1]!Tableau_cotisants,7,FALSE)</f>
        <v>1</v>
      </c>
      <c r="H43" s="58">
        <f>VLOOKUP(A43,[1]!Tableau_cotisants,8,FALSE)</f>
        <v>42407</v>
      </c>
      <c r="I43" s="58" t="str">
        <f t="shared" si="8"/>
        <v>3 an(s) 1 mois et 13 jour(s)</v>
      </c>
      <c r="J43" s="56" t="str">
        <f>VLOOKUP(A43,[1]!Tableau_cotisants,10,FALSE)</f>
        <v>SEGONZAC</v>
      </c>
      <c r="K43" s="57" t="str">
        <f>VLOOKUP(A43,[1]!Tableau_cotisants,11,FALSE)</f>
        <v>Champagne</v>
      </c>
      <c r="L43" s="6"/>
      <c r="M43" s="5">
        <v>1</v>
      </c>
      <c r="N43" s="27"/>
      <c r="O43" s="26"/>
      <c r="P43" s="74">
        <v>1</v>
      </c>
      <c r="Q43" s="55"/>
      <c r="R43" s="55"/>
      <c r="S43" s="55"/>
    </row>
    <row r="44" spans="1:19" ht="19.5" thickBot="1">
      <c r="A44" s="100"/>
      <c r="B44" s="4"/>
      <c r="C44" s="4"/>
      <c r="D44" s="4"/>
      <c r="E44" s="4">
        <f>SUM(E5:E43)</f>
        <v>22</v>
      </c>
      <c r="F44" s="4">
        <f>SUM(F5:F43)</f>
        <v>22</v>
      </c>
      <c r="G44" s="4">
        <f>SUM(G5:G43)</f>
        <v>16</v>
      </c>
      <c r="H44" s="4"/>
      <c r="I44" s="4"/>
      <c r="J44" s="4"/>
      <c r="K44" s="18">
        <f>SUM(K7:K43)</f>
        <v>0</v>
      </c>
      <c r="L44" s="93">
        <f t="shared" ref="L44:S44" si="9">SUM(L5:L43)</f>
        <v>22</v>
      </c>
      <c r="M44" s="19">
        <f t="shared" si="9"/>
        <v>16</v>
      </c>
      <c r="N44" s="20">
        <f t="shared" si="9"/>
        <v>27</v>
      </c>
      <c r="O44" s="28">
        <f t="shared" si="9"/>
        <v>3</v>
      </c>
      <c r="P44" s="72">
        <f t="shared" si="9"/>
        <v>8</v>
      </c>
      <c r="Q44" s="79">
        <f t="shared" si="9"/>
        <v>0</v>
      </c>
      <c r="R44" s="80">
        <f t="shared" si="9"/>
        <v>0</v>
      </c>
      <c r="S44" s="81">
        <f t="shared" si="9"/>
        <v>10</v>
      </c>
    </row>
    <row r="45" spans="1:19" ht="24" thickBot="1">
      <c r="B45" t="s">
        <v>28</v>
      </c>
      <c r="C45" s="98"/>
      <c r="F45" s="201">
        <f>F44+G44</f>
        <v>38</v>
      </c>
      <c r="G45" s="201"/>
      <c r="L45" s="201">
        <f>L44+M44</f>
        <v>38</v>
      </c>
      <c r="M45" s="201"/>
      <c r="N45" s="202">
        <f>N44+O44+P44</f>
        <v>38</v>
      </c>
      <c r="O45" s="202"/>
      <c r="P45" s="202"/>
      <c r="Q45" s="151"/>
      <c r="R45" s="151"/>
      <c r="S45" s="151"/>
    </row>
    <row r="46" spans="1:19" ht="15.75" thickBot="1">
      <c r="B46" t="s">
        <v>75</v>
      </c>
      <c r="L46" s="22">
        <f>L44+'13 mars 2019'!L37</f>
        <v>107</v>
      </c>
      <c r="M46" s="23">
        <f>M44+'13 mars 2019'!M37</f>
        <v>110</v>
      </c>
      <c r="N46" s="24">
        <f>N44+'13 mars 2019'!N37</f>
        <v>111</v>
      </c>
      <c r="O46" s="25">
        <f>O44+'13 mars 2019'!O37</f>
        <v>26</v>
      </c>
      <c r="P46" s="84">
        <f>P44+'13 mars 2019'!P37</f>
        <v>80</v>
      </c>
      <c r="Q46" s="82">
        <f>Q44+'13 mars 2019'!Q37</f>
        <v>12</v>
      </c>
      <c r="R46" s="90">
        <f>R44+'13 mars 2019'!R37</f>
        <v>2</v>
      </c>
      <c r="S46" s="83">
        <f>S44+'13 mars 2019'!S37</f>
        <v>13</v>
      </c>
    </row>
    <row r="47" spans="1:19" ht="33" thickBot="1">
      <c r="L47" s="203">
        <f>L45+'13 mars 2019'!L38:M38</f>
        <v>217</v>
      </c>
      <c r="M47" s="204"/>
      <c r="N47" s="205">
        <f>N45+'13 mars 2019'!N38:P38</f>
        <v>217</v>
      </c>
      <c r="O47" s="206"/>
      <c r="P47" s="207"/>
    </row>
    <row r="48" spans="1:19">
      <c r="B48" t="s">
        <v>181</v>
      </c>
      <c r="C48" s="142" t="s">
        <v>185</v>
      </c>
      <c r="D48" t="s">
        <v>181</v>
      </c>
      <c r="E48" s="208" t="s">
        <v>182</v>
      </c>
      <c r="F48" s="209"/>
    </row>
    <row r="49" spans="1:8" ht="45">
      <c r="A49" s="140" t="s">
        <v>183</v>
      </c>
      <c r="B49" s="138"/>
      <c r="C49" s="139">
        <f>B49+'13 mars 2019'!C40</f>
        <v>8</v>
      </c>
      <c r="D49" s="138"/>
      <c r="E49" s="195">
        <f>D49+'13 mars 2019'!E40:F40</f>
        <v>56</v>
      </c>
      <c r="F49" s="196"/>
    </row>
    <row r="50" spans="1:8" ht="32.25">
      <c r="A50" s="141" t="s">
        <v>184</v>
      </c>
      <c r="B50" s="138">
        <v>2</v>
      </c>
      <c r="C50" s="139">
        <f>B50+'13 mars 2019'!C41</f>
        <v>10</v>
      </c>
      <c r="D50" s="138">
        <v>12</v>
      </c>
      <c r="E50" s="195">
        <f>D50+'13 mars 2019'!E41:F41</f>
        <v>75</v>
      </c>
      <c r="F50" s="196"/>
      <c r="H50" t="s">
        <v>261</v>
      </c>
    </row>
    <row r="51" spans="1:8">
      <c r="B51" s="151">
        <f>B50+B49</f>
        <v>2</v>
      </c>
      <c r="C51" s="151">
        <f>C50+C49</f>
        <v>18</v>
      </c>
      <c r="D51" s="151">
        <f>D50+D49</f>
        <v>12</v>
      </c>
      <c r="E51" s="210">
        <f>E50+E49</f>
        <v>131</v>
      </c>
      <c r="F51" s="210"/>
    </row>
  </sheetData>
  <mergeCells count="10">
    <mergeCell ref="L45:M45"/>
    <mergeCell ref="N45:P45"/>
    <mergeCell ref="L47:M47"/>
    <mergeCell ref="N47:P47"/>
    <mergeCell ref="E48:F48"/>
    <mergeCell ref="E49:F49"/>
    <mergeCell ref="E50:F50"/>
    <mergeCell ref="E51:F51"/>
    <mergeCell ref="F3:G3"/>
    <mergeCell ref="F45:G45"/>
  </mergeCells>
  <conditionalFormatting sqref="N47">
    <cfRule type="cellIs" dxfId="45" priority="4" operator="equal">
      <formula>$N$46+$O$46</formula>
    </cfRule>
  </conditionalFormatting>
  <conditionalFormatting sqref="N47">
    <cfRule type="cellIs" dxfId="44" priority="3" operator="equal">
      <formula>$N$52+$O$52</formula>
    </cfRule>
  </conditionalFormatting>
  <conditionalFormatting sqref="F45:G45 N45">
    <cfRule type="cellIs" dxfId="43" priority="1" operator="notEqual">
      <formula>$L$45</formula>
    </cfRule>
    <cfRule type="cellIs" dxfId="42" priority="2" operator="equal">
      <formula>$L$45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2:S53"/>
  <sheetViews>
    <sheetView workbookViewId="0">
      <pane ySplit="4" topLeftCell="A20" activePane="bottomLeft" state="frozen"/>
      <selection pane="bottomLeft" activeCell="A22" sqref="A22:S28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43551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10</v>
      </c>
    </row>
    <row r="3" spans="1:19" ht="21.75" thickBot="1">
      <c r="C3" s="60"/>
      <c r="D3" s="60"/>
      <c r="F3" s="199" t="s">
        <v>6</v>
      </c>
      <c r="G3" s="200"/>
      <c r="M3" t="s">
        <v>267</v>
      </c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11" t="s">
        <v>263</v>
      </c>
      <c r="B5" s="52" t="str">
        <f>VLOOKUP(A5,[1]!Tableau_cotisants,2,FALSE)</f>
        <v>DEFARGE</v>
      </c>
      <c r="C5" s="52" t="str">
        <f>VLOOKUP(A5,[1]!Tableau_cotisants,3,FALSE)</f>
        <v>DEFARGE</v>
      </c>
      <c r="D5" s="52" t="str">
        <f>VLOOKUP(A5,[1]!Tableau_cotisants,4,FALSE)</f>
        <v>Sonia</v>
      </c>
      <c r="E5" s="53">
        <f>VLOOKUP(A5,[1]!Tableau_cotisants,5,FALSE)</f>
        <v>0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27411</v>
      </c>
      <c r="I5" s="54" t="str">
        <f t="shared" ref="I5" si="0">DATEDIF(H5,Date_du_jour,"y") &amp; " an(s) " &amp; DATEDIF(H5,$C$2,"ym") &amp; " mois et " &amp; DATEDIF(H5,$C$2,"md") &amp; " jour(s)"</f>
        <v>44 an(s) 2 mois et 10 jour(s)</v>
      </c>
      <c r="J5" s="52" t="str">
        <f>VLOOKUP(A5,[1]!Tableau_cotisants,10,FALSE)</f>
        <v>Cognac</v>
      </c>
      <c r="K5" s="53" t="str">
        <f>VLOOKUP(A5,[1]!Tableau_cotisants,11,FALSE)</f>
        <v>Cognac</v>
      </c>
      <c r="L5" s="6">
        <v>1</v>
      </c>
      <c r="M5" s="5"/>
      <c r="N5" s="27"/>
      <c r="O5" s="26"/>
      <c r="P5" s="74">
        <v>1</v>
      </c>
      <c r="Q5" s="55"/>
      <c r="R5" s="55"/>
      <c r="S5" s="55"/>
    </row>
    <row r="6" spans="1:19" ht="12" customHeight="1">
      <c r="A6" s="111" t="s">
        <v>217</v>
      </c>
      <c r="B6" s="52" t="str">
        <f>VLOOKUP(A6,[1]!Tableau_cotisants,2,FALSE)</f>
        <v>DEFARGE</v>
      </c>
      <c r="C6" s="52" t="str">
        <f>VLOOKUP(A6,[1]!Tableau_cotisants,3,FALSE)</f>
        <v>DEFARGE</v>
      </c>
      <c r="D6" s="52" t="str">
        <f>VLOOKUP(A6,[1]!Tableau_cotisants,4,FALSE)</f>
        <v>Coraline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41450</v>
      </c>
      <c r="I6" s="54" t="str">
        <f t="shared" ref="I6" si="1">DATEDIF(H6,Date_du_jour,"y") &amp; " an(s) " &amp; DATEDIF(H6,$C$2,"ym") &amp; " mois et " &amp; DATEDIF(H6,$C$2,"md") &amp; " jour(s)"</f>
        <v>5 an(s) 9 mois et 2 jour(s)</v>
      </c>
      <c r="J6" s="52" t="str">
        <f>VLOOKUP(A6,[1]!Tableau_cotisants,10,FALSE)</f>
        <v>Cognac</v>
      </c>
      <c r="K6" s="53" t="str">
        <f>VLOOKUP(A6,[1]!Tableau_cotisants,11,FALSE)</f>
        <v>Cognac</v>
      </c>
      <c r="L6" s="6">
        <v>1</v>
      </c>
      <c r="M6" s="5"/>
      <c r="N6" s="27"/>
      <c r="O6" s="26"/>
      <c r="P6" s="74">
        <v>1</v>
      </c>
      <c r="Q6" s="55"/>
      <c r="R6" s="55"/>
      <c r="S6" s="55"/>
    </row>
    <row r="7" spans="1:19" ht="12" customHeight="1">
      <c r="A7" s="111" t="s">
        <v>218</v>
      </c>
      <c r="B7" s="52" t="str">
        <f>VLOOKUP(A7,[1]!Tableau_cotisants,2,FALSE)</f>
        <v>DEFARGE</v>
      </c>
      <c r="C7" s="52" t="str">
        <f>VLOOKUP(A7,[1]!Tableau_cotisants,3,FALSE)</f>
        <v>DEFARGE</v>
      </c>
      <c r="D7" s="52" t="str">
        <f>VLOOKUP(A7,[1]!Tableau_cotisants,4,FALSE)</f>
        <v>Robin</v>
      </c>
      <c r="E7" s="53">
        <f>VLOOKUP(A7,[1]!Tableau_cotisants,5,FALSE)</f>
        <v>0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42172</v>
      </c>
      <c r="I7" s="54" t="str">
        <f t="shared" ref="I7" si="2">DATEDIF(H7,Date_du_jour,"y") &amp; " an(s) " &amp; DATEDIF(H7,$C$2,"ym") &amp; " mois et " &amp; DATEDIF(H7,$C$2,"md") &amp; " jour(s)"</f>
        <v>3 an(s) 9 mois et 10 jour(s)</v>
      </c>
      <c r="J7" s="52" t="str">
        <f>VLOOKUP(A7,[1]!Tableau_cotisants,10,FALSE)</f>
        <v>Cognac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53" t="s">
        <v>109</v>
      </c>
      <c r="B8" s="52" t="str">
        <f>VLOOKUP(A8,[1]!Tableau_cotisants,2,FALSE)</f>
        <v>LIENART DELABEYE</v>
      </c>
      <c r="C8" s="52" t="str">
        <f>VLOOKUP(A8,[1]!Tableau_cotisants,3,FALSE)</f>
        <v>LIENART DELABEYE</v>
      </c>
      <c r="D8" s="52" t="str">
        <f>VLOOKUP(A8,[1]!Tableau_cotisants,4,FALSE)</f>
        <v>Brigitte</v>
      </c>
      <c r="E8" s="53">
        <f>VLOOKUP(A8,[1]!Tableau_cotisants,5,FALSE)</f>
        <v>0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20885</v>
      </c>
      <c r="I8" s="54" t="str">
        <f t="shared" ref="I8:I13" si="3">DATEDIF(H8,Date_du_jour,"y") &amp; " an(s) " &amp; DATEDIF(H8,$C$2,"ym") &amp; " mois et " &amp; DATEDIF(H8,$C$2,"md") &amp; " jour(s)"</f>
        <v>62 an(s) 0 mois et 21 jour(s)</v>
      </c>
      <c r="J8" s="52" t="str">
        <f>VLOOKUP(A8,[1]!Tableau_cotisants,10,FALSE)</f>
        <v>ANGEAC CHAMPAGNE</v>
      </c>
      <c r="K8" s="53" t="str">
        <f>VLOOKUP(A8,[1]!Tableau_cotisants,11,FALSE)</f>
        <v>Champagne</v>
      </c>
      <c r="L8" s="6">
        <v>1</v>
      </c>
      <c r="M8" s="5"/>
      <c r="N8" s="27">
        <v>1</v>
      </c>
      <c r="O8" s="26"/>
      <c r="P8" s="74"/>
      <c r="Q8" s="55"/>
      <c r="R8" s="55"/>
      <c r="S8" s="55"/>
    </row>
    <row r="9" spans="1:19" ht="12" customHeight="1">
      <c r="A9" s="103" t="s">
        <v>111</v>
      </c>
      <c r="B9" s="52" t="str">
        <f>VLOOKUP(A9,[1]!Tableau_cotisants,2,FALSE)</f>
        <v>LIENART DELABEYE</v>
      </c>
      <c r="C9" s="52" t="str">
        <f>VLOOKUP(A9,[1]!Tableau_cotisants,3,FALSE)</f>
        <v>LIENART</v>
      </c>
      <c r="D9" s="52" t="str">
        <f>VLOOKUP(A9,[1]!Tableau_cotisants,4,FALSE)</f>
        <v>Sacha</v>
      </c>
      <c r="E9" s="53">
        <f>VLOOKUP(A9,[1]!Tableau_cotisants,5,FALSE)</f>
        <v>0</v>
      </c>
      <c r="F9" s="52">
        <f>VLOOKUP(A9,[1]!Tableau_cotisants,6,FALSE)</f>
        <v>0</v>
      </c>
      <c r="G9" s="52">
        <f>VLOOKUP(A9,[1]!Tableau_cotisants,7,FALSE)</f>
        <v>1</v>
      </c>
      <c r="H9" s="54">
        <f>VLOOKUP(A9,[1]!Tableau_cotisants,8,FALSE)</f>
        <v>42830</v>
      </c>
      <c r="I9" s="54" t="str">
        <f t="shared" si="3"/>
        <v>1 an(s) 11 mois et 22 jour(s)</v>
      </c>
      <c r="J9" s="52" t="str">
        <f>VLOOKUP(A9,[1]!Tableau_cotisants,10,FALSE)</f>
        <v>ANGEAC CHAMPAGNE</v>
      </c>
      <c r="K9" s="53" t="str">
        <f>VLOOKUP(A9,[1]!Tableau_cotisants,11,FALSE)</f>
        <v>Champagne</v>
      </c>
      <c r="L9" s="6">
        <v>1</v>
      </c>
      <c r="M9" s="5"/>
      <c r="N9" s="27">
        <v>1</v>
      </c>
      <c r="O9" s="26"/>
      <c r="P9" s="74"/>
      <c r="Q9" s="55"/>
      <c r="R9" s="55"/>
      <c r="S9" s="55"/>
    </row>
    <row r="10" spans="1:19" ht="12" customHeight="1">
      <c r="A10" s="121" t="s">
        <v>77</v>
      </c>
      <c r="B10" s="52" t="str">
        <f>VLOOKUP(A10,[1]!Tableau_cotisants,2,FALSE)</f>
        <v>DEGRIS</v>
      </c>
      <c r="C10" s="52" t="str">
        <f>VLOOKUP(A10,[1]!Tableau_cotisants,3,FALSE)</f>
        <v>DEGRIS</v>
      </c>
      <c r="D10" s="52" t="str">
        <f>VLOOKUP(A10,[1]!Tableau_cotisants,4,FALSE)</f>
        <v>Laura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32556</v>
      </c>
      <c r="I10" s="54" t="str">
        <f t="shared" si="3"/>
        <v>30 an(s) 1 mois et 10 jour(s)</v>
      </c>
      <c r="J10" s="52" t="str">
        <f>VLOOKUP(A10,[1]!Tableau_cotisants,10,FALSE)</f>
        <v>SALLES D'ANGLES</v>
      </c>
      <c r="K10" s="53" t="str">
        <f>VLOOKUP(A10,[1]!Tableau_cotisants,11,FALSE)</f>
        <v>Champagne</v>
      </c>
      <c r="L10" s="6">
        <v>1</v>
      </c>
      <c r="M10" s="5"/>
      <c r="N10" s="27">
        <v>1</v>
      </c>
      <c r="O10" s="26"/>
      <c r="P10" s="74"/>
      <c r="Q10" s="55"/>
      <c r="R10" s="55"/>
      <c r="S10" s="55"/>
    </row>
    <row r="11" spans="1:19" ht="12" customHeight="1">
      <c r="A11" s="121" t="s">
        <v>79</v>
      </c>
      <c r="B11" s="52" t="str">
        <f>VLOOKUP(A11,[1]!Tableau_cotisants,2,FALSE)</f>
        <v>DEGRIS</v>
      </c>
      <c r="C11" s="52" t="str">
        <f>VLOOKUP(A11,[1]!Tableau_cotisants,3,FALSE)</f>
        <v>GUYOT</v>
      </c>
      <c r="D11" s="52" t="str">
        <f>VLOOKUP(A11,[1]!Tableau_cotisants,4,FALSE)</f>
        <v>Léanne</v>
      </c>
      <c r="E11" s="53">
        <f>VLOOKUP(A11,[1]!Tableau_cotisants,5,FALSE)</f>
        <v>1</v>
      </c>
      <c r="F11" s="52">
        <f>VLOOKUP(A11,[1]!Tableau_cotisants,6,FALSE)</f>
        <v>1</v>
      </c>
      <c r="G11" s="52">
        <f>VLOOKUP(A11,[1]!Tableau_cotisants,7,FALSE)</f>
        <v>0</v>
      </c>
      <c r="H11" s="54">
        <f>VLOOKUP(A11,[1]!Tableau_cotisants,8,FALSE)</f>
        <v>41202</v>
      </c>
      <c r="I11" s="54" t="str">
        <f t="shared" si="3"/>
        <v>6 an(s) 5 mois et 7 jour(s)</v>
      </c>
      <c r="J11" s="52" t="str">
        <f>VLOOKUP(A11,[1]!Tableau_cotisants,10,FALSE)</f>
        <v>SALLES D'ANGLES</v>
      </c>
      <c r="K11" s="53" t="str">
        <f>VLOOKUP(A11,[1]!Tableau_cotisants,11,FALSE)</f>
        <v>Champagne</v>
      </c>
      <c r="L11" s="6">
        <v>1</v>
      </c>
      <c r="M11" s="5"/>
      <c r="N11" s="27">
        <v>1</v>
      </c>
      <c r="O11" s="26"/>
      <c r="P11" s="74"/>
      <c r="Q11" s="55"/>
      <c r="R11" s="55"/>
      <c r="S11" s="55"/>
    </row>
    <row r="12" spans="1:19" ht="12" customHeight="1">
      <c r="A12" s="121" t="s">
        <v>78</v>
      </c>
      <c r="B12" s="52" t="str">
        <f>VLOOKUP(A12,[1]!Tableau_cotisants,2,FALSE)</f>
        <v>DEGRIS</v>
      </c>
      <c r="C12" s="52" t="str">
        <f>VLOOKUP(A12,[1]!Tableau_cotisants,3,FALSE)</f>
        <v>GUYOT</v>
      </c>
      <c r="D12" s="52" t="str">
        <f>VLOOKUP(A12,[1]!Tableau_cotisants,4,FALSE)</f>
        <v>Nathan</v>
      </c>
      <c r="E12" s="53">
        <f>VLOOKUP(A12,[1]!Tableau_cotisants,5,FALSE)</f>
        <v>1</v>
      </c>
      <c r="F12" s="52">
        <f>VLOOKUP(A12,[1]!Tableau_cotisants,6,FALSE)</f>
        <v>0</v>
      </c>
      <c r="G12" s="52">
        <f>VLOOKUP(A12,[1]!Tableau_cotisants,7,FALSE)</f>
        <v>1</v>
      </c>
      <c r="H12" s="54">
        <f>VLOOKUP(A12,[1]!Tableau_cotisants,8,FALSE)</f>
        <v>42354</v>
      </c>
      <c r="I12" s="54" t="str">
        <f t="shared" si="3"/>
        <v>3 an(s) 3 mois et 11 jour(s)</v>
      </c>
      <c r="J12" s="52" t="str">
        <f>VLOOKUP(A12,[1]!Tableau_cotisants,10,FALSE)</f>
        <v>SALLES D'ANGLES</v>
      </c>
      <c r="K12" s="53" t="str">
        <f>VLOOKUP(A12,[1]!Tableau_cotisants,11,FALSE)</f>
        <v>Champagne</v>
      </c>
      <c r="L12" s="6">
        <v>1</v>
      </c>
      <c r="M12" s="5"/>
      <c r="N12" s="27">
        <v>1</v>
      </c>
      <c r="O12" s="26"/>
      <c r="P12" s="74"/>
      <c r="Q12" s="55"/>
      <c r="R12" s="55"/>
      <c r="S12" s="55"/>
    </row>
    <row r="13" spans="1:19" ht="12" customHeight="1">
      <c r="A13" s="121" t="s">
        <v>133</v>
      </c>
      <c r="B13" s="52" t="str">
        <f>VLOOKUP(A13,[1]!Tableau_cotisants,2,FALSE)</f>
        <v>DEGRIS</v>
      </c>
      <c r="C13" s="52" t="str">
        <f>VLOOKUP(A13,[1]!Tableau_cotisants,3,FALSE)</f>
        <v>Enfant gardé</v>
      </c>
      <c r="D13" s="52" t="str">
        <f>VLOOKUP(A13,[1]!Tableau_cotisants,4,FALSE)</f>
        <v>Aëlynn</v>
      </c>
      <c r="E13" s="53">
        <f>VLOOKUP(A13,[1]!Tableau_cotisants,5,FALSE)</f>
        <v>1</v>
      </c>
      <c r="F13" s="52">
        <f>VLOOKUP(A13,[1]!Tableau_cotisants,6,FALSE)</f>
        <v>1</v>
      </c>
      <c r="G13" s="52">
        <f>VLOOKUP(A13,[1]!Tableau_cotisants,7,FALSE)</f>
        <v>0</v>
      </c>
      <c r="H13" s="54">
        <f>VLOOKUP(A13,[1]!Tableau_cotisants,8,FALSE)</f>
        <v>43313</v>
      </c>
      <c r="I13" s="54" t="str">
        <f t="shared" si="3"/>
        <v>0 an(s) 7 mois et 26 jour(s)</v>
      </c>
      <c r="J13" s="52" t="str">
        <f>VLOOKUP(A13,[1]!Tableau_cotisants,10,FALSE)</f>
        <v>SALLES D'ANGLES</v>
      </c>
      <c r="K13" s="53" t="str">
        <f>VLOOKUP(A13,[1]!Tableau_cotisants,11,FALSE)</f>
        <v>Champagne</v>
      </c>
      <c r="L13" s="6">
        <v>1</v>
      </c>
      <c r="M13" s="5"/>
      <c r="N13" s="27">
        <v>1</v>
      </c>
      <c r="O13" s="26"/>
      <c r="P13" s="74"/>
      <c r="Q13" s="55"/>
      <c r="R13" s="55"/>
      <c r="S13" s="55"/>
    </row>
    <row r="14" spans="1:19" ht="12" customHeight="1">
      <c r="A14" s="103" t="s">
        <v>264</v>
      </c>
      <c r="B14" s="52" t="str">
        <f>VLOOKUP(A14,[1]!Tableau_cotisants,2,FALSE)</f>
        <v>LIENART/HULIN</v>
      </c>
      <c r="C14" s="52" t="str">
        <f>VLOOKUP(A14,[1]!Tableau_cotisants,3,FALSE)</f>
        <v>LIENART</v>
      </c>
      <c r="D14" s="52" t="str">
        <f>VLOOKUP(A14,[1]!Tableau_cotisants,4,FALSE)</f>
        <v>Lionel</v>
      </c>
      <c r="E14" s="53">
        <f>VLOOKUP(A14,[1]!Tableau_cotisants,5,FALSE)</f>
        <v>0</v>
      </c>
      <c r="F14" s="52">
        <f>VLOOKUP(A14,[1]!Tableau_cotisants,6,FALSE)</f>
        <v>0</v>
      </c>
      <c r="G14" s="52">
        <f>VLOOKUP(A14,[1]!Tableau_cotisants,7,FALSE)</f>
        <v>1</v>
      </c>
      <c r="H14" s="54">
        <f>VLOOKUP(A14,[1]!Tableau_cotisants,8,FALSE)</f>
        <v>30966</v>
      </c>
      <c r="I14" s="54" t="str">
        <f t="shared" ref="I14:I16" si="4">DATEDIF(H14,Date_du_jour,"y") &amp; " an(s) " &amp; DATEDIF(H14,$C$2,"ym") &amp; " mois et " &amp; DATEDIF(H14,$C$2,"md") &amp; " jour(s)"</f>
        <v>34 an(s) 5 mois et 16 jour(s)</v>
      </c>
      <c r="J14" s="52" t="str">
        <f>VLOOKUP(A14,[1]!Tableau_cotisants,10,FALSE)</f>
        <v>ANGEAC CHAMPAGNE</v>
      </c>
      <c r="K14" s="53" t="str">
        <f>VLOOKUP(A14,[1]!Tableau_cotisants,11,FALSE)</f>
        <v>Champagne</v>
      </c>
      <c r="L14" s="6">
        <v>1</v>
      </c>
      <c r="M14" s="5"/>
      <c r="N14" s="27">
        <v>1</v>
      </c>
      <c r="O14" s="26"/>
      <c r="P14" s="74"/>
      <c r="Q14" s="55"/>
      <c r="R14" s="55"/>
      <c r="S14" s="55"/>
    </row>
    <row r="15" spans="1:19" ht="12" customHeight="1">
      <c r="A15" s="103" t="s">
        <v>266</v>
      </c>
      <c r="B15" s="52" t="str">
        <f>VLOOKUP(A15,[1]!Tableau_cotisants,2,FALSE)</f>
        <v>LIENART/HULIN</v>
      </c>
      <c r="C15" s="52" t="str">
        <f>VLOOKUP(A15,[1]!Tableau_cotisants,3,FALSE)</f>
        <v>LIENART</v>
      </c>
      <c r="D15" s="52" t="str">
        <f>VLOOKUP(A15,[1]!Tableau_cotisants,4,FALSE)</f>
        <v>Elison</v>
      </c>
      <c r="E15" s="53">
        <f>VLOOKUP(A15,[1]!Tableau_cotisants,5,FALSE)</f>
        <v>0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41912</v>
      </c>
      <c r="I15" s="54" t="str">
        <f t="shared" si="4"/>
        <v>4 an(s) 5 mois et 25 jour(s)</v>
      </c>
      <c r="J15" s="52" t="str">
        <f>VLOOKUP(A15,[1]!Tableau_cotisants,10,FALSE)</f>
        <v>ANGEAC CHAMPAGNE</v>
      </c>
      <c r="K15" s="53" t="str">
        <f>VLOOKUP(A15,[1]!Tableau_cotisants,11,FALSE)</f>
        <v>Champagne</v>
      </c>
      <c r="L15" s="6">
        <v>1</v>
      </c>
      <c r="M15" s="5"/>
      <c r="N15" s="27">
        <v>1</v>
      </c>
      <c r="O15" s="26"/>
      <c r="P15" s="74"/>
      <c r="Q15" s="55"/>
      <c r="R15" s="55"/>
      <c r="S15" s="55"/>
    </row>
    <row r="16" spans="1:19" ht="12" customHeight="1">
      <c r="A16" s="103" t="s">
        <v>265</v>
      </c>
      <c r="B16" s="52" t="str">
        <f>VLOOKUP(A16,[1]!Tableau_cotisants,2,FALSE)</f>
        <v>LIENART/HULIN</v>
      </c>
      <c r="C16" s="52" t="str">
        <f>VLOOKUP(A16,[1]!Tableau_cotisants,3,FALSE)</f>
        <v>LIENART</v>
      </c>
      <c r="D16" s="52" t="str">
        <f>VLOOKUP(A16,[1]!Tableau_cotisants,4,FALSE)</f>
        <v>Raphaël</v>
      </c>
      <c r="E16" s="53">
        <f>VLOOKUP(A16,[1]!Tableau_cotisants,5,FALSE)</f>
        <v>0</v>
      </c>
      <c r="F16" s="52">
        <f>VLOOKUP(A16,[1]!Tableau_cotisants,6,FALSE)</f>
        <v>0</v>
      </c>
      <c r="G16" s="52">
        <f>VLOOKUP(A16,[1]!Tableau_cotisants,7,FALSE)</f>
        <v>1</v>
      </c>
      <c r="H16" s="54">
        <f>VLOOKUP(A16,[1]!Tableau_cotisants,8,FALSE)</f>
        <v>43000</v>
      </c>
      <c r="I16" s="54" t="str">
        <f t="shared" si="4"/>
        <v>1 an(s) 6 mois et 5 jour(s)</v>
      </c>
      <c r="J16" s="52" t="str">
        <f>VLOOKUP(A16,[1]!Tableau_cotisants,10,FALSE)</f>
        <v>ANGEAC CHAMPAGNE</v>
      </c>
      <c r="K16" s="53" t="str">
        <f>VLOOKUP(A16,[1]!Tableau_cotisants,11,FALSE)</f>
        <v>Champagne</v>
      </c>
      <c r="L16" s="6">
        <v>1</v>
      </c>
      <c r="M16" s="5"/>
      <c r="N16" s="27">
        <v>1</v>
      </c>
      <c r="O16" s="26"/>
      <c r="P16" s="74"/>
      <c r="Q16" s="55"/>
      <c r="R16" s="55"/>
      <c r="S16" s="55"/>
    </row>
    <row r="17" spans="1:19" ht="12" customHeight="1">
      <c r="A17" s="109" t="s">
        <v>102</v>
      </c>
      <c r="B17" s="52" t="str">
        <f>VLOOKUP(A17,[1]!Tableau_cotisants,2,FALSE)</f>
        <v>SAMOYEAU/RAPHOZ</v>
      </c>
      <c r="C17" s="52" t="str">
        <f>VLOOKUP(A17,[1]!Tableau_cotisants,3,FALSE)</f>
        <v>SAMOYEAU</v>
      </c>
      <c r="D17" s="52" t="str">
        <f>VLOOKUP(A17,[1]!Tableau_cotisants,4,FALSE)</f>
        <v>Romain</v>
      </c>
      <c r="E17" s="53">
        <f>VLOOKUP(A17,[1]!Tableau_cotisants,5,FALSE)</f>
        <v>0</v>
      </c>
      <c r="F17" s="52">
        <f>VLOOKUP(A17,[1]!Tableau_cotisants,6,FALSE)</f>
        <v>0</v>
      </c>
      <c r="G17" s="52">
        <f>VLOOKUP(A17,[1]!Tableau_cotisants,7,FALSE)</f>
        <v>1</v>
      </c>
      <c r="H17" s="54">
        <f>VLOOKUP(A17,[1]!Tableau_cotisants,8,FALSE)</f>
        <v>30741</v>
      </c>
      <c r="I17" s="54" t="str">
        <f t="shared" ref="I17:I20" si="5">DATEDIF(H17,Date_du_jour,"y") &amp; " an(s) " &amp; DATEDIF(H17,$C$2,"ym") &amp; " mois et " &amp; DATEDIF(H17,$C$2,"md") &amp; " jour(s)"</f>
        <v>35 an(s) 0 mois et 26 jour(s)</v>
      </c>
      <c r="J17" s="52" t="str">
        <f>VLOOKUP(A17,[1]!Tableau_cotisants,10,FALSE)</f>
        <v>SEGONZAC</v>
      </c>
      <c r="K17" s="53" t="str">
        <f>VLOOKUP(A17,[1]!Tableau_cotisants,11,FALSE)</f>
        <v>Champagne</v>
      </c>
      <c r="L17" s="6">
        <v>1</v>
      </c>
      <c r="M17" s="5"/>
      <c r="N17" s="27">
        <v>1</v>
      </c>
      <c r="O17" s="26"/>
      <c r="P17" s="74"/>
      <c r="Q17" s="55"/>
      <c r="R17" s="55"/>
      <c r="S17" s="55"/>
    </row>
    <row r="18" spans="1:19" ht="12" customHeight="1">
      <c r="A18" s="109" t="s">
        <v>103</v>
      </c>
      <c r="B18" s="52" t="str">
        <f>VLOOKUP(A18,[1]!Tableau_cotisants,2,FALSE)</f>
        <v>SAMOYEAU/RAPHOZ</v>
      </c>
      <c r="C18" s="52" t="str">
        <f>VLOOKUP(A18,[1]!Tableau_cotisants,3,FALSE)</f>
        <v>RAPHOZ_LASSAYS</v>
      </c>
      <c r="D18" s="52" t="str">
        <f>VLOOKUP(A18,[1]!Tableau_cotisants,4,FALSE)</f>
        <v>Laurène</v>
      </c>
      <c r="E18" s="53">
        <f>VLOOKUP(A18,[1]!Tableau_cotisants,5,FALSE)</f>
        <v>0</v>
      </c>
      <c r="F18" s="52">
        <f>VLOOKUP(A18,[1]!Tableau_cotisants,6,FALSE)</f>
        <v>1</v>
      </c>
      <c r="G18" s="52">
        <f>VLOOKUP(A18,[1]!Tableau_cotisants,7,FALSE)</f>
        <v>0</v>
      </c>
      <c r="H18" s="54">
        <f>VLOOKUP(A18,[1]!Tableau_cotisants,8,FALSE)</f>
        <v>31367</v>
      </c>
      <c r="I18" s="54" t="str">
        <f t="shared" si="5"/>
        <v>33 an(s) 4 mois et 11 jour(s)</v>
      </c>
      <c r="J18" s="52" t="str">
        <f>VLOOKUP(A18,[1]!Tableau_cotisants,10,FALSE)</f>
        <v>SEGONZAC</v>
      </c>
      <c r="K18" s="53" t="str">
        <f>VLOOKUP(A18,[1]!Tableau_cotisants,11,FALSE)</f>
        <v>Champagne</v>
      </c>
      <c r="L18" s="6">
        <v>1</v>
      </c>
      <c r="M18" s="5"/>
      <c r="N18" s="27">
        <v>1</v>
      </c>
      <c r="O18" s="26"/>
      <c r="P18" s="74"/>
      <c r="Q18" s="55"/>
      <c r="R18" s="55"/>
      <c r="S18" s="55"/>
    </row>
    <row r="19" spans="1:19" ht="12" customHeight="1">
      <c r="A19" s="109" t="s">
        <v>72</v>
      </c>
      <c r="B19" s="52" t="str">
        <f>VLOOKUP(A19,[1]!Tableau_cotisants,2,FALSE)</f>
        <v>SAMOYEAU/RAPHOZ</v>
      </c>
      <c r="C19" s="52" t="str">
        <f>VLOOKUP(A19,[1]!Tableau_cotisants,3,FALSE)</f>
        <v>SAMOYEAU</v>
      </c>
      <c r="D19" s="52" t="str">
        <f>VLOOKUP(A19,[1]!Tableau_cotisants,4,FALSE)</f>
        <v>Thomas</v>
      </c>
      <c r="E19" s="53">
        <f>VLOOKUP(A19,[1]!Tableau_cotisants,5,FALSE)</f>
        <v>0</v>
      </c>
      <c r="F19" s="52">
        <f>VLOOKUP(A19,[1]!Tableau_cotisants,6,FALSE)</f>
        <v>0</v>
      </c>
      <c r="G19" s="52">
        <f>VLOOKUP(A19,[1]!Tableau_cotisants,7,FALSE)</f>
        <v>1</v>
      </c>
      <c r="H19" s="54">
        <f>VLOOKUP(A19,[1]!Tableau_cotisants,8,FALSE)</f>
        <v>41862</v>
      </c>
      <c r="I19" s="54" t="str">
        <f t="shared" si="5"/>
        <v>4 an(s) 7 mois et 16 jour(s)</v>
      </c>
      <c r="J19" s="52" t="str">
        <f>VLOOKUP(A19,[1]!Tableau_cotisants,10,FALSE)</f>
        <v>SEGONZAC</v>
      </c>
      <c r="K19" s="53" t="str">
        <f>VLOOKUP(A19,[1]!Tableau_cotisants,11,FALSE)</f>
        <v>Champagne</v>
      </c>
      <c r="L19" s="6">
        <v>1</v>
      </c>
      <c r="M19" s="5"/>
      <c r="N19" s="27">
        <v>1</v>
      </c>
      <c r="O19" s="26"/>
      <c r="P19" s="74"/>
      <c r="Q19" s="55"/>
      <c r="R19" s="55"/>
      <c r="S19" s="55"/>
    </row>
    <row r="20" spans="1:19" ht="12" customHeight="1">
      <c r="A20" s="103"/>
      <c r="B20" s="52" t="s">
        <v>268</v>
      </c>
      <c r="C20" s="52" t="s">
        <v>269</v>
      </c>
      <c r="D20" s="52" t="s">
        <v>270</v>
      </c>
      <c r="E20" s="53"/>
      <c r="F20" s="52">
        <v>1</v>
      </c>
      <c r="G20" s="52"/>
      <c r="H20" s="54">
        <v>43466</v>
      </c>
      <c r="I20" s="54" t="str">
        <f t="shared" si="5"/>
        <v>0 an(s) 2 mois et 26 jour(s)</v>
      </c>
      <c r="J20" s="52" t="s">
        <v>167</v>
      </c>
      <c r="K20" s="53" t="s">
        <v>168</v>
      </c>
      <c r="L20" s="6">
        <v>1</v>
      </c>
      <c r="M20" s="5"/>
      <c r="N20" s="27">
        <v>1</v>
      </c>
      <c r="O20" s="26"/>
      <c r="P20" s="74"/>
      <c r="Q20" s="55"/>
      <c r="R20" s="55"/>
      <c r="S20" s="55"/>
    </row>
    <row r="21" spans="1:19" ht="12" customHeight="1">
      <c r="A21" s="103"/>
      <c r="B21" s="125" t="s">
        <v>274</v>
      </c>
      <c r="C21" s="112"/>
      <c r="D21" s="112"/>
      <c r="E21" s="53"/>
      <c r="F21" s="52"/>
      <c r="G21" s="52"/>
      <c r="H21" s="54"/>
      <c r="I21" s="54"/>
      <c r="J21" s="52"/>
      <c r="K21" s="53"/>
      <c r="L21" s="6"/>
      <c r="M21" s="5"/>
      <c r="N21" s="27"/>
      <c r="O21" s="26"/>
      <c r="P21" s="74"/>
      <c r="Q21" s="55"/>
      <c r="R21" s="55"/>
      <c r="S21" s="55"/>
    </row>
    <row r="22" spans="1:19" ht="12" customHeight="1">
      <c r="A22" s="113" t="s">
        <v>113</v>
      </c>
      <c r="B22" s="56" t="str">
        <f>VLOOKUP(A22,[1]!Tableau_cotisants,2,FALSE)</f>
        <v>Barett De Coutures</v>
      </c>
      <c r="C22" s="56" t="str">
        <f>VLOOKUP(A22,[1]!Tableau_cotisants,3,FALSE)</f>
        <v>Barett De Coutures</v>
      </c>
      <c r="D22" s="56" t="str">
        <f>VLOOKUP(A22,[1]!Tableau_cotisants,4,FALSE)</f>
        <v>Sophie</v>
      </c>
      <c r="E22" s="57">
        <f>VLOOKUP(A22,[1]!Tableau_cotisants,5,FALSE)</f>
        <v>0</v>
      </c>
      <c r="F22" s="56">
        <f>VLOOKUP(A22,[1]!Tableau_cotisants,6,FALSE)</f>
        <v>1</v>
      </c>
      <c r="G22" s="56">
        <f>VLOOKUP(A22,[1]!Tableau_cotisants,7,FALSE)</f>
        <v>0</v>
      </c>
      <c r="H22" s="58">
        <f>VLOOKUP(A22,[1]!Tableau_cotisants,8,FALSE)</f>
        <v>26736</v>
      </c>
      <c r="I22" s="58" t="str">
        <f t="shared" ref="I22:I23" si="6">DATEDIF(H22,Date_du_jour,"y") &amp; " an(s) " &amp; DATEDIF(H22,$C$2,"ym") &amp; " mois et " &amp; DATEDIF(H22,$C$2,"md") &amp; " jour(s)"</f>
        <v>46 an(s) 0 mois et 14 jour(s)</v>
      </c>
      <c r="J22" s="56" t="str">
        <f>VLOOKUP(A22,[1]!Tableau_cotisants,10,FALSE)</f>
        <v>Bourg Charente</v>
      </c>
      <c r="K22" s="57" t="str">
        <f>VLOOKUP(A22,[1]!Tableau_cotisants,11,FALSE)</f>
        <v>Jarnac</v>
      </c>
      <c r="L22" s="6"/>
      <c r="M22" s="5">
        <v>1</v>
      </c>
      <c r="N22" s="27">
        <v>1</v>
      </c>
      <c r="O22" s="26"/>
      <c r="P22" s="74"/>
      <c r="Q22" s="55"/>
      <c r="R22" s="55"/>
      <c r="S22" s="55"/>
    </row>
    <row r="23" spans="1:19" ht="12" customHeight="1">
      <c r="A23" s="113" t="s">
        <v>114</v>
      </c>
      <c r="B23" s="56" t="str">
        <f>VLOOKUP(A23,[1]!Tableau_cotisants,2,FALSE)</f>
        <v>Barett De Coutures</v>
      </c>
      <c r="C23" s="56" t="str">
        <f>VLOOKUP(A23,[1]!Tableau_cotisants,3,FALSE)</f>
        <v>Barett De Coutures</v>
      </c>
      <c r="D23" s="56" t="str">
        <f>VLOOKUP(A23,[1]!Tableau_cotisants,4,FALSE)</f>
        <v>Louise</v>
      </c>
      <c r="E23" s="57">
        <f>VLOOKUP(A23,[1]!Tableau_cotisants,5,FALSE)</f>
        <v>0</v>
      </c>
      <c r="F23" s="56">
        <f>VLOOKUP(A23,[1]!Tableau_cotisants,6,FALSE)</f>
        <v>1</v>
      </c>
      <c r="G23" s="56">
        <f>VLOOKUP(A23,[1]!Tableau_cotisants,7,FALSE)</f>
        <v>0</v>
      </c>
      <c r="H23" s="58">
        <f>VLOOKUP(A23,[1]!Tableau_cotisants,8,FALSE)</f>
        <v>41504</v>
      </c>
      <c r="I23" s="58" t="str">
        <f t="shared" si="6"/>
        <v>5 an(s) 7 mois et 9 jour(s)</v>
      </c>
      <c r="J23" s="56" t="str">
        <f>VLOOKUP(A23,[1]!Tableau_cotisants,10,FALSE)</f>
        <v>Bourg Charente</v>
      </c>
      <c r="K23" s="57" t="str">
        <f>VLOOKUP(A23,[1]!Tableau_cotisants,11,FALSE)</f>
        <v>Jarnac</v>
      </c>
      <c r="L23" s="6"/>
      <c r="M23" s="5">
        <v>1</v>
      </c>
      <c r="N23" s="27">
        <v>1</v>
      </c>
      <c r="O23" s="26"/>
      <c r="P23" s="74"/>
      <c r="Q23" s="55"/>
      <c r="R23" s="55"/>
      <c r="S23" s="55"/>
    </row>
    <row r="24" spans="1:19" ht="12" customHeight="1">
      <c r="A24" s="161" t="s">
        <v>271</v>
      </c>
      <c r="B24" s="56" t="str">
        <f>VLOOKUP(A24,[1]!Tableau_cotisants,2,FALSE)</f>
        <v>LANNE</v>
      </c>
      <c r="C24" s="56" t="str">
        <f>VLOOKUP(A24,[1]!Tableau_cotisants,3,FALSE)</f>
        <v>LANNE</v>
      </c>
      <c r="D24" s="56" t="str">
        <f>VLOOKUP(A24,[1]!Tableau_cotisants,4,FALSE)</f>
        <v>Jeanne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31775</v>
      </c>
      <c r="I24" s="58" t="str">
        <f t="shared" ref="I24:I25" si="7">DATEDIF(H24,Date_du_jour,"y") &amp; " an(s) " &amp; DATEDIF(H24,$C$2,"ym") &amp; " mois et " &amp; DATEDIF(H24,$C$2,"md") &amp; " jour(s)"</f>
        <v>32 an(s) 2 mois et 26 jour(s)</v>
      </c>
      <c r="J24" s="56" t="str">
        <f>VLOOKUP(A24,[1]!Tableau_cotisants,10,FALSE)</f>
        <v>SEGONZAC</v>
      </c>
      <c r="K24" s="57" t="str">
        <f>VLOOKUP(A24,[1]!Tableau_cotisants,11,FALSE)</f>
        <v>Champagne</v>
      </c>
      <c r="L24" s="6"/>
      <c r="M24" s="5">
        <v>1</v>
      </c>
      <c r="N24" s="27"/>
      <c r="O24" s="26"/>
      <c r="P24" s="74">
        <v>1</v>
      </c>
      <c r="Q24" s="55"/>
      <c r="R24" s="55"/>
      <c r="S24" s="55"/>
    </row>
    <row r="25" spans="1:19" ht="12" customHeight="1">
      <c r="A25" s="161" t="s">
        <v>272</v>
      </c>
      <c r="B25" s="56" t="str">
        <f>VLOOKUP(A25,[1]!Tableau_cotisants,2,FALSE)</f>
        <v>LANNE</v>
      </c>
      <c r="C25" s="56" t="str">
        <f>VLOOKUP(A25,[1]!Tableau_cotisants,3,FALSE)</f>
        <v>LANNE</v>
      </c>
      <c r="D25" s="56" t="str">
        <f>VLOOKUP(A25,[1]!Tableau_cotisants,4,FALSE)</f>
        <v>Raphaël</v>
      </c>
      <c r="E25" s="57">
        <f>VLOOKUP(A25,[1]!Tableau_cotisants,5,FALSE)</f>
        <v>0</v>
      </c>
      <c r="F25" s="56">
        <f>VLOOKUP(A25,[1]!Tableau_cotisants,6,FALSE)</f>
        <v>0</v>
      </c>
      <c r="G25" s="56">
        <f>VLOOKUP(A25,[1]!Tableau_cotisants,7,FALSE)</f>
        <v>1</v>
      </c>
      <c r="H25" s="58">
        <f>VLOOKUP(A25,[1]!Tableau_cotisants,8,FALSE)</f>
        <v>41156</v>
      </c>
      <c r="I25" s="58" t="str">
        <f t="shared" si="7"/>
        <v>6 an(s) 6 mois et 23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/>
      <c r="O25" s="26"/>
      <c r="P25" s="74">
        <v>1</v>
      </c>
      <c r="Q25" s="55"/>
      <c r="R25" s="55"/>
      <c r="S25" s="55"/>
    </row>
    <row r="26" spans="1:19" ht="12" customHeight="1">
      <c r="A26" s="117" t="s">
        <v>125</v>
      </c>
      <c r="B26" s="56" t="str">
        <f>VLOOKUP(A26,[1]!Tableau_cotisants,2,FALSE)</f>
        <v>SANSAUD/MOREAU</v>
      </c>
      <c r="C26" s="56" t="str">
        <f>VLOOKUP(A26,[1]!Tableau_cotisants,3,FALSE)</f>
        <v>MOREAU</v>
      </c>
      <c r="D26" s="56" t="str">
        <f>VLOOKUP(A26,[1]!Tableau_cotisants,4,FALSE)</f>
        <v>Emmanuelle</v>
      </c>
      <c r="E26" s="57">
        <f>VLOOKUP(A26,[1]!Tableau_cotisants,5,FALSE)</f>
        <v>0</v>
      </c>
      <c r="F26" s="56">
        <f>VLOOKUP(A26,[1]!Tableau_cotisants,6,FALSE)</f>
        <v>1</v>
      </c>
      <c r="G26" s="56">
        <f>VLOOKUP(A26,[1]!Tableau_cotisants,7,FALSE)</f>
        <v>0</v>
      </c>
      <c r="H26" s="58">
        <f>VLOOKUP(A26,[1]!Tableau_cotisants,8,FALSE)</f>
        <v>29187</v>
      </c>
      <c r="I26" s="58" t="str">
        <f t="shared" ref="I26:I28" si="8">DATEDIF(H26,Date_du_jour,"y") &amp; " an(s) " &amp; DATEDIF(H26,$C$2,"ym") &amp; " mois et " &amp; DATEDIF(H26,$C$2,"md") &amp; " jour(s)"</f>
        <v>39 an(s) 3 mois et 27 jour(s)</v>
      </c>
      <c r="J26" s="56" t="str">
        <f>VLOOKUP(A26,[1]!Tableau_cotisants,10,FALSE)</f>
        <v>SEGONZAC</v>
      </c>
      <c r="K26" s="57" t="str">
        <f>VLOOKUP(A26,[1]!Tableau_cotisants,11,FALSE)</f>
        <v>Champagne</v>
      </c>
      <c r="L26" s="6"/>
      <c r="M26" s="5">
        <v>1</v>
      </c>
      <c r="N26" s="27">
        <v>1</v>
      </c>
      <c r="O26" s="26"/>
      <c r="P26" s="74"/>
      <c r="Q26" s="55"/>
      <c r="R26" s="55"/>
      <c r="S26" s="55"/>
    </row>
    <row r="27" spans="1:19" ht="12" customHeight="1">
      <c r="A27" s="117" t="s">
        <v>126</v>
      </c>
      <c r="B27" s="56" t="str">
        <f>VLOOKUP(A27,[1]!Tableau_cotisants,2,FALSE)</f>
        <v>SANSAUD/MOREAU</v>
      </c>
      <c r="C27" s="56" t="str">
        <f>VLOOKUP(A27,[1]!Tableau_cotisants,3,FALSE)</f>
        <v>SANSAUD</v>
      </c>
      <c r="D27" s="56" t="str">
        <f>VLOOKUP(A27,[1]!Tableau_cotisants,4,FALSE)</f>
        <v>Ethan</v>
      </c>
      <c r="E27" s="57">
        <f>VLOOKUP(A27,[1]!Tableau_cotisants,5,FALSE)</f>
        <v>0</v>
      </c>
      <c r="F27" s="56">
        <f>VLOOKUP(A27,[1]!Tableau_cotisants,6,FALSE)</f>
        <v>0</v>
      </c>
      <c r="G27" s="56">
        <f>VLOOKUP(A27,[1]!Tableau_cotisants,7,FALSE)</f>
        <v>1</v>
      </c>
      <c r="H27" s="58">
        <f>VLOOKUP(A27,[1]!Tableau_cotisants,8,FALSE)</f>
        <v>41015</v>
      </c>
      <c r="I27" s="58" t="str">
        <f t="shared" si="8"/>
        <v>6 an(s) 11 mois et 11 jour(s)</v>
      </c>
      <c r="J27" s="56" t="str">
        <f>VLOOKUP(A27,[1]!Tableau_cotisants,10,FALSE)</f>
        <v>SEGONZAC</v>
      </c>
      <c r="K27" s="57" t="str">
        <f>VLOOKUP(A27,[1]!Tableau_cotisants,11,FALSE)</f>
        <v>Champagne</v>
      </c>
      <c r="L27" s="6"/>
      <c r="M27" s="5">
        <v>1</v>
      </c>
      <c r="N27" s="27">
        <v>1</v>
      </c>
      <c r="O27" s="26"/>
      <c r="P27" s="74"/>
      <c r="Q27" s="55"/>
      <c r="R27" s="55"/>
      <c r="S27" s="55"/>
    </row>
    <row r="28" spans="1:19" ht="12" customHeight="1">
      <c r="A28" s="117" t="s">
        <v>127</v>
      </c>
      <c r="B28" s="56" t="str">
        <f>VLOOKUP(A28,[1]!Tableau_cotisants,2,FALSE)</f>
        <v>SANSAUD/MOREAU</v>
      </c>
      <c r="C28" s="56" t="str">
        <f>VLOOKUP(A28,[1]!Tableau_cotisants,3,FALSE)</f>
        <v>SANSAUD</v>
      </c>
      <c r="D28" s="56" t="str">
        <f>VLOOKUP(A28,[1]!Tableau_cotisants,4,FALSE)</f>
        <v>Axel</v>
      </c>
      <c r="E28" s="57">
        <f>VLOOKUP(A28,[1]!Tableau_cotisants,5,FALSE)</f>
        <v>0</v>
      </c>
      <c r="F28" s="56">
        <f>VLOOKUP(A28,[1]!Tableau_cotisants,6,FALSE)</f>
        <v>0</v>
      </c>
      <c r="G28" s="56">
        <f>VLOOKUP(A28,[1]!Tableau_cotisants,7,FALSE)</f>
        <v>1</v>
      </c>
      <c r="H28" s="58">
        <f>VLOOKUP(A28,[1]!Tableau_cotisants,8,FALSE)</f>
        <v>42407</v>
      </c>
      <c r="I28" s="58" t="str">
        <f t="shared" si="8"/>
        <v>3 an(s) 1 mois et 20 jour(s)</v>
      </c>
      <c r="J28" s="56" t="str">
        <f>VLOOKUP(A28,[1]!Tableau_cotisants,10,FALSE)</f>
        <v>SEGONZAC</v>
      </c>
      <c r="K28" s="57" t="str">
        <f>VLOOKUP(A28,[1]!Tableau_cotisants,11,FALSE)</f>
        <v>Champagne</v>
      </c>
      <c r="L28" s="6"/>
      <c r="M28" s="5">
        <v>1</v>
      </c>
      <c r="N28" s="27">
        <v>1</v>
      </c>
      <c r="O28" s="26"/>
      <c r="P28" s="74"/>
      <c r="Q28" s="55"/>
      <c r="R28" s="55"/>
      <c r="S28" s="55"/>
    </row>
    <row r="29" spans="1:19" ht="12" customHeight="1">
      <c r="A29" s="153"/>
      <c r="B29" s="125" t="s">
        <v>273</v>
      </c>
      <c r="C29" s="112"/>
      <c r="D29" s="112"/>
      <c r="E29" s="57"/>
      <c r="F29" s="56"/>
      <c r="G29" s="56"/>
      <c r="H29" s="58"/>
      <c r="I29" s="58"/>
      <c r="J29" s="56"/>
      <c r="K29" s="57"/>
      <c r="L29" s="6"/>
      <c r="M29" s="5"/>
      <c r="N29" s="27"/>
      <c r="O29" s="26"/>
      <c r="P29" s="74"/>
      <c r="Q29" s="55"/>
      <c r="R29" s="55"/>
      <c r="S29" s="55"/>
    </row>
    <row r="30" spans="1:19" ht="12" customHeight="1">
      <c r="A30" s="153"/>
      <c r="B30" s="125" t="s">
        <v>275</v>
      </c>
      <c r="C30" s="112"/>
      <c r="D30" s="112"/>
      <c r="E30" s="57"/>
      <c r="F30" s="56"/>
      <c r="G30" s="56"/>
      <c r="H30" s="58"/>
      <c r="I30" s="58"/>
      <c r="J30" s="56"/>
      <c r="K30" s="57"/>
      <c r="L30" s="6"/>
      <c r="M30" s="5"/>
      <c r="N30" s="27"/>
      <c r="O30" s="26"/>
      <c r="P30" s="74"/>
      <c r="Q30" s="55"/>
      <c r="R30" s="55"/>
      <c r="S30" s="55"/>
    </row>
    <row r="31" spans="1:19" ht="12" customHeight="1">
      <c r="A31" s="153"/>
      <c r="B31" s="56"/>
      <c r="C31" s="56"/>
      <c r="D31" s="56"/>
      <c r="E31" s="57"/>
      <c r="F31" s="56"/>
      <c r="G31" s="56"/>
      <c r="H31" s="58"/>
      <c r="I31" s="58"/>
      <c r="J31" s="56"/>
      <c r="K31" s="57"/>
      <c r="L31" s="6"/>
      <c r="M31" s="5"/>
      <c r="N31" s="27"/>
      <c r="O31" s="26"/>
      <c r="P31" s="74"/>
      <c r="Q31" s="55"/>
      <c r="R31" s="55"/>
      <c r="S31" s="55"/>
    </row>
    <row r="32" spans="1:19" ht="12" customHeight="1">
      <c r="A32" s="153"/>
      <c r="B32" s="56"/>
      <c r="C32" s="56"/>
      <c r="D32" s="56"/>
      <c r="E32" s="57"/>
      <c r="F32" s="56"/>
      <c r="G32" s="56"/>
      <c r="H32" s="58"/>
      <c r="I32" s="58"/>
      <c r="J32" s="56"/>
      <c r="K32" s="57"/>
      <c r="L32" s="6"/>
      <c r="M32" s="5"/>
      <c r="N32" s="27"/>
      <c r="O32" s="26"/>
      <c r="P32" s="74"/>
      <c r="Q32" s="55"/>
      <c r="R32" s="55"/>
      <c r="S32" s="55"/>
    </row>
    <row r="33" spans="1:19" ht="12" customHeight="1">
      <c r="A33" s="153"/>
      <c r="B33" s="56"/>
      <c r="C33" s="56"/>
      <c r="D33" s="56"/>
      <c r="E33" s="57"/>
      <c r="F33" s="56"/>
      <c r="G33" s="56"/>
      <c r="H33" s="58"/>
      <c r="I33" s="58"/>
      <c r="J33" s="56"/>
      <c r="K33" s="57"/>
      <c r="L33" s="6"/>
      <c r="M33" s="5"/>
      <c r="N33" s="27"/>
      <c r="O33" s="26"/>
      <c r="P33" s="74"/>
      <c r="Q33" s="55"/>
      <c r="R33" s="55"/>
      <c r="S33" s="55"/>
    </row>
    <row r="34" spans="1:19" ht="12" customHeight="1">
      <c r="A34" s="153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6"/>
      <c r="M34" s="5"/>
      <c r="N34" s="27"/>
      <c r="O34" s="26"/>
      <c r="P34" s="74"/>
      <c r="Q34" s="55"/>
      <c r="R34" s="55"/>
      <c r="S34" s="55"/>
    </row>
    <row r="35" spans="1:19" ht="12" customHeight="1">
      <c r="A35" s="153"/>
      <c r="B35" s="56"/>
      <c r="C35" s="56"/>
      <c r="D35" s="56"/>
      <c r="E35" s="57"/>
      <c r="F35" s="56"/>
      <c r="G35" s="56"/>
      <c r="H35" s="58"/>
      <c r="I35" s="58"/>
      <c r="J35" s="56"/>
      <c r="K35" s="57"/>
      <c r="L35" s="6"/>
      <c r="M35" s="5"/>
      <c r="N35" s="27"/>
      <c r="O35" s="26"/>
      <c r="P35" s="74"/>
      <c r="Q35" s="55"/>
      <c r="R35" s="55"/>
      <c r="S35" s="55"/>
    </row>
    <row r="36" spans="1:19" ht="12" customHeight="1">
      <c r="A36" s="153"/>
      <c r="B36" s="56"/>
      <c r="C36" s="56"/>
      <c r="D36" s="56"/>
      <c r="E36" s="57"/>
      <c r="F36" s="56"/>
      <c r="G36" s="56"/>
      <c r="H36" s="58"/>
      <c r="I36" s="58"/>
      <c r="J36" s="56"/>
      <c r="K36" s="57"/>
      <c r="L36" s="6"/>
      <c r="M36" s="5"/>
      <c r="N36" s="27"/>
      <c r="O36" s="26"/>
      <c r="P36" s="74"/>
      <c r="Q36" s="55"/>
      <c r="R36" s="55"/>
      <c r="S36" s="55"/>
    </row>
    <row r="37" spans="1:19" ht="12" customHeight="1">
      <c r="A37" s="153"/>
      <c r="B37" s="56"/>
      <c r="C37" s="56"/>
      <c r="D37" s="56"/>
      <c r="E37" s="57"/>
      <c r="F37" s="56"/>
      <c r="G37" s="56"/>
      <c r="H37" s="58"/>
      <c r="I37" s="58"/>
      <c r="J37" s="56"/>
      <c r="K37" s="57"/>
      <c r="L37" s="6"/>
      <c r="M37" s="5"/>
      <c r="N37" s="27"/>
      <c r="O37" s="26"/>
      <c r="P37" s="74"/>
      <c r="Q37" s="55"/>
      <c r="R37" s="55"/>
      <c r="S37" s="55"/>
    </row>
    <row r="38" spans="1:19" ht="12" customHeight="1">
      <c r="A38" s="153"/>
      <c r="B38" s="56"/>
      <c r="C38" s="56"/>
      <c r="D38" s="56"/>
      <c r="E38" s="57"/>
      <c r="F38" s="56"/>
      <c r="G38" s="56"/>
      <c r="H38" s="58"/>
      <c r="I38" s="58"/>
      <c r="J38" s="56"/>
      <c r="K38" s="57"/>
      <c r="L38" s="6"/>
      <c r="M38" s="5"/>
      <c r="N38" s="27"/>
      <c r="O38" s="26"/>
      <c r="P38" s="74"/>
      <c r="Q38" s="55"/>
      <c r="R38" s="55"/>
      <c r="S38" s="55"/>
    </row>
    <row r="39" spans="1:19" ht="12" customHeight="1">
      <c r="A39" s="153"/>
      <c r="B39" s="158"/>
      <c r="C39" s="158"/>
      <c r="D39" s="158"/>
      <c r="E39" s="159"/>
      <c r="F39" s="158"/>
      <c r="G39" s="158"/>
      <c r="H39" s="160"/>
      <c r="I39" s="160"/>
      <c r="J39" s="158"/>
      <c r="K39" s="159"/>
      <c r="L39" s="6"/>
      <c r="M39" s="5"/>
      <c r="N39" s="27"/>
      <c r="O39" s="26"/>
      <c r="P39" s="74"/>
      <c r="Q39" s="55"/>
      <c r="R39" s="55"/>
      <c r="S39" s="55"/>
    </row>
    <row r="40" spans="1:19" ht="12" customHeight="1">
      <c r="A40" s="153"/>
      <c r="B40" s="56"/>
      <c r="C40" s="56"/>
      <c r="D40" s="56"/>
      <c r="E40" s="57"/>
      <c r="F40" s="56"/>
      <c r="G40" s="56"/>
      <c r="H40" s="58"/>
      <c r="I40" s="58"/>
      <c r="J40" s="56"/>
      <c r="K40" s="57"/>
      <c r="L40" s="6"/>
      <c r="M40" s="5"/>
      <c r="N40" s="27"/>
      <c r="O40" s="26"/>
      <c r="P40" s="74"/>
      <c r="Q40" s="55"/>
      <c r="R40" s="55"/>
      <c r="S40" s="55"/>
    </row>
    <row r="41" spans="1:19" ht="12" customHeight="1">
      <c r="A41" s="153"/>
      <c r="B41" s="56"/>
      <c r="C41" s="56"/>
      <c r="D41" s="56"/>
      <c r="E41" s="57"/>
      <c r="F41" s="56"/>
      <c r="G41" s="56"/>
      <c r="H41" s="58"/>
      <c r="I41" s="58"/>
      <c r="J41" s="56"/>
      <c r="K41" s="57"/>
      <c r="L41" s="6"/>
      <c r="M41" s="5"/>
      <c r="N41" s="27"/>
      <c r="O41" s="26"/>
      <c r="P41" s="74"/>
      <c r="Q41" s="55"/>
      <c r="R41" s="55"/>
      <c r="S41" s="55"/>
    </row>
    <row r="42" spans="1:19" ht="12" customHeight="1">
      <c r="A42" s="153"/>
      <c r="B42" s="56"/>
      <c r="C42" s="56"/>
      <c r="D42" s="56"/>
      <c r="E42" s="57"/>
      <c r="F42" s="56"/>
      <c r="G42" s="56"/>
      <c r="H42" s="58"/>
      <c r="I42" s="58"/>
      <c r="J42" s="56"/>
      <c r="K42" s="57"/>
      <c r="L42" s="6"/>
      <c r="M42" s="5"/>
      <c r="N42" s="27"/>
      <c r="O42" s="26"/>
      <c r="P42" s="74"/>
      <c r="Q42" s="55"/>
      <c r="R42" s="55"/>
      <c r="S42" s="55"/>
    </row>
    <row r="43" spans="1:19" ht="12" customHeight="1" thickBot="1">
      <c r="A43" s="153"/>
      <c r="B43" s="56"/>
      <c r="C43" s="56"/>
      <c r="D43" s="56"/>
      <c r="E43" s="57"/>
      <c r="F43" s="56"/>
      <c r="G43" s="56"/>
      <c r="H43" s="58"/>
      <c r="I43" s="58"/>
      <c r="J43" s="56"/>
      <c r="K43" s="57"/>
      <c r="L43" s="6"/>
      <c r="M43" s="5"/>
      <c r="N43" s="27"/>
      <c r="O43" s="26"/>
      <c r="P43" s="74"/>
      <c r="Q43" s="55"/>
      <c r="R43" s="55"/>
      <c r="S43" s="55"/>
    </row>
    <row r="44" spans="1:19" ht="19.5" thickBot="1">
      <c r="A44" s="153"/>
      <c r="B44" s="4"/>
      <c r="C44" s="4"/>
      <c r="D44" s="4"/>
      <c r="E44" s="4">
        <f>SUM(E5:E43)</f>
        <v>4</v>
      </c>
      <c r="F44" s="4">
        <f>SUM(F5:F43)</f>
        <v>12</v>
      </c>
      <c r="G44" s="4">
        <f>SUM(G5:G43)</f>
        <v>11</v>
      </c>
      <c r="H44" s="4"/>
      <c r="I44" s="4"/>
      <c r="J44" s="4"/>
      <c r="K44" s="18">
        <f>SUM(K7:K43)</f>
        <v>0</v>
      </c>
      <c r="L44" s="93">
        <f t="shared" ref="L44:S44" si="9">SUM(L5:L43)</f>
        <v>16</v>
      </c>
      <c r="M44" s="19">
        <f t="shared" si="9"/>
        <v>7</v>
      </c>
      <c r="N44" s="20">
        <f t="shared" si="9"/>
        <v>18</v>
      </c>
      <c r="O44" s="28">
        <f t="shared" si="9"/>
        <v>0</v>
      </c>
      <c r="P44" s="72">
        <f t="shared" si="9"/>
        <v>5</v>
      </c>
      <c r="Q44" s="79">
        <f t="shared" si="9"/>
        <v>0</v>
      </c>
      <c r="R44" s="80">
        <f t="shared" si="9"/>
        <v>0</v>
      </c>
      <c r="S44" s="81">
        <f t="shared" si="9"/>
        <v>0</v>
      </c>
    </row>
    <row r="45" spans="1:19" ht="24" thickBot="1">
      <c r="B45" t="s">
        <v>28</v>
      </c>
      <c r="C45" s="98"/>
      <c r="F45" s="201">
        <f>F44+G44</f>
        <v>23</v>
      </c>
      <c r="G45" s="201"/>
      <c r="L45" s="201">
        <f>L44+M44</f>
        <v>23</v>
      </c>
      <c r="M45" s="201"/>
      <c r="N45" s="202">
        <f>N44+O44+P44</f>
        <v>23</v>
      </c>
      <c r="O45" s="202"/>
      <c r="P45" s="202"/>
      <c r="Q45" s="152"/>
      <c r="R45" s="152"/>
      <c r="S45" s="152"/>
    </row>
    <row r="46" spans="1:19" ht="15.75" thickBot="1">
      <c r="B46" t="s">
        <v>75</v>
      </c>
      <c r="L46" s="22">
        <f>L44+'20 mars 2019'!L46</f>
        <v>123</v>
      </c>
      <c r="M46" s="23">
        <f>M44+'20 mars 2019'!M46</f>
        <v>117</v>
      </c>
      <c r="N46" s="24">
        <f>N44+'20 mars 2019'!N46</f>
        <v>129</v>
      </c>
      <c r="O46" s="25">
        <f>O44+'20 mars 2019'!O46</f>
        <v>26</v>
      </c>
      <c r="P46" s="84">
        <f>P44+'20 mars 2019'!P46</f>
        <v>85</v>
      </c>
      <c r="Q46" s="82">
        <f>Q44+'20 mars 2019'!Q46</f>
        <v>12</v>
      </c>
      <c r="R46" s="90">
        <f>R44+'20 mars 2019'!R46</f>
        <v>2</v>
      </c>
      <c r="S46" s="83">
        <f>S44+'20 mars 2019'!S46</f>
        <v>13</v>
      </c>
    </row>
    <row r="47" spans="1:19" ht="33" thickBot="1">
      <c r="L47" s="203">
        <f>L45+'20 mars 2019'!L47:M47</f>
        <v>240</v>
      </c>
      <c r="M47" s="204"/>
      <c r="N47" s="205">
        <f>N45+'20 mars 2019'!N47:P47</f>
        <v>240</v>
      </c>
      <c r="O47" s="206"/>
      <c r="P47" s="207"/>
    </row>
    <row r="48" spans="1:19">
      <c r="B48" t="s">
        <v>181</v>
      </c>
      <c r="C48" s="142" t="s">
        <v>185</v>
      </c>
      <c r="D48" t="s">
        <v>181</v>
      </c>
      <c r="E48" s="208" t="s">
        <v>182</v>
      </c>
      <c r="F48" s="209"/>
    </row>
    <row r="49" spans="1:6" ht="45">
      <c r="A49" s="140" t="s">
        <v>183</v>
      </c>
      <c r="B49" s="138">
        <v>2</v>
      </c>
      <c r="C49" s="139">
        <f>B49+'20 mars 2019'!C49</f>
        <v>10</v>
      </c>
      <c r="D49" s="138">
        <v>14</v>
      </c>
      <c r="E49" s="195">
        <f>D49+'20 mars 2019'!E49:F49</f>
        <v>70</v>
      </c>
      <c r="F49" s="196"/>
    </row>
    <row r="50" spans="1:6" ht="32.25">
      <c r="A50" s="141" t="s">
        <v>184</v>
      </c>
      <c r="B50" s="138">
        <v>1</v>
      </c>
      <c r="C50" s="139">
        <f>B50+'20 mars 2019'!C50</f>
        <v>11</v>
      </c>
      <c r="D50" s="138">
        <v>4</v>
      </c>
      <c r="E50" s="195">
        <f>D50+'20 mars 2019'!E50:F50</f>
        <v>79</v>
      </c>
      <c r="F50" s="196"/>
    </row>
    <row r="51" spans="1:6">
      <c r="B51" s="152">
        <f>B50+B49</f>
        <v>3</v>
      </c>
      <c r="C51" s="152">
        <f>C50+C49</f>
        <v>21</v>
      </c>
      <c r="D51" s="152">
        <f>D50+D49</f>
        <v>18</v>
      </c>
      <c r="E51" s="210">
        <f>E50+E49</f>
        <v>149</v>
      </c>
      <c r="F51" s="210"/>
    </row>
    <row r="53" spans="1:6">
      <c r="D53" t="s">
        <v>262</v>
      </c>
    </row>
  </sheetData>
  <mergeCells count="10">
    <mergeCell ref="E49:F49"/>
    <mergeCell ref="E50:F50"/>
    <mergeCell ref="E51:F51"/>
    <mergeCell ref="F3:G3"/>
    <mergeCell ref="F45:G45"/>
    <mergeCell ref="L45:M45"/>
    <mergeCell ref="N45:P45"/>
    <mergeCell ref="L47:M47"/>
    <mergeCell ref="N47:P47"/>
    <mergeCell ref="E48:F48"/>
  </mergeCells>
  <conditionalFormatting sqref="N47">
    <cfRule type="cellIs" dxfId="41" priority="4" operator="equal">
      <formula>$N$46+$O$46</formula>
    </cfRule>
  </conditionalFormatting>
  <conditionalFormatting sqref="N47">
    <cfRule type="cellIs" dxfId="40" priority="3" operator="equal">
      <formula>$N$52+$O$52</formula>
    </cfRule>
  </conditionalFormatting>
  <conditionalFormatting sqref="F45:G45 N45">
    <cfRule type="cellIs" dxfId="39" priority="1" operator="notEqual">
      <formula>$L$45</formula>
    </cfRule>
    <cfRule type="cellIs" dxfId="38" priority="2" operator="equal">
      <formula>$L$45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2:S53"/>
  <sheetViews>
    <sheetView workbookViewId="0">
      <pane ySplit="4" topLeftCell="A29" activePane="bottomLeft" state="frozen"/>
      <selection pane="bottomLeft" activeCell="A22" sqref="A22:S26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43558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11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03"/>
      <c r="B5" s="52"/>
      <c r="C5" s="52"/>
      <c r="D5" s="52"/>
      <c r="E5" s="53"/>
      <c r="F5" s="52"/>
      <c r="G5" s="52"/>
      <c r="H5" s="54"/>
      <c r="I5" s="54"/>
      <c r="J5" s="52"/>
      <c r="K5" s="53"/>
      <c r="L5" s="6"/>
      <c r="M5" s="5"/>
      <c r="N5" s="27"/>
      <c r="O5" s="26"/>
      <c r="P5" s="74"/>
      <c r="Q5" s="55"/>
      <c r="R5" s="55"/>
      <c r="S5" s="55"/>
    </row>
    <row r="6" spans="1:19" ht="12" customHeight="1">
      <c r="A6" s="103" t="s">
        <v>276</v>
      </c>
      <c r="B6" s="52" t="str">
        <f>VLOOKUP(A6,[1]!Tableau_cotisants,2,FALSE)</f>
        <v>QUILLERE-GADRAS</v>
      </c>
      <c r="C6" s="52" t="str">
        <f>VLOOKUP(A6,[1]!Tableau_cotisants,3,FALSE)</f>
        <v>QUILLERE-GADRAS</v>
      </c>
      <c r="D6" s="52" t="str">
        <f>VLOOKUP(A6,[1]!Tableau_cotisants,4,FALSE)</f>
        <v>Marie-Laure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27811</v>
      </c>
      <c r="I6" s="54" t="str">
        <f t="shared" ref="I6" si="0">DATEDIF(H6,Date_du_jour,"y") &amp; " an(s) " &amp; DATEDIF(H6,$C$2,"ym") &amp; " mois et " &amp; DATEDIF(H6,$C$2,"md") &amp; " jour(s)"</f>
        <v>43 an(s) 1 mois et 13 jour(s)</v>
      </c>
      <c r="J6" s="52" t="str">
        <f>VLOOKUP(A6,[1]!Tableau_cotisants,10,FALSE)</f>
        <v>Bourg-Charente</v>
      </c>
      <c r="K6" s="53" t="str">
        <f>VLOOKUP(A6,[1]!Tableau_cotisants,11,FALSE)</f>
        <v>Jarnac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03" t="s">
        <v>277</v>
      </c>
      <c r="B7" s="52" t="str">
        <f>VLOOKUP(A7,[1]!Tableau_cotisants,2,FALSE)</f>
        <v>QUILLERE-GADRAS</v>
      </c>
      <c r="C7" s="52" t="str">
        <f>VLOOKUP(A7,[1]!Tableau_cotisants,3,FALSE)</f>
        <v>QUILLERE-GADRAS</v>
      </c>
      <c r="D7" s="52" t="str">
        <f>VLOOKUP(A7,[1]!Tableau_cotisants,4,FALSE)</f>
        <v>Martin</v>
      </c>
      <c r="E7" s="53">
        <f>VLOOKUP(A7,[1]!Tableau_cotisants,5,FALSE)</f>
        <v>0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41338</v>
      </c>
      <c r="I7" s="54" t="str">
        <f t="shared" ref="I7" si="1">DATEDIF(H7,Date_du_jour,"y") &amp; " an(s) " &amp; DATEDIF(H7,$C$2,"ym") &amp; " mois et " &amp; DATEDIF(H7,$C$2,"md") &amp; " jour(s)"</f>
        <v>6 an(s) 0 mois et 29 jour(s)</v>
      </c>
      <c r="J7" s="52" t="str">
        <f>VLOOKUP(A7,[1]!Tableau_cotisants,10,FALSE)</f>
        <v>Bourg-Charente</v>
      </c>
      <c r="K7" s="53" t="str">
        <f>VLOOKUP(A7,[1]!Tableau_cotisants,11,FALSE)</f>
        <v>Jarnac</v>
      </c>
      <c r="L7" s="6">
        <v>1</v>
      </c>
      <c r="M7" s="5"/>
      <c r="N7" s="27">
        <v>1</v>
      </c>
      <c r="O7" s="26"/>
      <c r="P7" s="74"/>
      <c r="Q7" s="55"/>
      <c r="R7" s="55"/>
      <c r="S7" s="55"/>
    </row>
    <row r="8" spans="1:19" ht="12" customHeight="1">
      <c r="A8" s="103" t="s">
        <v>278</v>
      </c>
      <c r="B8" s="52" t="str">
        <f>VLOOKUP(A8,[1]!Tableau_cotisants,2,FALSE)</f>
        <v>QUILLERE-GADRAS</v>
      </c>
      <c r="C8" s="52" t="str">
        <f>VLOOKUP(A8,[1]!Tableau_cotisants,3,FALSE)</f>
        <v>QUILLERE-GADRAS</v>
      </c>
      <c r="D8" s="52" t="str">
        <f>VLOOKUP(A8,[1]!Tableau_cotisants,4,FALSE)</f>
        <v>Margaux</v>
      </c>
      <c r="E8" s="53">
        <f>VLOOKUP(A8,[1]!Tableau_cotisants,5,FALSE)</f>
        <v>0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41338</v>
      </c>
      <c r="I8" s="54" t="str">
        <f t="shared" ref="I8:I10" si="2">DATEDIF(H8,Date_du_jour,"y") &amp; " an(s) " &amp; DATEDIF(H8,$C$2,"ym") &amp; " mois et " &amp; DATEDIF(H8,$C$2,"md") &amp; " jour(s)"</f>
        <v>6 an(s) 0 mois et 29 jour(s)</v>
      </c>
      <c r="J8" s="52" t="str">
        <f>VLOOKUP(A8,[1]!Tableau_cotisants,10,FALSE)</f>
        <v>Bourg-Charente</v>
      </c>
      <c r="K8" s="53" t="str">
        <f>VLOOKUP(A8,[1]!Tableau_cotisants,11,FALSE)</f>
        <v>Jarnac</v>
      </c>
      <c r="L8" s="6">
        <v>1</v>
      </c>
      <c r="M8" s="5"/>
      <c r="N8" s="27">
        <v>1</v>
      </c>
      <c r="O8" s="26"/>
      <c r="P8" s="74"/>
      <c r="Q8" s="55"/>
      <c r="R8" s="55"/>
      <c r="S8" s="55"/>
    </row>
    <row r="9" spans="1:19" ht="12" customHeight="1">
      <c r="A9" s="103" t="s">
        <v>279</v>
      </c>
      <c r="B9" s="52" t="str">
        <f>VLOOKUP(A9,[1]!Tableau_cotisants,2,FALSE)</f>
        <v>LOUVET</v>
      </c>
      <c r="C9" s="52" t="str">
        <f>VLOOKUP(A9,[1]!Tableau_cotisants,3,FALSE)</f>
        <v>LOUVET</v>
      </c>
      <c r="D9" s="52" t="str">
        <f>VLOOKUP(A9,[1]!Tableau_cotisants,4,FALSE)</f>
        <v>Anne-Sophie</v>
      </c>
      <c r="E9" s="53">
        <f>VLOOKUP(A9,[1]!Tableau_cotisants,5,FALSE)</f>
        <v>0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21832</v>
      </c>
      <c r="I9" s="54" t="str">
        <f t="shared" si="2"/>
        <v>59 an(s) 5 mois et 25 jour(s)</v>
      </c>
      <c r="J9" s="52" t="str">
        <f>VLOOKUP(A9,[1]!Tableau_cotisants,10,FALSE)</f>
        <v>SEGONZAC</v>
      </c>
      <c r="K9" s="53" t="str">
        <f>VLOOKUP(A9,[1]!Tableau_cotisants,11,FALSE)</f>
        <v>Champagne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03" t="s">
        <v>280</v>
      </c>
      <c r="B10" s="52" t="str">
        <f>VLOOKUP(A10,[1]!Tableau_cotisants,2,FALSE)</f>
        <v>LOUVET</v>
      </c>
      <c r="C10" s="52" t="str">
        <f>VLOOKUP(A10,[1]!Tableau_cotisants,3,FALSE)</f>
        <v>FREDES</v>
      </c>
      <c r="D10" s="52" t="str">
        <f>VLOOKUP(A10,[1]!Tableau_cotisants,4,FALSE)</f>
        <v>Fausto</v>
      </c>
      <c r="E10" s="53">
        <f>VLOOKUP(A10,[1]!Tableau_cotisants,5,FALSE)</f>
        <v>0</v>
      </c>
      <c r="F10" s="52">
        <f>VLOOKUP(A10,[1]!Tableau_cotisants,6,FALSE)</f>
        <v>0</v>
      </c>
      <c r="G10" s="52">
        <f>VLOOKUP(A10,[1]!Tableau_cotisants,7,FALSE)</f>
        <v>1</v>
      </c>
      <c r="H10" s="54">
        <f>VLOOKUP(A10,[1]!Tableau_cotisants,8,FALSE)</f>
        <v>40080</v>
      </c>
      <c r="I10" s="54" t="str">
        <f t="shared" si="2"/>
        <v>9 an(s) 6 mois et 10 jour(s)</v>
      </c>
      <c r="J10" s="52" t="str">
        <f>VLOOKUP(A10,[1]!Tableau_cotisants,10,FALSE)</f>
        <v>SEGONZAC</v>
      </c>
      <c r="K10" s="53" t="str">
        <f>VLOOKUP(A10,[1]!Tableau_cotisants,11,FALSE)</f>
        <v>Champagne</v>
      </c>
      <c r="L10" s="6">
        <v>1</v>
      </c>
      <c r="M10" s="5"/>
      <c r="N10" s="27"/>
      <c r="O10" s="26"/>
      <c r="P10" s="74">
        <v>1</v>
      </c>
      <c r="Q10" s="55"/>
      <c r="R10" s="55"/>
      <c r="S10" s="55"/>
    </row>
    <row r="11" spans="1:19" ht="12" customHeight="1">
      <c r="A11" s="103"/>
      <c r="B11" s="52"/>
      <c r="C11" s="52"/>
      <c r="D11" s="52"/>
      <c r="E11" s="53"/>
      <c r="F11" s="52"/>
      <c r="G11" s="52"/>
      <c r="H11" s="54"/>
      <c r="I11" s="54"/>
      <c r="J11" s="52"/>
      <c r="K11" s="53"/>
      <c r="L11" s="6"/>
      <c r="M11" s="5"/>
      <c r="N11" s="27"/>
      <c r="O11" s="26"/>
      <c r="P11" s="74"/>
      <c r="Q11" s="55"/>
      <c r="R11" s="55"/>
      <c r="S11" s="55"/>
    </row>
    <row r="12" spans="1:19" ht="12" customHeight="1">
      <c r="A12" s="103"/>
      <c r="B12" s="52"/>
      <c r="C12" s="52"/>
      <c r="D12" s="52"/>
      <c r="E12" s="53"/>
      <c r="F12" s="52"/>
      <c r="G12" s="52"/>
      <c r="H12" s="54"/>
      <c r="I12" s="54"/>
      <c r="J12" s="52"/>
      <c r="K12" s="53"/>
      <c r="L12" s="6"/>
      <c r="M12" s="5"/>
      <c r="N12" s="27"/>
      <c r="O12" s="26"/>
      <c r="P12" s="74"/>
      <c r="Q12" s="55"/>
      <c r="R12" s="55"/>
      <c r="S12" s="55"/>
    </row>
    <row r="13" spans="1:19" ht="12" customHeight="1">
      <c r="A13" s="103"/>
      <c r="B13" s="52"/>
      <c r="C13" s="52"/>
      <c r="D13" s="52"/>
      <c r="E13" s="53"/>
      <c r="F13" s="52"/>
      <c r="G13" s="52"/>
      <c r="H13" s="54"/>
      <c r="I13" s="54"/>
      <c r="J13" s="52"/>
      <c r="K13" s="53"/>
      <c r="L13" s="6"/>
      <c r="M13" s="5"/>
      <c r="N13" s="27"/>
      <c r="O13" s="26"/>
      <c r="P13" s="74"/>
      <c r="Q13" s="55"/>
      <c r="R13" s="55"/>
      <c r="S13" s="55"/>
    </row>
    <row r="14" spans="1:19" ht="12" customHeight="1">
      <c r="A14" s="103"/>
      <c r="B14" s="52"/>
      <c r="C14" s="52"/>
      <c r="D14" s="52"/>
      <c r="E14" s="53"/>
      <c r="F14" s="52"/>
      <c r="G14" s="52"/>
      <c r="H14" s="54"/>
      <c r="I14" s="54"/>
      <c r="J14" s="52"/>
      <c r="K14" s="53"/>
      <c r="L14" s="6"/>
      <c r="M14" s="5"/>
      <c r="N14" s="27"/>
      <c r="O14" s="26"/>
      <c r="P14" s="74"/>
      <c r="Q14" s="55"/>
      <c r="R14" s="55"/>
      <c r="S14" s="55"/>
    </row>
    <row r="15" spans="1:19" ht="12" customHeight="1">
      <c r="A15" s="103"/>
      <c r="B15" s="52"/>
      <c r="C15" s="52"/>
      <c r="D15" s="52"/>
      <c r="E15" s="53"/>
      <c r="F15" s="52"/>
      <c r="G15" s="52"/>
      <c r="H15" s="54"/>
      <c r="I15" s="54"/>
      <c r="J15" s="52"/>
      <c r="K15" s="53"/>
      <c r="L15" s="6"/>
      <c r="M15" s="5"/>
      <c r="N15" s="27"/>
      <c r="O15" s="26"/>
      <c r="P15" s="74"/>
      <c r="Q15" s="55"/>
      <c r="R15" s="55"/>
      <c r="S15" s="55"/>
    </row>
    <row r="16" spans="1:19" ht="12" customHeight="1">
      <c r="A16" s="103"/>
      <c r="B16" s="52"/>
      <c r="C16" s="52"/>
      <c r="D16" s="52"/>
      <c r="E16" s="53"/>
      <c r="F16" s="52"/>
      <c r="G16" s="52"/>
      <c r="H16" s="54"/>
      <c r="I16" s="54"/>
      <c r="J16" s="52"/>
      <c r="K16" s="53"/>
      <c r="L16" s="6"/>
      <c r="M16" s="5"/>
      <c r="N16" s="27"/>
      <c r="O16" s="26"/>
      <c r="P16" s="74"/>
      <c r="Q16" s="55"/>
      <c r="R16" s="55"/>
      <c r="S16" s="55"/>
    </row>
    <row r="17" spans="1:19" ht="12" customHeight="1">
      <c r="A17" s="103"/>
      <c r="B17" s="52"/>
      <c r="C17" s="52"/>
      <c r="D17" s="52"/>
      <c r="E17" s="53"/>
      <c r="F17" s="52"/>
      <c r="G17" s="52"/>
      <c r="H17" s="54"/>
      <c r="I17" s="54"/>
      <c r="J17" s="52"/>
      <c r="K17" s="53"/>
      <c r="L17" s="6"/>
      <c r="M17" s="5"/>
      <c r="N17" s="27"/>
      <c r="O17" s="26"/>
      <c r="P17" s="74"/>
      <c r="Q17" s="55"/>
      <c r="R17" s="55"/>
      <c r="S17" s="55"/>
    </row>
    <row r="18" spans="1:19" ht="12" customHeight="1">
      <c r="A18" s="103"/>
      <c r="B18" s="52"/>
      <c r="C18" s="52"/>
      <c r="D18" s="52"/>
      <c r="E18" s="53"/>
      <c r="F18" s="52"/>
      <c r="G18" s="52"/>
      <c r="H18" s="54"/>
      <c r="I18" s="54"/>
      <c r="J18" s="52"/>
      <c r="K18" s="53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03"/>
      <c r="B19" s="52"/>
      <c r="C19" s="52"/>
      <c r="D19" s="52"/>
      <c r="E19" s="53"/>
      <c r="F19" s="52"/>
      <c r="G19" s="52"/>
      <c r="H19" s="54"/>
      <c r="I19" s="54"/>
      <c r="J19" s="52"/>
      <c r="K19" s="53"/>
      <c r="L19" s="6"/>
      <c r="M19" s="5"/>
      <c r="N19" s="27"/>
      <c r="O19" s="26"/>
      <c r="P19" s="74"/>
      <c r="Q19" s="55"/>
      <c r="R19" s="55"/>
      <c r="S19" s="55"/>
    </row>
    <row r="20" spans="1:19" ht="12" customHeight="1">
      <c r="A20" s="103"/>
      <c r="B20" s="52"/>
      <c r="C20" s="52"/>
      <c r="D20" s="52"/>
      <c r="E20" s="53"/>
      <c r="F20" s="52"/>
      <c r="G20" s="52"/>
      <c r="H20" s="54"/>
      <c r="I20" s="54"/>
      <c r="J20" s="52"/>
      <c r="K20" s="53"/>
      <c r="L20" s="6"/>
      <c r="M20" s="5"/>
      <c r="N20" s="27"/>
      <c r="O20" s="26"/>
      <c r="P20" s="74"/>
      <c r="Q20" s="55"/>
      <c r="R20" s="55"/>
      <c r="S20" s="55"/>
    </row>
    <row r="21" spans="1:19" ht="12" customHeight="1">
      <c r="A21" s="103"/>
      <c r="B21" s="125" t="s">
        <v>281</v>
      </c>
      <c r="C21" s="112"/>
      <c r="D21" s="112"/>
      <c r="E21" s="53"/>
      <c r="F21" s="52"/>
      <c r="G21" s="52"/>
      <c r="H21" s="54"/>
      <c r="I21" s="54"/>
      <c r="J21" s="52"/>
      <c r="K21" s="53"/>
      <c r="L21" s="6"/>
      <c r="M21" s="5"/>
      <c r="N21" s="27"/>
      <c r="O21" s="26"/>
      <c r="P21" s="74"/>
      <c r="Q21" s="55"/>
      <c r="R21" s="55"/>
      <c r="S21" s="55"/>
    </row>
    <row r="22" spans="1:19" ht="12" customHeight="1">
      <c r="A22" s="103"/>
      <c r="B22" s="56" t="s">
        <v>283</v>
      </c>
      <c r="C22" s="56" t="s">
        <v>284</v>
      </c>
      <c r="D22" s="56" t="s">
        <v>286</v>
      </c>
      <c r="E22" s="57"/>
      <c r="F22" s="56">
        <v>1</v>
      </c>
      <c r="G22" s="56"/>
      <c r="H22" s="58">
        <v>26387</v>
      </c>
      <c r="I22" s="58" t="str">
        <f t="shared" ref="I22:I25" si="3">DATEDIF(H22,Date_du_jour,"y") &amp; " an(s) " &amp; DATEDIF(H22,$C$2,"ym") &amp; " mois et " &amp; DATEDIF(H22,$C$2,"md") &amp; " jour(s)"</f>
        <v>47 an(s) 0 mois et 5 jour(s)</v>
      </c>
      <c r="J22" s="56" t="s">
        <v>288</v>
      </c>
      <c r="K22" s="57" t="s">
        <v>289</v>
      </c>
      <c r="L22" s="6"/>
      <c r="M22" s="5">
        <v>1</v>
      </c>
      <c r="N22" s="27">
        <v>1</v>
      </c>
      <c r="O22" s="26"/>
      <c r="P22" s="74"/>
      <c r="Q22" s="55">
        <v>1</v>
      </c>
      <c r="R22" s="55"/>
      <c r="S22" s="55"/>
    </row>
    <row r="23" spans="1:19" ht="12" customHeight="1">
      <c r="A23" s="103"/>
      <c r="B23" s="56" t="s">
        <v>283</v>
      </c>
      <c r="C23" s="56" t="s">
        <v>285</v>
      </c>
      <c r="D23" s="56" t="s">
        <v>287</v>
      </c>
      <c r="E23" s="57"/>
      <c r="F23" s="56"/>
      <c r="G23" s="56">
        <v>1</v>
      </c>
      <c r="H23" s="58">
        <v>40004</v>
      </c>
      <c r="I23" s="58" t="str">
        <f t="shared" si="3"/>
        <v>9 an(s) 8 mois et 24 jour(s)</v>
      </c>
      <c r="J23" s="56" t="s">
        <v>288</v>
      </c>
      <c r="K23" s="57" t="s">
        <v>289</v>
      </c>
      <c r="L23" s="6"/>
      <c r="M23" s="5">
        <v>1</v>
      </c>
      <c r="N23" s="27">
        <v>1</v>
      </c>
      <c r="O23" s="26"/>
      <c r="P23" s="74"/>
      <c r="Q23" s="55">
        <v>1</v>
      </c>
      <c r="R23" s="55"/>
      <c r="S23" s="55"/>
    </row>
    <row r="24" spans="1:19" ht="12" customHeight="1">
      <c r="A24" s="117" t="s">
        <v>125</v>
      </c>
      <c r="B24" s="56" t="str">
        <f>VLOOKUP(A24,[1]!Tableau_cotisants,2,FALSE)</f>
        <v>SANSAUD/MOREAU</v>
      </c>
      <c r="C24" s="56" t="str">
        <f>VLOOKUP(A24,[1]!Tableau_cotisants,3,FALSE)</f>
        <v>MOREAU</v>
      </c>
      <c r="D24" s="56" t="str">
        <f>VLOOKUP(A24,[1]!Tableau_cotisants,4,FALSE)</f>
        <v>Emmanuelle</v>
      </c>
      <c r="E24" s="57">
        <f>VLOOKUP(A24,[1]!Tableau_cotisants,5,FALSE)</f>
        <v>0</v>
      </c>
      <c r="F24" s="56">
        <f>VLOOKUP(A24,[1]!Tableau_cotisants,6,FALSE)</f>
        <v>1</v>
      </c>
      <c r="G24" s="56">
        <f>VLOOKUP(A24,[1]!Tableau_cotisants,7,FALSE)</f>
        <v>0</v>
      </c>
      <c r="H24" s="58">
        <f>VLOOKUP(A24,[1]!Tableau_cotisants,8,FALSE)</f>
        <v>29187</v>
      </c>
      <c r="I24" s="58" t="str">
        <f t="shared" si="3"/>
        <v>39 an(s) 4 mois et 6 jour(s)</v>
      </c>
      <c r="J24" s="56" t="str">
        <f>VLOOKUP(A24,[1]!Tableau_cotisants,10,FALSE)</f>
        <v>SEGONZAC</v>
      </c>
      <c r="K24" s="57" t="str">
        <f>VLOOKUP(A24,[1]!Tableau_cotisants,11,FALSE)</f>
        <v>Champagne</v>
      </c>
      <c r="L24" s="6"/>
      <c r="M24" s="5">
        <v>1</v>
      </c>
      <c r="N24" s="27">
        <v>1</v>
      </c>
      <c r="O24" s="26"/>
      <c r="P24" s="74"/>
      <c r="Q24" s="55"/>
      <c r="R24" s="55"/>
      <c r="S24" s="55"/>
    </row>
    <row r="25" spans="1:19" ht="12" customHeight="1">
      <c r="A25" s="117" t="s">
        <v>126</v>
      </c>
      <c r="B25" s="56" t="str">
        <f>VLOOKUP(A25,[1]!Tableau_cotisants,2,FALSE)</f>
        <v>SANSAUD/MOREAU</v>
      </c>
      <c r="C25" s="56" t="str">
        <f>VLOOKUP(A25,[1]!Tableau_cotisants,3,FALSE)</f>
        <v>SANSAUD</v>
      </c>
      <c r="D25" s="56" t="str">
        <f>VLOOKUP(A25,[1]!Tableau_cotisants,4,FALSE)</f>
        <v>Ethan</v>
      </c>
      <c r="E25" s="57">
        <f>VLOOKUP(A25,[1]!Tableau_cotisants,5,FALSE)</f>
        <v>0</v>
      </c>
      <c r="F25" s="56">
        <f>VLOOKUP(A25,[1]!Tableau_cotisants,6,FALSE)</f>
        <v>0</v>
      </c>
      <c r="G25" s="56">
        <f>VLOOKUP(A25,[1]!Tableau_cotisants,7,FALSE)</f>
        <v>1</v>
      </c>
      <c r="H25" s="58">
        <f>VLOOKUP(A25,[1]!Tableau_cotisants,8,FALSE)</f>
        <v>41015</v>
      </c>
      <c r="I25" s="58" t="str">
        <f t="shared" si="3"/>
        <v>6 an(s) 11 mois et 18 jour(s)</v>
      </c>
      <c r="J25" s="56" t="str">
        <f>VLOOKUP(A25,[1]!Tableau_cotisants,10,FALSE)</f>
        <v>SEGONZAC</v>
      </c>
      <c r="K25" s="57" t="str">
        <f>VLOOKUP(A25,[1]!Tableau_cotisants,11,FALSE)</f>
        <v>Champagne</v>
      </c>
      <c r="L25" s="6"/>
      <c r="M25" s="5">
        <v>1</v>
      </c>
      <c r="N25" s="27">
        <v>1</v>
      </c>
      <c r="O25" s="26"/>
      <c r="P25" s="74"/>
      <c r="Q25" s="55"/>
      <c r="R25" s="55"/>
      <c r="S25" s="55"/>
    </row>
    <row r="26" spans="1:19" ht="12" customHeight="1">
      <c r="A26" s="117" t="s">
        <v>127</v>
      </c>
      <c r="B26" s="56" t="str">
        <f>VLOOKUP(A26,[1]!Tableau_cotisants,2,FALSE)</f>
        <v>SANSAUD/MOREAU</v>
      </c>
      <c r="C26" s="56" t="str">
        <f>VLOOKUP(A26,[1]!Tableau_cotisants,3,FALSE)</f>
        <v>SANSAUD</v>
      </c>
      <c r="D26" s="56" t="str">
        <f>VLOOKUP(A26,[1]!Tableau_cotisants,4,FALSE)</f>
        <v>Axel</v>
      </c>
      <c r="E26" s="57">
        <f>VLOOKUP(A26,[1]!Tableau_cotisants,5,FALSE)</f>
        <v>0</v>
      </c>
      <c r="F26" s="56">
        <f>VLOOKUP(A26,[1]!Tableau_cotisants,6,FALSE)</f>
        <v>0</v>
      </c>
      <c r="G26" s="56">
        <f>VLOOKUP(A26,[1]!Tableau_cotisants,7,FALSE)</f>
        <v>1</v>
      </c>
      <c r="H26" s="58">
        <f>VLOOKUP(A26,[1]!Tableau_cotisants,8,FALSE)</f>
        <v>42407</v>
      </c>
      <c r="I26" s="58" t="str">
        <f t="shared" ref="I26" si="4">DATEDIF(H26,Date_du_jour,"y") &amp; " an(s) " &amp; DATEDIF(H26,$C$2,"ym") &amp; " mois et " &amp; DATEDIF(H26,$C$2,"md") &amp; " jour(s)"</f>
        <v>3 an(s) 1 mois et 27 jour(s)</v>
      </c>
      <c r="J26" s="56" t="str">
        <f>VLOOKUP(A26,[1]!Tableau_cotisants,10,FALSE)</f>
        <v>SEGONZAC</v>
      </c>
      <c r="K26" s="57" t="str">
        <f>VLOOKUP(A26,[1]!Tableau_cotisants,11,FALSE)</f>
        <v>Champagne</v>
      </c>
      <c r="L26" s="6"/>
      <c r="M26" s="5">
        <v>1</v>
      </c>
      <c r="N26" s="27">
        <v>1</v>
      </c>
      <c r="O26" s="26"/>
      <c r="P26" s="74"/>
      <c r="Q26" s="55"/>
      <c r="R26" s="55"/>
      <c r="S26" s="55"/>
    </row>
    <row r="27" spans="1:19" ht="12" customHeight="1">
      <c r="A27" s="103"/>
      <c r="B27" s="56"/>
      <c r="C27" s="56"/>
      <c r="D27" s="56"/>
      <c r="E27" s="57"/>
      <c r="F27" s="56"/>
      <c r="G27" s="56"/>
      <c r="H27" s="58"/>
      <c r="I27" s="58"/>
      <c r="J27" s="56"/>
      <c r="K27" s="57"/>
      <c r="L27" s="6"/>
      <c r="M27" s="5"/>
      <c r="N27" s="27"/>
      <c r="O27" s="26"/>
      <c r="P27" s="74"/>
      <c r="Q27" s="55"/>
      <c r="R27" s="55"/>
      <c r="S27" s="55"/>
    </row>
    <row r="28" spans="1:19" ht="12" customHeight="1">
      <c r="A28" s="103"/>
      <c r="B28" s="56"/>
      <c r="C28" s="56"/>
      <c r="D28" s="56"/>
      <c r="E28" s="57"/>
      <c r="F28" s="56"/>
      <c r="G28" s="56"/>
      <c r="H28" s="58"/>
      <c r="I28" s="58"/>
      <c r="J28" s="56"/>
      <c r="K28" s="57"/>
      <c r="L28" s="6"/>
      <c r="M28" s="5"/>
      <c r="N28" s="27"/>
      <c r="O28" s="26"/>
      <c r="P28" s="74"/>
      <c r="Q28" s="55"/>
      <c r="R28" s="55"/>
      <c r="S28" s="55"/>
    </row>
    <row r="29" spans="1:19" ht="12" customHeight="1">
      <c r="A29" s="103"/>
      <c r="B29" s="125" t="s">
        <v>282</v>
      </c>
      <c r="C29" s="112"/>
      <c r="D29" s="112"/>
      <c r="E29" s="57"/>
      <c r="F29" s="56"/>
      <c r="G29" s="56"/>
      <c r="H29" s="58"/>
      <c r="I29" s="58"/>
      <c r="J29" s="56"/>
      <c r="K29" s="57"/>
      <c r="L29" s="6"/>
      <c r="M29" s="5"/>
      <c r="N29" s="27"/>
      <c r="O29" s="26"/>
      <c r="P29" s="74"/>
      <c r="Q29" s="55"/>
      <c r="R29" s="55"/>
      <c r="S29" s="55"/>
    </row>
    <row r="30" spans="1:19" ht="12" customHeight="1">
      <c r="A30" s="103"/>
      <c r="B30" s="125"/>
      <c r="C30" s="112"/>
      <c r="D30" s="112"/>
      <c r="E30" s="57"/>
      <c r="F30" s="56"/>
      <c r="G30" s="56"/>
      <c r="H30" s="58"/>
      <c r="I30" s="58"/>
      <c r="J30" s="56"/>
      <c r="K30" s="57"/>
      <c r="L30" s="6"/>
      <c r="M30" s="5"/>
      <c r="N30" s="27"/>
      <c r="O30" s="26"/>
      <c r="P30" s="74"/>
      <c r="Q30" s="55"/>
      <c r="R30" s="55"/>
      <c r="S30" s="55"/>
    </row>
    <row r="31" spans="1:19" ht="12" customHeight="1">
      <c r="A31" s="153"/>
      <c r="B31" s="56"/>
      <c r="C31" s="56"/>
      <c r="D31" s="56"/>
      <c r="E31" s="57"/>
      <c r="F31" s="56"/>
      <c r="G31" s="56"/>
      <c r="H31" s="58"/>
      <c r="I31" s="58"/>
      <c r="J31" s="56"/>
      <c r="K31" s="57"/>
      <c r="L31" s="6"/>
      <c r="M31" s="5"/>
      <c r="N31" s="27"/>
      <c r="O31" s="26"/>
      <c r="P31" s="74"/>
      <c r="Q31" s="55"/>
      <c r="R31" s="55"/>
      <c r="S31" s="55"/>
    </row>
    <row r="32" spans="1:19" ht="12" customHeight="1">
      <c r="A32" s="153"/>
      <c r="B32" s="56"/>
      <c r="C32" s="56"/>
      <c r="D32" s="56"/>
      <c r="E32" s="57"/>
      <c r="F32" s="56"/>
      <c r="G32" s="56"/>
      <c r="H32" s="58"/>
      <c r="I32" s="58"/>
      <c r="J32" s="56"/>
      <c r="K32" s="57"/>
      <c r="L32" s="6"/>
      <c r="M32" s="5"/>
      <c r="N32" s="27"/>
      <c r="O32" s="26"/>
      <c r="P32" s="74"/>
      <c r="Q32" s="55"/>
      <c r="R32" s="55"/>
      <c r="S32" s="55"/>
    </row>
    <row r="33" spans="1:19" ht="12" customHeight="1">
      <c r="A33" s="153"/>
      <c r="B33" s="56"/>
      <c r="C33" s="56"/>
      <c r="D33" s="56"/>
      <c r="E33" s="57"/>
      <c r="F33" s="56"/>
      <c r="G33" s="56"/>
      <c r="H33" s="58"/>
      <c r="I33" s="58"/>
      <c r="J33" s="56"/>
      <c r="K33" s="57"/>
      <c r="L33" s="6"/>
      <c r="M33" s="5"/>
      <c r="N33" s="27"/>
      <c r="O33" s="26"/>
      <c r="P33" s="74"/>
      <c r="Q33" s="55"/>
      <c r="R33" s="55"/>
      <c r="S33" s="55"/>
    </row>
    <row r="34" spans="1:19" ht="12" customHeight="1">
      <c r="A34" s="153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6"/>
      <c r="M34" s="5"/>
      <c r="N34" s="27"/>
      <c r="O34" s="26"/>
      <c r="P34" s="74"/>
      <c r="Q34" s="55"/>
      <c r="R34" s="55"/>
      <c r="S34" s="55"/>
    </row>
    <row r="35" spans="1:19" ht="12" customHeight="1">
      <c r="A35" s="153"/>
      <c r="B35" s="56"/>
      <c r="C35" s="56"/>
      <c r="D35" s="56"/>
      <c r="E35" s="57"/>
      <c r="F35" s="56"/>
      <c r="G35" s="56"/>
      <c r="H35" s="58"/>
      <c r="I35" s="58"/>
      <c r="J35" s="56"/>
      <c r="K35" s="57"/>
      <c r="L35" s="6"/>
      <c r="M35" s="5"/>
      <c r="N35" s="27"/>
      <c r="O35" s="26"/>
      <c r="P35" s="74"/>
      <c r="Q35" s="55"/>
      <c r="R35" s="55"/>
      <c r="S35" s="55"/>
    </row>
    <row r="36" spans="1:19" ht="12" customHeight="1">
      <c r="A36" s="153"/>
      <c r="B36" s="56"/>
      <c r="C36" s="56"/>
      <c r="D36" s="56"/>
      <c r="E36" s="57"/>
      <c r="F36" s="56"/>
      <c r="G36" s="56"/>
      <c r="H36" s="58"/>
      <c r="I36" s="58"/>
      <c r="J36" s="56"/>
      <c r="K36" s="57"/>
      <c r="L36" s="6"/>
      <c r="M36" s="5"/>
      <c r="N36" s="27"/>
      <c r="O36" s="26"/>
      <c r="P36" s="74"/>
      <c r="Q36" s="55"/>
      <c r="R36" s="55"/>
      <c r="S36" s="55"/>
    </row>
    <row r="37" spans="1:19" ht="12" customHeight="1">
      <c r="A37" s="153"/>
      <c r="B37" s="56"/>
      <c r="C37" s="56"/>
      <c r="D37" s="56"/>
      <c r="E37" s="57"/>
      <c r="F37" s="56"/>
      <c r="G37" s="56"/>
      <c r="H37" s="58"/>
      <c r="I37" s="58"/>
      <c r="J37" s="56"/>
      <c r="K37" s="57"/>
      <c r="L37" s="6"/>
      <c r="M37" s="5"/>
      <c r="N37" s="27"/>
      <c r="O37" s="26"/>
      <c r="P37" s="74"/>
      <c r="Q37" s="55"/>
      <c r="R37" s="55"/>
      <c r="S37" s="55"/>
    </row>
    <row r="38" spans="1:19" ht="12" customHeight="1">
      <c r="A38" s="153"/>
      <c r="B38" s="56"/>
      <c r="C38" s="56"/>
      <c r="D38" s="56"/>
      <c r="E38" s="57"/>
      <c r="F38" s="56"/>
      <c r="G38" s="56"/>
      <c r="H38" s="58"/>
      <c r="I38" s="58"/>
      <c r="J38" s="56"/>
      <c r="K38" s="57"/>
      <c r="L38" s="6"/>
      <c r="M38" s="5"/>
      <c r="N38" s="27"/>
      <c r="O38" s="26"/>
      <c r="P38" s="74"/>
      <c r="Q38" s="55"/>
      <c r="R38" s="55"/>
      <c r="S38" s="55"/>
    </row>
    <row r="39" spans="1:19" ht="12" customHeight="1">
      <c r="A39" s="153"/>
      <c r="B39" s="56"/>
      <c r="C39" s="56"/>
      <c r="D39" s="56"/>
      <c r="E39" s="57"/>
      <c r="F39" s="56"/>
      <c r="G39" s="56"/>
      <c r="H39" s="58"/>
      <c r="I39" s="58"/>
      <c r="J39" s="56"/>
      <c r="K39" s="57"/>
      <c r="L39" s="6"/>
      <c r="M39" s="5"/>
      <c r="N39" s="27"/>
      <c r="O39" s="26"/>
      <c r="P39" s="74"/>
      <c r="Q39" s="55"/>
      <c r="R39" s="55"/>
      <c r="S39" s="55"/>
    </row>
    <row r="40" spans="1:19" ht="12" customHeight="1">
      <c r="A40" s="153"/>
      <c r="B40" s="56"/>
      <c r="C40" s="56"/>
      <c r="D40" s="56"/>
      <c r="E40" s="57"/>
      <c r="F40" s="56"/>
      <c r="G40" s="56"/>
      <c r="H40" s="58"/>
      <c r="I40" s="58"/>
      <c r="J40" s="56"/>
      <c r="K40" s="57"/>
      <c r="L40" s="6"/>
      <c r="M40" s="5"/>
      <c r="N40" s="27"/>
      <c r="O40" s="26"/>
      <c r="P40" s="74"/>
      <c r="Q40" s="55"/>
      <c r="R40" s="55"/>
      <c r="S40" s="55"/>
    </row>
    <row r="41" spans="1:19" ht="12" customHeight="1">
      <c r="A41" s="153"/>
      <c r="B41" s="56"/>
      <c r="C41" s="56"/>
      <c r="D41" s="56"/>
      <c r="E41" s="57"/>
      <c r="F41" s="56"/>
      <c r="G41" s="56"/>
      <c r="H41" s="58"/>
      <c r="I41" s="58"/>
      <c r="J41" s="56"/>
      <c r="K41" s="57"/>
      <c r="L41" s="6"/>
      <c r="M41" s="5"/>
      <c r="N41" s="27"/>
      <c r="O41" s="26"/>
      <c r="P41" s="74"/>
      <c r="Q41" s="55"/>
      <c r="R41" s="55"/>
      <c r="S41" s="55"/>
    </row>
    <row r="42" spans="1:19" ht="12" customHeight="1">
      <c r="A42" s="153"/>
      <c r="B42" s="56"/>
      <c r="C42" s="56"/>
      <c r="D42" s="56"/>
      <c r="E42" s="57"/>
      <c r="F42" s="56"/>
      <c r="G42" s="56"/>
      <c r="H42" s="58"/>
      <c r="I42" s="58"/>
      <c r="J42" s="56"/>
      <c r="K42" s="57"/>
      <c r="L42" s="6"/>
      <c r="M42" s="5"/>
      <c r="N42" s="27"/>
      <c r="O42" s="26"/>
      <c r="P42" s="74"/>
      <c r="Q42" s="55"/>
      <c r="R42" s="55"/>
      <c r="S42" s="55"/>
    </row>
    <row r="43" spans="1:19" ht="12" customHeight="1" thickBot="1">
      <c r="A43" s="153"/>
      <c r="B43" s="56"/>
      <c r="C43" s="56"/>
      <c r="D43" s="56"/>
      <c r="E43" s="57"/>
      <c r="F43" s="56"/>
      <c r="G43" s="56"/>
      <c r="H43" s="58"/>
      <c r="I43" s="58"/>
      <c r="J43" s="56"/>
      <c r="K43" s="57"/>
      <c r="L43" s="6"/>
      <c r="M43" s="5"/>
      <c r="N43" s="27"/>
      <c r="O43" s="26"/>
      <c r="P43" s="74"/>
      <c r="Q43" s="55"/>
      <c r="R43" s="55"/>
      <c r="S43" s="55"/>
    </row>
    <row r="44" spans="1:19" ht="19.5" thickBot="1">
      <c r="A44" s="153"/>
      <c r="B44" s="4"/>
      <c r="C44" s="4"/>
      <c r="D44" s="4"/>
      <c r="E44" s="4">
        <f>SUM(E5:E43)</f>
        <v>0</v>
      </c>
      <c r="F44" s="4">
        <f>SUM(F5:F43)</f>
        <v>5</v>
      </c>
      <c r="G44" s="4">
        <f>SUM(G5:G43)</f>
        <v>5</v>
      </c>
      <c r="H44" s="4"/>
      <c r="I44" s="4"/>
      <c r="J44" s="4"/>
      <c r="K44" s="18">
        <f>SUM(K7:K43)</f>
        <v>0</v>
      </c>
      <c r="L44" s="93">
        <f t="shared" ref="L44:S44" si="5">SUM(L5:L43)</f>
        <v>5</v>
      </c>
      <c r="M44" s="19">
        <f t="shared" si="5"/>
        <v>5</v>
      </c>
      <c r="N44" s="20">
        <f t="shared" si="5"/>
        <v>8</v>
      </c>
      <c r="O44" s="28">
        <f t="shared" si="5"/>
        <v>0</v>
      </c>
      <c r="P44" s="72">
        <f t="shared" si="5"/>
        <v>2</v>
      </c>
      <c r="Q44" s="79">
        <f t="shared" si="5"/>
        <v>2</v>
      </c>
      <c r="R44" s="80">
        <f t="shared" si="5"/>
        <v>0</v>
      </c>
      <c r="S44" s="81">
        <f t="shared" si="5"/>
        <v>0</v>
      </c>
    </row>
    <row r="45" spans="1:19" ht="24" thickBot="1">
      <c r="B45" t="s">
        <v>28</v>
      </c>
      <c r="C45" s="98"/>
      <c r="F45" s="201">
        <f>F44+G44</f>
        <v>10</v>
      </c>
      <c r="G45" s="201"/>
      <c r="L45" s="201">
        <f>L44+M44</f>
        <v>10</v>
      </c>
      <c r="M45" s="201"/>
      <c r="N45" s="202">
        <f>N44+O44+P44</f>
        <v>10</v>
      </c>
      <c r="O45" s="202"/>
      <c r="P45" s="202"/>
      <c r="Q45" s="162"/>
      <c r="R45" s="162"/>
      <c r="S45" s="162"/>
    </row>
    <row r="46" spans="1:19" ht="15.75" thickBot="1">
      <c r="B46" t="s">
        <v>75</v>
      </c>
      <c r="L46" s="22">
        <f>L44+'27 mars 2019'!L46</f>
        <v>128</v>
      </c>
      <c r="M46" s="23">
        <f>M44+'27 mars 2019'!M46</f>
        <v>122</v>
      </c>
      <c r="N46" s="24">
        <f>N44+'27 mars 2019'!N46</f>
        <v>137</v>
      </c>
      <c r="O46" s="25">
        <f>O44+'27 mars 2019'!O46</f>
        <v>26</v>
      </c>
      <c r="P46" s="84">
        <f>P44+'27 mars 2019'!P46</f>
        <v>87</v>
      </c>
      <c r="Q46" s="82">
        <f>Q44+'27 mars 2019'!Q46</f>
        <v>14</v>
      </c>
      <c r="R46" s="90">
        <f>R44+'27 mars 2019'!R46</f>
        <v>2</v>
      </c>
      <c r="S46" s="83">
        <f>S44+'27 mars 2019'!S46</f>
        <v>13</v>
      </c>
    </row>
    <row r="47" spans="1:19" ht="33" thickBot="1">
      <c r="L47" s="203">
        <f>L45+'27 mars 2019'!L47:M47</f>
        <v>250</v>
      </c>
      <c r="M47" s="204"/>
      <c r="N47" s="205">
        <f>N45+'27 mars 2019'!N47:P47</f>
        <v>250</v>
      </c>
      <c r="O47" s="206"/>
      <c r="P47" s="207"/>
    </row>
    <row r="48" spans="1:19">
      <c r="B48" t="s">
        <v>181</v>
      </c>
      <c r="C48" s="142" t="s">
        <v>185</v>
      </c>
      <c r="D48" t="s">
        <v>181</v>
      </c>
      <c r="E48" s="208" t="s">
        <v>182</v>
      </c>
      <c r="F48" s="209"/>
    </row>
    <row r="49" spans="1:6" ht="45">
      <c r="A49" s="140" t="s">
        <v>183</v>
      </c>
      <c r="B49" s="138"/>
      <c r="C49" s="139">
        <f>B49+'27 mars 2019'!C49</f>
        <v>10</v>
      </c>
      <c r="D49" s="138"/>
      <c r="E49" s="195">
        <f>D49+'27 mars 2019'!E49:F49</f>
        <v>70</v>
      </c>
      <c r="F49" s="196"/>
    </row>
    <row r="50" spans="1:6" ht="32.25">
      <c r="A50" s="141" t="s">
        <v>184</v>
      </c>
      <c r="B50" s="138">
        <v>2</v>
      </c>
      <c r="C50" s="139">
        <f>B50+'27 mars 2019'!C50</f>
        <v>13</v>
      </c>
      <c r="D50" s="138">
        <v>10</v>
      </c>
      <c r="E50" s="195">
        <f>D50+'27 mars 2019'!E50:F50</f>
        <v>89</v>
      </c>
      <c r="F50" s="196"/>
    </row>
    <row r="51" spans="1:6">
      <c r="B51" s="162">
        <f>B50+B49</f>
        <v>2</v>
      </c>
      <c r="C51" s="162">
        <f>C50+C49</f>
        <v>23</v>
      </c>
      <c r="D51" s="162">
        <f>D50+D49</f>
        <v>10</v>
      </c>
      <c r="E51" s="210">
        <f>E50+E49</f>
        <v>159</v>
      </c>
      <c r="F51" s="210"/>
    </row>
    <row r="53" spans="1:6">
      <c r="D53" t="s">
        <v>262</v>
      </c>
    </row>
  </sheetData>
  <mergeCells count="10">
    <mergeCell ref="E49:F49"/>
    <mergeCell ref="E50:F50"/>
    <mergeCell ref="E51:F51"/>
    <mergeCell ref="F3:G3"/>
    <mergeCell ref="F45:G45"/>
    <mergeCell ref="L45:M45"/>
    <mergeCell ref="N45:P45"/>
    <mergeCell ref="L47:M47"/>
    <mergeCell ref="N47:P47"/>
    <mergeCell ref="E48:F48"/>
  </mergeCells>
  <conditionalFormatting sqref="N47">
    <cfRule type="cellIs" dxfId="37" priority="4" operator="equal">
      <formula>$N$46+$O$46</formula>
    </cfRule>
  </conditionalFormatting>
  <conditionalFormatting sqref="N47">
    <cfRule type="cellIs" dxfId="36" priority="3" operator="equal">
      <formula>$N$52+$O$52</formula>
    </cfRule>
  </conditionalFormatting>
  <conditionalFormatting sqref="F45:G45 N45">
    <cfRule type="cellIs" dxfId="35" priority="1" operator="notEqual">
      <formula>$L$45</formula>
    </cfRule>
    <cfRule type="cellIs" dxfId="34" priority="2" operator="equal">
      <formula>$L$45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2:S53"/>
  <sheetViews>
    <sheetView workbookViewId="0">
      <pane ySplit="4" topLeftCell="A26" activePane="bottomLeft" state="frozen"/>
      <selection pane="bottomLeft" activeCell="A28" sqref="A28:S32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43565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12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14" t="s">
        <v>117</v>
      </c>
      <c r="B5" s="52" t="str">
        <f>VLOOKUP(A5,[1]!Tableau_cotisants,2,FALSE)</f>
        <v>GABORIT-TRIJOL</v>
      </c>
      <c r="C5" s="52" t="str">
        <f>VLOOKUP(A5,[1]!Tableau_cotisants,3,FALSE)</f>
        <v>GABORIT-TRIJOL</v>
      </c>
      <c r="D5" s="52" t="str">
        <f>VLOOKUP(A5,[1]!Tableau_cotisants,4,FALSE)</f>
        <v>Marceau</v>
      </c>
      <c r="E5" s="53">
        <f>VLOOKUP(A5,[1]!Tableau_cotisants,5,FALSE)</f>
        <v>0</v>
      </c>
      <c r="F5" s="52">
        <f>VLOOKUP(A5,[1]!Tableau_cotisants,6,FALSE)</f>
        <v>0</v>
      </c>
      <c r="G5" s="52">
        <f>VLOOKUP(A5,[1]!Tableau_cotisants,7,FALSE)</f>
        <v>1</v>
      </c>
      <c r="H5" s="54">
        <f>VLOOKUP(A5,[1]!Tableau_cotisants,8,FALSE)</f>
        <v>43002</v>
      </c>
      <c r="I5" s="54" t="str">
        <f t="shared" ref="I5" si="0">DATEDIF(H5,Date_du_jour,"y") &amp; " an(s) " &amp; DATEDIF(H5,$C$2,"ym") &amp; " mois et " &amp; DATEDIF(H5,$C$2,"md") &amp; " jour(s)"</f>
        <v>1 an(s) 6 mois et 17 jour(s)</v>
      </c>
      <c r="J5" s="52" t="str">
        <f>VLOOKUP(A5,[1]!Tableau_cotisants,10,FALSE)</f>
        <v>Mainxe</v>
      </c>
      <c r="K5" s="53" t="str">
        <f>VLOOKUP(A5,[1]!Tableau_cotisants,11,FALSE)</f>
        <v>Jarnac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14" t="s">
        <v>290</v>
      </c>
      <c r="B6" s="52" t="str">
        <f>VLOOKUP(A6,[1]!Tableau_cotisants,2,FALSE)</f>
        <v>GABORIT-TRIJOL</v>
      </c>
      <c r="C6" s="52" t="str">
        <f>VLOOKUP(A6,[1]!Tableau_cotisants,3,FALSE)</f>
        <v>GABORIT ROBREAU</v>
      </c>
      <c r="D6" s="52" t="str">
        <f>VLOOKUP(A6,[1]!Tableau_cotisants,4,FALSE)</f>
        <v>Sylvie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20290</v>
      </c>
      <c r="I6" s="54" t="str">
        <f t="shared" ref="I6" si="1">DATEDIF(H6,Date_du_jour,"y") &amp; " an(s) " &amp; DATEDIF(H6,$C$2,"ym") &amp; " mois et " &amp; DATEDIF(H6,$C$2,"md") &amp; " jour(s)"</f>
        <v>63 an(s) 8 mois et 21 jour(s)</v>
      </c>
      <c r="J6" s="52" t="str">
        <f>VLOOKUP(A6,[1]!Tableau_cotisants,10,FALSE)</f>
        <v>Mainxe</v>
      </c>
      <c r="K6" s="53" t="str">
        <f>VLOOKUP(A6,[1]!Tableau_cotisants,11,FALSE)</f>
        <v>Jarnac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47" t="s">
        <v>176</v>
      </c>
      <c r="B7" s="52" t="str">
        <f>VLOOKUP(A7,[1]!Tableau_cotisants,2,FALSE)</f>
        <v>RÉGNIER</v>
      </c>
      <c r="C7" s="52" t="str">
        <f>VLOOKUP(A7,[1]!Tableau_cotisants,3,FALSE)</f>
        <v>RÉGNIER</v>
      </c>
      <c r="D7" s="52" t="str">
        <f>VLOOKUP(A7,[1]!Tableau_cotisants,4,FALSE)</f>
        <v>Laëtitia</v>
      </c>
      <c r="E7" s="53">
        <f>VLOOKUP(A7,[1]!Tableau_cotisants,5,FALSE)</f>
        <v>1</v>
      </c>
      <c r="F7" s="52">
        <f>VLOOKUP(A7,[1]!Tableau_cotisants,6,FALSE)</f>
        <v>1</v>
      </c>
      <c r="G7" s="52">
        <f>VLOOKUP(A7,[1]!Tableau_cotisants,7,FALSE)</f>
        <v>0</v>
      </c>
      <c r="H7" s="54">
        <f>VLOOKUP(A7,[1]!Tableau_cotisants,8,FALSE)</f>
        <v>29180</v>
      </c>
      <c r="I7" s="54" t="str">
        <f t="shared" ref="I7" si="2">DATEDIF(H7,Date_du_jour,"y") &amp; " an(s) " &amp; DATEDIF(H7,$C$2,"ym") &amp; " mois et " &amp; DATEDIF(H7,$C$2,"md") &amp; " jour(s)"</f>
        <v>39 an(s) 4 mois et 20 jour(s)</v>
      </c>
      <c r="J7" s="52" t="str">
        <f>VLOOKUP(A7,[1]!Tableau_cotisants,10,FALSE)</f>
        <v>COGNAC</v>
      </c>
      <c r="K7" s="53" t="str">
        <f>VLOOKUP(A7,[1]!Tableau_cotisants,11,FALSE)</f>
        <v>Cognac</v>
      </c>
      <c r="L7" s="6">
        <v>1</v>
      </c>
      <c r="M7" s="5"/>
      <c r="N7" s="27"/>
      <c r="O7" s="26"/>
      <c r="P7" s="74">
        <v>1</v>
      </c>
      <c r="Q7" s="55"/>
      <c r="R7" s="55"/>
      <c r="S7" s="55"/>
    </row>
    <row r="8" spans="1:19" ht="12" customHeight="1">
      <c r="A8" s="147" t="s">
        <v>204</v>
      </c>
      <c r="B8" s="52" t="str">
        <f>VLOOKUP(A8,[1]!Tableau_cotisants,2,FALSE)</f>
        <v>RÉGNIER</v>
      </c>
      <c r="C8" s="52" t="str">
        <f>VLOOKUP(A8,[1]!Tableau_cotisants,3,FALSE)</f>
        <v>VANDER-JENGT</v>
      </c>
      <c r="D8" s="52" t="str">
        <f>VLOOKUP(A8,[1]!Tableau_cotisants,4,FALSE)</f>
        <v>Kilauéa</v>
      </c>
      <c r="E8" s="53">
        <f>VLOOKUP(A8,[1]!Tableau_cotisants,5,FALSE)</f>
        <v>1</v>
      </c>
      <c r="F8" s="52">
        <f>VLOOKUP(A8,[1]!Tableau_cotisants,6,FALSE)</f>
        <v>0</v>
      </c>
      <c r="G8" s="52">
        <f>VLOOKUP(A8,[1]!Tableau_cotisants,7,FALSE)</f>
        <v>1</v>
      </c>
      <c r="H8" s="54">
        <f>VLOOKUP(A8,[1]!Tableau_cotisants,8,FALSE)</f>
        <v>42655</v>
      </c>
      <c r="I8" s="54" t="str">
        <f t="shared" ref="I8:I10" si="3">DATEDIF(H8,Date_du_jour,"y") &amp; " an(s) " &amp; DATEDIF(H8,$C$2,"ym") &amp; " mois et " &amp; DATEDIF(H8,$C$2,"md") &amp; " jour(s)"</f>
        <v>2 an(s) 5 mois et 29 jour(s)</v>
      </c>
      <c r="J8" s="52" t="str">
        <f>VLOOKUP(A8,[1]!Tableau_cotisants,10,FALSE)</f>
        <v>COGNAC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21" t="s">
        <v>77</v>
      </c>
      <c r="B9" s="52" t="str">
        <f>VLOOKUP(A9,[1]!Tableau_cotisants,2,FALSE)</f>
        <v>DEGRIS</v>
      </c>
      <c r="C9" s="52" t="str">
        <f>VLOOKUP(A9,[1]!Tableau_cotisants,3,FALSE)</f>
        <v>DEGRIS</v>
      </c>
      <c r="D9" s="52" t="str">
        <f>VLOOKUP(A9,[1]!Tableau_cotisants,4,FALSE)</f>
        <v>Laura</v>
      </c>
      <c r="E9" s="53">
        <f>VLOOKUP(A9,[1]!Tableau_cotisants,5,FALSE)</f>
        <v>1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32556</v>
      </c>
      <c r="I9" s="54" t="str">
        <f t="shared" si="3"/>
        <v>30 an(s) 1 mois et 24 jour(s)</v>
      </c>
      <c r="J9" s="52" t="str">
        <f>VLOOKUP(A9,[1]!Tableau_cotisants,10,FALSE)</f>
        <v>SALLES D'ANGLES</v>
      </c>
      <c r="K9" s="53" t="str">
        <f>VLOOKUP(A9,[1]!Tableau_cotisants,11,FALSE)</f>
        <v>Champagne</v>
      </c>
      <c r="L9" s="6">
        <v>1</v>
      </c>
      <c r="M9" s="5"/>
      <c r="N9" s="27">
        <v>1</v>
      </c>
      <c r="O9" s="26"/>
      <c r="P9" s="74"/>
      <c r="Q9" s="55"/>
      <c r="R9" s="55"/>
      <c r="S9" s="55"/>
    </row>
    <row r="10" spans="1:19" ht="12" customHeight="1">
      <c r="A10" s="121" t="s">
        <v>79</v>
      </c>
      <c r="B10" s="52" t="str">
        <f>VLOOKUP(A10,[1]!Tableau_cotisants,2,FALSE)</f>
        <v>DEGRIS</v>
      </c>
      <c r="C10" s="52" t="str">
        <f>VLOOKUP(A10,[1]!Tableau_cotisants,3,FALSE)</f>
        <v>GUYOT</v>
      </c>
      <c r="D10" s="52" t="str">
        <f>VLOOKUP(A10,[1]!Tableau_cotisants,4,FALSE)</f>
        <v>Léanne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41202</v>
      </c>
      <c r="I10" s="54" t="str">
        <f t="shared" si="3"/>
        <v>6 an(s) 5 mois et 21 jour(s)</v>
      </c>
      <c r="J10" s="52" t="str">
        <f>VLOOKUP(A10,[1]!Tableau_cotisants,10,FALSE)</f>
        <v>SALLES D'ANGLES</v>
      </c>
      <c r="K10" s="53" t="str">
        <f>VLOOKUP(A10,[1]!Tableau_cotisants,11,FALSE)</f>
        <v>Champagne</v>
      </c>
      <c r="L10" s="6">
        <v>1</v>
      </c>
      <c r="M10" s="5"/>
      <c r="N10" s="27">
        <v>1</v>
      </c>
      <c r="O10" s="26"/>
      <c r="P10" s="74"/>
      <c r="Q10" s="55"/>
      <c r="R10" s="55"/>
      <c r="S10" s="55"/>
    </row>
    <row r="11" spans="1:19" ht="12" customHeight="1">
      <c r="A11" s="121" t="s">
        <v>78</v>
      </c>
      <c r="B11" s="52" t="str">
        <f>VLOOKUP(A11,[1]!Tableau_cotisants,2,FALSE)</f>
        <v>DEGRIS</v>
      </c>
      <c r="C11" s="52" t="str">
        <f>VLOOKUP(A11,[1]!Tableau_cotisants,3,FALSE)</f>
        <v>GUYOT</v>
      </c>
      <c r="D11" s="52" t="str">
        <f>VLOOKUP(A11,[1]!Tableau_cotisants,4,FALSE)</f>
        <v>Nathan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42354</v>
      </c>
      <c r="I11" s="54" t="str">
        <f t="shared" ref="I11" si="4">DATEDIF(H11,Date_du_jour,"y") &amp; " an(s) " &amp; DATEDIF(H11,$C$2,"ym") &amp; " mois et " &amp; DATEDIF(H11,$C$2,"md") &amp; " jour(s)"</f>
        <v>3 an(s) 3 mois et 25 jour(s)</v>
      </c>
      <c r="J11" s="52" t="str">
        <f>VLOOKUP(A11,[1]!Tableau_cotisants,10,FALSE)</f>
        <v>SALLES D'ANGLES</v>
      </c>
      <c r="K11" s="53" t="str">
        <f>VLOOKUP(A11,[1]!Tableau_cotisants,11,FALSE)</f>
        <v>Champagne</v>
      </c>
      <c r="L11" s="6">
        <v>1</v>
      </c>
      <c r="M11" s="5"/>
      <c r="N11" s="27">
        <v>1</v>
      </c>
      <c r="O11" s="26"/>
      <c r="P11" s="74"/>
      <c r="Q11" s="55"/>
      <c r="R11" s="55"/>
      <c r="S11" s="55"/>
    </row>
    <row r="12" spans="1:19" ht="12" customHeight="1">
      <c r="A12" s="121" t="s">
        <v>133</v>
      </c>
      <c r="B12" s="52" t="str">
        <f>VLOOKUP(A12,[1]!Tableau_cotisants,2,FALSE)</f>
        <v>DEGRIS</v>
      </c>
      <c r="C12" s="52" t="str">
        <f>VLOOKUP(A12,[1]!Tableau_cotisants,3,FALSE)</f>
        <v>Enfant gardé</v>
      </c>
      <c r="D12" s="52" t="str">
        <f>VLOOKUP(A12,[1]!Tableau_cotisants,4,FALSE)</f>
        <v>Aëlynn</v>
      </c>
      <c r="E12" s="53">
        <f>VLOOKUP(A12,[1]!Tableau_cotisants,5,FALSE)</f>
        <v>1</v>
      </c>
      <c r="F12" s="52">
        <f>VLOOKUP(A12,[1]!Tableau_cotisants,6,FALSE)</f>
        <v>1</v>
      </c>
      <c r="G12" s="52">
        <f>VLOOKUP(A12,[1]!Tableau_cotisants,7,FALSE)</f>
        <v>0</v>
      </c>
      <c r="H12" s="54">
        <f>VLOOKUP(A12,[1]!Tableau_cotisants,8,FALSE)</f>
        <v>43313</v>
      </c>
      <c r="I12" s="54" t="str">
        <f t="shared" ref="I12:I17" si="5">DATEDIF(H12,Date_du_jour,"y") &amp; " an(s) " &amp; DATEDIF(H12,$C$2,"ym") &amp; " mois et " &amp; DATEDIF(H12,$C$2,"md") &amp; " jour(s)"</f>
        <v>0 an(s) 8 mois et 9 jour(s)</v>
      </c>
      <c r="J12" s="52" t="str">
        <f>VLOOKUP(A12,[1]!Tableau_cotisants,10,FALSE)</f>
        <v>SALLES D'ANGLES</v>
      </c>
      <c r="K12" s="53" t="str">
        <f>VLOOKUP(A12,[1]!Tableau_cotisants,11,FALSE)</f>
        <v>Champagne</v>
      </c>
      <c r="L12" s="6">
        <v>1</v>
      </c>
      <c r="M12" s="5"/>
      <c r="N12" s="27">
        <v>1</v>
      </c>
      <c r="O12" s="26"/>
      <c r="P12" s="74"/>
      <c r="Q12" s="55"/>
      <c r="R12" s="55"/>
      <c r="S12" s="55"/>
    </row>
    <row r="13" spans="1:19" ht="12" customHeight="1">
      <c r="A13" s="113" t="s">
        <v>94</v>
      </c>
      <c r="B13" s="52" t="str">
        <f>VLOOKUP(A13,[1]!Tableau_cotisants,2,FALSE)</f>
        <v>COZIC</v>
      </c>
      <c r="C13" s="52" t="str">
        <f>VLOOKUP(A13,[1]!Tableau_cotisants,3,FALSE)</f>
        <v>COZIC</v>
      </c>
      <c r="D13" s="52" t="str">
        <f>VLOOKUP(A13,[1]!Tableau_cotisants,4,FALSE)</f>
        <v>Jennifer</v>
      </c>
      <c r="E13" s="53">
        <f>VLOOKUP(A13,[1]!Tableau_cotisants,5,FALSE)</f>
        <v>1</v>
      </c>
      <c r="F13" s="52">
        <f>VLOOKUP(A13,[1]!Tableau_cotisants,6,FALSE)</f>
        <v>1</v>
      </c>
      <c r="G13" s="52">
        <f>VLOOKUP(A13,[1]!Tableau_cotisants,7,FALSE)</f>
        <v>0</v>
      </c>
      <c r="H13" s="54">
        <f>VLOOKUP(A13,[1]!Tableau_cotisants,8,FALSE)</f>
        <v>30554</v>
      </c>
      <c r="I13" s="54" t="str">
        <f t="shared" si="5"/>
        <v>35 an(s) 7 mois et 15 jour(s)</v>
      </c>
      <c r="J13" s="52" t="str">
        <f>VLOOKUP(A13,[1]!Tableau_cotisants,10,FALSE)</f>
        <v>Chateaubernard</v>
      </c>
      <c r="K13" s="53" t="str">
        <f>VLOOKUP(A13,[1]!Tableau_cotisants,11,FALSE)</f>
        <v>Cognac</v>
      </c>
      <c r="L13" s="6">
        <v>1</v>
      </c>
      <c r="M13" s="5"/>
      <c r="N13" s="27"/>
      <c r="O13" s="26"/>
      <c r="P13" s="74">
        <v>1</v>
      </c>
      <c r="Q13" s="55"/>
      <c r="R13" s="55"/>
      <c r="S13" s="55"/>
    </row>
    <row r="14" spans="1:19" ht="12" customHeight="1">
      <c r="A14" s="113" t="s">
        <v>97</v>
      </c>
      <c r="B14" s="52" t="str">
        <f>VLOOKUP(A14,[1]!Tableau_cotisants,2,FALSE)</f>
        <v>COZIC</v>
      </c>
      <c r="C14" s="52" t="str">
        <f>VLOOKUP(A14,[1]!Tableau_cotisants,3,FALSE)</f>
        <v>TARDIEU</v>
      </c>
      <c r="D14" s="52" t="str">
        <f>VLOOKUP(A14,[1]!Tableau_cotisants,4,FALSE)</f>
        <v>Gustave</v>
      </c>
      <c r="E14" s="53">
        <f>VLOOKUP(A14,[1]!Tableau_cotisants,5,FALSE)</f>
        <v>1</v>
      </c>
      <c r="F14" s="52">
        <f>VLOOKUP(A14,[1]!Tableau_cotisants,6,FALSE)</f>
        <v>0</v>
      </c>
      <c r="G14" s="52">
        <f>VLOOKUP(A14,[1]!Tableau_cotisants,7,FALSE)</f>
        <v>1</v>
      </c>
      <c r="H14" s="54">
        <f>VLOOKUP(A14,[1]!Tableau_cotisants,8,FALSE)</f>
        <v>42917</v>
      </c>
      <c r="I14" s="54" t="str">
        <f t="shared" si="5"/>
        <v>1 an(s) 9 mois et 9 jour(s)</v>
      </c>
      <c r="J14" s="52" t="str">
        <f>VLOOKUP(A14,[1]!Tableau_cotisants,10,FALSE)</f>
        <v>Chateaubernard</v>
      </c>
      <c r="K14" s="53" t="str">
        <f>VLOOKUP(A14,[1]!Tableau_cotisants,11,FALSE)</f>
        <v>Cognac</v>
      </c>
      <c r="L14" s="6">
        <v>1</v>
      </c>
      <c r="M14" s="5"/>
      <c r="N14" s="27"/>
      <c r="O14" s="26"/>
      <c r="P14" s="74">
        <v>1</v>
      </c>
      <c r="Q14" s="55"/>
      <c r="R14" s="55"/>
      <c r="S14" s="55"/>
    </row>
    <row r="15" spans="1:19" ht="12" customHeight="1">
      <c r="A15" s="113" t="s">
        <v>195</v>
      </c>
      <c r="B15" s="52" t="str">
        <f>VLOOKUP(A15,[1]!Tableau_cotisants,2,FALSE)</f>
        <v>COZIC</v>
      </c>
      <c r="C15" s="52" t="str">
        <f>VLOOKUP(A15,[1]!Tableau_cotisants,3,FALSE)</f>
        <v xml:space="preserve">VEZIN </v>
      </c>
      <c r="D15" s="52" t="str">
        <f>VLOOKUP(A15,[1]!Tableau_cotisants,4,FALSE)</f>
        <v>Paulin</v>
      </c>
      <c r="E15" s="53">
        <f>VLOOKUP(A15,[1]!Tableau_cotisants,5,FALSE)</f>
        <v>1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43055</v>
      </c>
      <c r="I15" s="54" t="str">
        <f t="shared" si="5"/>
        <v>1 an(s) 4 mois et 25 jour(s)</v>
      </c>
      <c r="J15" s="52" t="str">
        <f>VLOOKUP(A15,[1]!Tableau_cotisants,10,FALSE)</f>
        <v>Chateaubernard</v>
      </c>
      <c r="K15" s="53" t="str">
        <f>VLOOKUP(A15,[1]!Tableau_cotisants,11,FALSE)</f>
        <v>Cognac</v>
      </c>
      <c r="L15" s="6">
        <v>1</v>
      </c>
      <c r="M15" s="5"/>
      <c r="N15" s="27"/>
      <c r="O15" s="26"/>
      <c r="P15" s="74">
        <v>1</v>
      </c>
      <c r="Q15" s="55"/>
      <c r="R15" s="55"/>
      <c r="S15" s="55"/>
    </row>
    <row r="16" spans="1:19" ht="12" customHeight="1">
      <c r="A16" s="113" t="s">
        <v>98</v>
      </c>
      <c r="B16" s="52" t="str">
        <f>VLOOKUP(A16,[1]!Tableau_cotisants,2,FALSE)</f>
        <v>COZIC</v>
      </c>
      <c r="C16" s="52" t="str">
        <f>VLOOKUP(A16,[1]!Tableau_cotisants,3,FALSE)</f>
        <v>BARAUD</v>
      </c>
      <c r="D16" s="52" t="str">
        <f>VLOOKUP(A16,[1]!Tableau_cotisants,4,FALSE)</f>
        <v>Théo</v>
      </c>
      <c r="E16" s="53">
        <f>VLOOKUP(A16,[1]!Tableau_cotisants,5,FALSE)</f>
        <v>1</v>
      </c>
      <c r="F16" s="52">
        <f>VLOOKUP(A16,[1]!Tableau_cotisants,6,FALSE)</f>
        <v>0</v>
      </c>
      <c r="G16" s="52">
        <f>VLOOKUP(A16,[1]!Tableau_cotisants,7,FALSE)</f>
        <v>1</v>
      </c>
      <c r="H16" s="54">
        <f>VLOOKUP(A16,[1]!Tableau_cotisants,8,FALSE)</f>
        <v>43016</v>
      </c>
      <c r="I16" s="54" t="str">
        <f t="shared" ref="I16" si="6">DATEDIF(H16,Date_du_jour,"y") &amp; " an(s) " &amp; DATEDIF(H16,$C$2,"ym") &amp; " mois et " &amp; DATEDIF(H16,$C$2,"md") &amp; " jour(s)"</f>
        <v>1 an(s) 6 mois et 2 jour(s)</v>
      </c>
      <c r="J16" s="52" t="str">
        <f>VLOOKUP(A16,[1]!Tableau_cotisants,10,FALSE)</f>
        <v>Chateaubernard</v>
      </c>
      <c r="K16" s="53" t="str">
        <f>VLOOKUP(A16,[1]!Tableau_cotisants,11,FALSE)</f>
        <v>Cognac</v>
      </c>
      <c r="L16" s="6">
        <v>1</v>
      </c>
      <c r="M16" s="5"/>
      <c r="N16" s="27"/>
      <c r="O16" s="26"/>
      <c r="P16" s="74">
        <v>1</v>
      </c>
      <c r="Q16" s="55"/>
      <c r="R16" s="55"/>
      <c r="S16" s="55"/>
    </row>
    <row r="17" spans="1:19" ht="12" customHeight="1">
      <c r="A17" s="113" t="s">
        <v>95</v>
      </c>
      <c r="B17" s="52" t="str">
        <f>VLOOKUP(A17,[1]!Tableau_cotisants,2,FALSE)</f>
        <v>COZIC</v>
      </c>
      <c r="C17" s="52" t="str">
        <f>VLOOKUP(A17,[1]!Tableau_cotisants,3,FALSE)</f>
        <v>FRAISSINET COZIC</v>
      </c>
      <c r="D17" s="52" t="str">
        <f>VLOOKUP(A17,[1]!Tableau_cotisants,4,FALSE)</f>
        <v>Kathleen</v>
      </c>
      <c r="E17" s="53">
        <f>VLOOKUP(A17,[1]!Tableau_cotisants,5,FALSE)</f>
        <v>1</v>
      </c>
      <c r="F17" s="52">
        <f>VLOOKUP(A17,[1]!Tableau_cotisants,6,FALSE)</f>
        <v>1</v>
      </c>
      <c r="G17" s="52">
        <f>VLOOKUP(A17,[1]!Tableau_cotisants,7,FALSE)</f>
        <v>0</v>
      </c>
      <c r="H17" s="54">
        <f>VLOOKUP(A17,[1]!Tableau_cotisants,8,FALSE)</f>
        <v>39909</v>
      </c>
      <c r="I17" s="54" t="str">
        <f t="shared" si="5"/>
        <v>10 an(s) 0 mois et 4 jour(s)</v>
      </c>
      <c r="J17" s="52" t="str">
        <f>VLOOKUP(A17,[1]!Tableau_cotisants,10,FALSE)</f>
        <v>Chateaubernard</v>
      </c>
      <c r="K17" s="53" t="str">
        <f>VLOOKUP(A17,[1]!Tableau_cotisants,11,FALSE)</f>
        <v>Cognac</v>
      </c>
      <c r="L17" s="6">
        <v>1</v>
      </c>
      <c r="M17" s="5"/>
      <c r="N17" s="27"/>
      <c r="O17" s="26"/>
      <c r="P17" s="74">
        <v>1</v>
      </c>
      <c r="Q17" s="55"/>
      <c r="R17" s="55"/>
      <c r="S17" s="55"/>
    </row>
    <row r="18" spans="1:19" ht="12" customHeight="1">
      <c r="A18" s="113" t="s">
        <v>96</v>
      </c>
      <c r="B18" s="52" t="str">
        <f>VLOOKUP(A18,[1]!Tableau_cotisants,2,FALSE)</f>
        <v>COZIC</v>
      </c>
      <c r="C18" s="52" t="str">
        <f>VLOOKUP(A18,[1]!Tableau_cotisants,3,FALSE)</f>
        <v>FRAISSINET COZIC</v>
      </c>
      <c r="D18" s="52" t="str">
        <f>VLOOKUP(A18,[1]!Tableau_cotisants,4,FALSE)</f>
        <v>Kendall</v>
      </c>
      <c r="E18" s="53">
        <f>VLOOKUP(A18,[1]!Tableau_cotisants,5,FALSE)</f>
        <v>1</v>
      </c>
      <c r="F18" s="52">
        <f>VLOOKUP(A18,[1]!Tableau_cotisants,6,FALSE)</f>
        <v>0</v>
      </c>
      <c r="G18" s="52">
        <f>VLOOKUP(A18,[1]!Tableau_cotisants,7,FALSE)</f>
        <v>1</v>
      </c>
      <c r="H18" s="54">
        <f>VLOOKUP(A18,[1]!Tableau_cotisants,8,FALSE)</f>
        <v>40770</v>
      </c>
      <c r="I18" s="54" t="str">
        <f t="shared" ref="I18:I20" si="7">DATEDIF(H18,Date_du_jour,"y") &amp; " an(s) " &amp; DATEDIF(H18,$C$2,"ym") &amp; " mois et " &amp; DATEDIF(H18,$C$2,"md") &amp; " jour(s)"</f>
        <v>7 an(s) 7 mois et 26 jour(s)</v>
      </c>
      <c r="J18" s="52" t="str">
        <f>VLOOKUP(A18,[1]!Tableau_cotisants,10,FALSE)</f>
        <v>Chateaubernard</v>
      </c>
      <c r="K18" s="53" t="str">
        <f>VLOOKUP(A18,[1]!Tableau_cotisants,11,FALSE)</f>
        <v>Cognac</v>
      </c>
      <c r="L18" s="6">
        <v>1</v>
      </c>
      <c r="M18" s="5"/>
      <c r="N18" s="27"/>
      <c r="O18" s="26"/>
      <c r="P18" s="74">
        <v>1</v>
      </c>
      <c r="Q18" s="55"/>
      <c r="R18" s="55"/>
      <c r="S18" s="55"/>
    </row>
    <row r="19" spans="1:19" ht="12" customHeight="1">
      <c r="A19" s="164" t="s">
        <v>90</v>
      </c>
      <c r="B19" s="52" t="str">
        <f>VLOOKUP(A19,[1]!Tableau_cotisants,2,FALSE)</f>
        <v>GUYOT</v>
      </c>
      <c r="C19" s="52" t="str">
        <f>VLOOKUP(A19,[1]!Tableau_cotisants,3,FALSE)</f>
        <v>GUYOT</v>
      </c>
      <c r="D19" s="52" t="str">
        <f>VLOOKUP(A19,[1]!Tableau_cotisants,4,FALSE)</f>
        <v>Virginie</v>
      </c>
      <c r="E19" s="53">
        <f>VLOOKUP(A19,[1]!Tableau_cotisants,5,FALSE)</f>
        <v>1</v>
      </c>
      <c r="F19" s="52">
        <f>VLOOKUP(A19,[1]!Tableau_cotisants,6,FALSE)</f>
        <v>1</v>
      </c>
      <c r="G19" s="52">
        <f>VLOOKUP(A19,[1]!Tableau_cotisants,7,FALSE)</f>
        <v>0</v>
      </c>
      <c r="H19" s="54">
        <f>VLOOKUP(A19,[1]!Tableau_cotisants,8,FALSE)</f>
        <v>30012</v>
      </c>
      <c r="I19" s="54" t="str">
        <f t="shared" si="7"/>
        <v>37 an(s) 1 mois et 8 jour(s)</v>
      </c>
      <c r="J19" s="52" t="str">
        <f>VLOOKUP(A19,[1]!Tableau_cotisants,10,FALSE)</f>
        <v>Chateaubernard</v>
      </c>
      <c r="K19" s="53" t="str">
        <f>VLOOKUP(A19,[1]!Tableau_cotisants,11,FALSE)</f>
        <v>Cognac</v>
      </c>
      <c r="L19" s="6">
        <v>1</v>
      </c>
      <c r="M19" s="5"/>
      <c r="N19" s="27"/>
      <c r="O19" s="26"/>
      <c r="P19" s="74">
        <v>1</v>
      </c>
      <c r="Q19" s="55"/>
      <c r="R19" s="55"/>
      <c r="S19" s="55"/>
    </row>
    <row r="20" spans="1:19" ht="12" customHeight="1">
      <c r="A20" s="164" t="s">
        <v>91</v>
      </c>
      <c r="B20" s="52" t="str">
        <f>VLOOKUP(A20,[1]!Tableau_cotisants,2,FALSE)</f>
        <v>GUYOT</v>
      </c>
      <c r="C20" s="52" t="str">
        <f>VLOOKUP(A20,[1]!Tableau_cotisants,3,FALSE)</f>
        <v>FORGEARD</v>
      </c>
      <c r="D20" s="52" t="str">
        <f>VLOOKUP(A20,[1]!Tableau_cotisants,4,FALSE)</f>
        <v>Yanis</v>
      </c>
      <c r="E20" s="53">
        <f>VLOOKUP(A20,[1]!Tableau_cotisants,5,FALSE)</f>
        <v>1</v>
      </c>
      <c r="F20" s="52">
        <f>VLOOKUP(A20,[1]!Tableau_cotisants,6,FALSE)</f>
        <v>0</v>
      </c>
      <c r="G20" s="52">
        <f>VLOOKUP(A20,[1]!Tableau_cotisants,7,FALSE)</f>
        <v>1</v>
      </c>
      <c r="H20" s="54">
        <f>VLOOKUP(A20,[1]!Tableau_cotisants,8,FALSE)</f>
        <v>43315</v>
      </c>
      <c r="I20" s="54" t="str">
        <f t="shared" si="7"/>
        <v>0 an(s) 8 mois et 7 jour(s)</v>
      </c>
      <c r="J20" s="52" t="str">
        <f>VLOOKUP(A20,[1]!Tableau_cotisants,10,FALSE)</f>
        <v>Chateaubernard</v>
      </c>
      <c r="K20" s="53" t="str">
        <f>VLOOKUP(A20,[1]!Tableau_cotisants,11,FALSE)</f>
        <v>Cognac</v>
      </c>
      <c r="L20" s="6">
        <v>1</v>
      </c>
      <c r="M20" s="5"/>
      <c r="N20" s="27"/>
      <c r="O20" s="26"/>
      <c r="P20" s="74">
        <v>1</v>
      </c>
      <c r="Q20" s="55"/>
      <c r="R20" s="55"/>
      <c r="S20" s="55"/>
    </row>
    <row r="21" spans="1:19" ht="12" customHeight="1">
      <c r="A21" s="164" t="s">
        <v>92</v>
      </c>
      <c r="B21" s="52" t="str">
        <f>VLOOKUP(A21,[1]!Tableau_cotisants,2,FALSE)</f>
        <v>GUYOT</v>
      </c>
      <c r="C21" s="52" t="str">
        <f>VLOOKUP(A21,[1]!Tableau_cotisants,3,FALSE)</f>
        <v>FRIOUX-GARCIA</v>
      </c>
      <c r="D21" s="52" t="str">
        <f>VLOOKUP(A21,[1]!Tableau_cotisants,4,FALSE)</f>
        <v>Marius</v>
      </c>
      <c r="E21" s="53">
        <f>VLOOKUP(A21,[1]!Tableau_cotisants,5,FALSE)</f>
        <v>1</v>
      </c>
      <c r="F21" s="52">
        <f>VLOOKUP(A21,[1]!Tableau_cotisants,6,FALSE)</f>
        <v>0</v>
      </c>
      <c r="G21" s="52">
        <f>VLOOKUP(A21,[1]!Tableau_cotisants,7,FALSE)</f>
        <v>1</v>
      </c>
      <c r="H21" s="54">
        <f>VLOOKUP(A21,[1]!Tableau_cotisants,8,FALSE)</f>
        <v>43395</v>
      </c>
      <c r="I21" s="54" t="str">
        <f t="shared" ref="I21" si="8">DATEDIF(H21,Date_du_jour,"y") &amp; " an(s) " &amp; DATEDIF(H21,$C$2,"ym") &amp; " mois et " &amp; DATEDIF(H21,$C$2,"md") &amp; " jour(s)"</f>
        <v>0 an(s) 5 mois et 19 jour(s)</v>
      </c>
      <c r="J21" s="52" t="str">
        <f>VLOOKUP(A21,[1]!Tableau_cotisants,10,FALSE)</f>
        <v>Chateaubernard</v>
      </c>
      <c r="K21" s="53" t="str">
        <f>VLOOKUP(A21,[1]!Tableau_cotisants,11,FALSE)</f>
        <v>Cognac</v>
      </c>
      <c r="L21" s="6">
        <v>1</v>
      </c>
      <c r="M21" s="5"/>
      <c r="N21" s="27"/>
      <c r="O21" s="26"/>
      <c r="P21" s="74">
        <v>1</v>
      </c>
      <c r="Q21" s="55"/>
      <c r="R21" s="55"/>
      <c r="S21" s="55"/>
    </row>
    <row r="22" spans="1:19" ht="12" customHeight="1">
      <c r="A22" s="164" t="s">
        <v>194</v>
      </c>
      <c r="B22" s="52" t="str">
        <f>VLOOKUP(A22,[1]!Tableau_cotisants,2,FALSE)</f>
        <v>GUYOT</v>
      </c>
      <c r="C22" s="52" t="str">
        <f>VLOOKUP(A22,[1]!Tableau_cotisants,3,FALSE)</f>
        <v>ZIDI</v>
      </c>
      <c r="D22" s="52" t="str">
        <f>VLOOKUP(A22,[1]!Tableau_cotisants,4,FALSE)</f>
        <v>Driss</v>
      </c>
      <c r="E22" s="53">
        <f>VLOOKUP(A22,[1]!Tableau_cotisants,5,FALSE)</f>
        <v>1</v>
      </c>
      <c r="F22" s="52">
        <f>VLOOKUP(A22,[1]!Tableau_cotisants,6,FALSE)</f>
        <v>0</v>
      </c>
      <c r="G22" s="52">
        <f>VLOOKUP(A22,[1]!Tableau_cotisants,7,FALSE)</f>
        <v>1</v>
      </c>
      <c r="H22" s="54">
        <f>VLOOKUP(A22,[1]!Tableau_cotisants,8,FALSE)</f>
        <v>42935</v>
      </c>
      <c r="I22" s="54" t="str">
        <f t="shared" ref="I22" si="9">DATEDIF(H22,Date_du_jour,"y") &amp; " an(s) " &amp; DATEDIF(H22,$C$2,"ym") &amp; " mois et " &amp; DATEDIF(H22,$C$2,"md") &amp; " jour(s)"</f>
        <v>1 an(s) 8 mois et 22 jour(s)</v>
      </c>
      <c r="J22" s="52" t="str">
        <f>VLOOKUP(A22,[1]!Tableau_cotisants,10,FALSE)</f>
        <v>Chateaubernard</v>
      </c>
      <c r="K22" s="53" t="str">
        <f>VLOOKUP(A22,[1]!Tableau_cotisants,11,FALSE)</f>
        <v>Cognac</v>
      </c>
      <c r="L22" s="6">
        <v>1</v>
      </c>
      <c r="M22" s="5"/>
      <c r="N22" s="27"/>
      <c r="O22" s="26"/>
      <c r="P22" s="74">
        <v>1</v>
      </c>
      <c r="Q22" s="55"/>
      <c r="R22" s="55"/>
      <c r="S22" s="55"/>
    </row>
    <row r="23" spans="1:19" ht="12" customHeight="1">
      <c r="A23" s="120" t="s">
        <v>291</v>
      </c>
      <c r="B23" s="52" t="str">
        <f>VLOOKUP(A23,[1]!Tableau_cotisants,2,FALSE)</f>
        <v>DESSET</v>
      </c>
      <c r="C23" s="52" t="str">
        <f>VLOOKUP(A23,[1]!Tableau_cotisants,3,FALSE)</f>
        <v>DESSET</v>
      </c>
      <c r="D23" s="52" t="str">
        <f>VLOOKUP(A23,[1]!Tableau_cotisants,4,FALSE)</f>
        <v>Yekaterina</v>
      </c>
      <c r="E23" s="53">
        <f>VLOOKUP(A23,[1]!Tableau_cotisants,5,FALSE)</f>
        <v>0</v>
      </c>
      <c r="F23" s="52">
        <f>VLOOKUP(A23,[1]!Tableau_cotisants,6,FALSE)</f>
        <v>1</v>
      </c>
      <c r="G23" s="52">
        <f>VLOOKUP(A23,[1]!Tableau_cotisants,7,FALSE)</f>
        <v>0</v>
      </c>
      <c r="H23" s="54">
        <f>VLOOKUP(A23,[1]!Tableau_cotisants,8,FALSE)</f>
        <v>41502</v>
      </c>
      <c r="I23" s="54" t="str">
        <f t="shared" ref="I23:I24" si="10">DATEDIF(H23,Date_du_jour,"y") &amp; " an(s) " &amp; DATEDIF(H23,$C$2,"ym") &amp; " mois et " &amp; DATEDIF(H23,$C$2,"md") &amp; " jour(s)"</f>
        <v>5 an(s) 7 mois et 25 jour(s)</v>
      </c>
      <c r="J23" s="52" t="str">
        <f>VLOOKUP(A23,[1]!Tableau_cotisants,10,FALSE)</f>
        <v>BOURG-CHARENTE</v>
      </c>
      <c r="K23" s="53" t="str">
        <f>VLOOKUP(A23,[1]!Tableau_cotisants,11,FALSE)</f>
        <v>Jarnac</v>
      </c>
      <c r="L23" s="6">
        <v>1</v>
      </c>
      <c r="M23" s="5"/>
      <c r="N23" s="27"/>
      <c r="O23" s="26"/>
      <c r="P23" s="74">
        <v>1</v>
      </c>
      <c r="Q23" s="55"/>
      <c r="R23" s="55"/>
      <c r="S23" s="55"/>
    </row>
    <row r="24" spans="1:19" ht="12" customHeight="1">
      <c r="A24" s="120" t="s">
        <v>131</v>
      </c>
      <c r="B24" s="52" t="str">
        <f>VLOOKUP(A24,[1]!Tableau_cotisants,2,FALSE)</f>
        <v>DESSET</v>
      </c>
      <c r="C24" s="52" t="str">
        <f>VLOOKUP(A24,[1]!Tableau_cotisants,3,FALSE)</f>
        <v>MARTINEZ PONCE</v>
      </c>
      <c r="D24" s="52" t="str">
        <f>VLOOKUP(A24,[1]!Tableau_cotisants,4,FALSE)</f>
        <v>Valentina</v>
      </c>
      <c r="E24" s="53">
        <f>VLOOKUP(A24,[1]!Tableau_cotisants,5,FALSE)</f>
        <v>0</v>
      </c>
      <c r="F24" s="52">
        <f>VLOOKUP(A24,[1]!Tableau_cotisants,6,FALSE)</f>
        <v>1</v>
      </c>
      <c r="G24" s="52">
        <f>VLOOKUP(A24,[1]!Tableau_cotisants,7,FALSE)</f>
        <v>0</v>
      </c>
      <c r="H24" s="54">
        <f>VLOOKUP(A24,[1]!Tableau_cotisants,8,FALSE)</f>
        <v>36516</v>
      </c>
      <c r="I24" s="54" t="str">
        <f t="shared" si="10"/>
        <v>19 an(s) 3 mois et 19 jour(s)</v>
      </c>
      <c r="J24" s="52" t="str">
        <f>VLOOKUP(A24,[1]!Tableau_cotisants,10,FALSE)</f>
        <v>BOURG-CHARENTE</v>
      </c>
      <c r="K24" s="53" t="str">
        <f>VLOOKUP(A24,[1]!Tableau_cotisants,11,FALSE)</f>
        <v>Jarnac</v>
      </c>
      <c r="L24" s="6">
        <v>1</v>
      </c>
      <c r="M24" s="5"/>
      <c r="N24" s="27"/>
      <c r="O24" s="26"/>
      <c r="P24" s="74">
        <v>1</v>
      </c>
      <c r="Q24" s="55"/>
      <c r="R24" s="55"/>
      <c r="S24" s="55"/>
    </row>
    <row r="25" spans="1:19" ht="12" customHeight="1">
      <c r="A25" s="113" t="s">
        <v>260</v>
      </c>
      <c r="B25" s="52" t="str">
        <f>VLOOKUP(A25,[1]!Tableau_cotisants,2,FALSE)</f>
        <v>GUERARD/REDEUIL</v>
      </c>
      <c r="C25" s="52" t="str">
        <f>VLOOKUP(A25,[1]!Tableau_cotisants,3,FALSE)</f>
        <v>REDEUIL</v>
      </c>
      <c r="D25" s="52" t="str">
        <f>VLOOKUP(A25,[1]!Tableau_cotisants,4,FALSE)</f>
        <v>Florence</v>
      </c>
      <c r="E25" s="53">
        <f>VLOOKUP(A25,[1]!Tableau_cotisants,5,FALSE)</f>
        <v>0</v>
      </c>
      <c r="F25" s="52">
        <f>VLOOKUP(A25,[1]!Tableau_cotisants,6,FALSE)</f>
        <v>1</v>
      </c>
      <c r="G25" s="52">
        <f>VLOOKUP(A25,[1]!Tableau_cotisants,7,FALSE)</f>
        <v>0</v>
      </c>
      <c r="H25" s="54">
        <f>VLOOKUP(A25,[1]!Tableau_cotisants,8,FALSE)</f>
        <v>23515</v>
      </c>
      <c r="I25" s="54" t="str">
        <f t="shared" ref="I25" si="11">DATEDIF(H25,Date_du_jour,"y") &amp; " an(s) " &amp; DATEDIF(H25,$C$2,"ym") &amp; " mois et " &amp; DATEDIF(H25,$C$2,"md") &amp; " jour(s)"</f>
        <v>54 an(s) 10 mois et 23 jour(s)</v>
      </c>
      <c r="J25" s="52" t="str">
        <f>VLOOKUP(A25,[1]!Tableau_cotisants,10,FALSE)</f>
        <v>SEGONZAC</v>
      </c>
      <c r="K25" s="53" t="str">
        <f>VLOOKUP(A25,[1]!Tableau_cotisants,11,FALSE)</f>
        <v>Champagne</v>
      </c>
      <c r="L25" s="6">
        <v>1</v>
      </c>
      <c r="M25" s="5"/>
      <c r="N25" s="27"/>
      <c r="O25" s="26">
        <v>1</v>
      </c>
      <c r="P25" s="74"/>
      <c r="Q25" s="55"/>
      <c r="R25" s="55"/>
      <c r="S25" s="55"/>
    </row>
    <row r="26" spans="1:19" ht="12" customHeight="1">
      <c r="A26" s="153"/>
      <c r="B26" s="56"/>
      <c r="C26" s="56"/>
      <c r="D26" s="56"/>
      <c r="E26" s="57"/>
      <c r="F26" s="56"/>
      <c r="G26" s="56"/>
      <c r="H26" s="58"/>
      <c r="I26" s="58"/>
      <c r="J26" s="56"/>
      <c r="K26" s="57"/>
      <c r="L26" s="6"/>
      <c r="M26" s="5"/>
      <c r="N26" s="27"/>
      <c r="O26" s="26"/>
      <c r="P26" s="74"/>
      <c r="Q26" s="55"/>
      <c r="R26" s="55"/>
      <c r="S26" s="55"/>
    </row>
    <row r="27" spans="1:19" ht="12" customHeight="1">
      <c r="A27" s="153"/>
      <c r="B27" s="56"/>
      <c r="C27" s="56"/>
      <c r="D27" s="56"/>
      <c r="E27" s="57"/>
      <c r="F27" s="56"/>
      <c r="G27" s="56"/>
      <c r="H27" s="58"/>
      <c r="I27" s="58"/>
      <c r="J27" s="56"/>
      <c r="K27" s="57"/>
      <c r="L27" s="6"/>
      <c r="M27" s="5"/>
      <c r="N27" s="27"/>
      <c r="O27" s="26"/>
      <c r="P27" s="74"/>
      <c r="Q27" s="55"/>
      <c r="R27" s="55"/>
      <c r="S27" s="55"/>
    </row>
    <row r="28" spans="1:19" ht="12" customHeight="1">
      <c r="A28" s="103" t="s">
        <v>292</v>
      </c>
      <c r="B28" s="56" t="str">
        <f>VLOOKUP(A28,[1]!Tableau_cotisants,2,FALSE)</f>
        <v>RAIMBAUD</v>
      </c>
      <c r="C28" s="56" t="str">
        <f>VLOOKUP(A28,[1]!Tableau_cotisants,3,FALSE)</f>
        <v>RAIMBAUD</v>
      </c>
      <c r="D28" s="56" t="str">
        <f>VLOOKUP(A28,[1]!Tableau_cotisants,4,FALSE)</f>
        <v>Julie</v>
      </c>
      <c r="E28" s="57">
        <f>VLOOKUP(A28,[1]!Tableau_cotisants,5,FALSE)</f>
        <v>0</v>
      </c>
      <c r="F28" s="56">
        <f>VLOOKUP(A28,[1]!Tableau_cotisants,6,FALSE)</f>
        <v>1</v>
      </c>
      <c r="G28" s="56">
        <f>VLOOKUP(A28,[1]!Tableau_cotisants,7,FALSE)</f>
        <v>0</v>
      </c>
      <c r="H28" s="58">
        <f>VLOOKUP(A28,[1]!Tableau_cotisants,8,FALSE)</f>
        <v>33017</v>
      </c>
      <c r="I28" s="58" t="str">
        <f t="shared" ref="I28:I29" si="12">DATEDIF(H28,Date_du_jour,"y") &amp; " an(s) " &amp; DATEDIF(H28,$C$2,"ym") &amp; " mois et " &amp; DATEDIF(H28,$C$2,"md") &amp; " jour(s)"</f>
        <v>28 an(s) 10 mois et 17 jour(s)</v>
      </c>
      <c r="J28" s="56" t="str">
        <f>VLOOKUP(A28,[1]!Tableau_cotisants,10,FALSE)</f>
        <v>Saint Même Les Carrières</v>
      </c>
      <c r="K28" s="57" t="str">
        <f>VLOOKUP(A28,[1]!Tableau_cotisants,11,FALSE)</f>
        <v>Jarnac</v>
      </c>
      <c r="L28" s="6"/>
      <c r="M28" s="5">
        <v>1</v>
      </c>
      <c r="N28" s="27"/>
      <c r="O28" s="26"/>
      <c r="P28" s="74">
        <v>1</v>
      </c>
      <c r="Q28" s="55"/>
      <c r="R28" s="55"/>
      <c r="S28" s="55"/>
    </row>
    <row r="29" spans="1:19" ht="12" customHeight="1">
      <c r="A29" s="103" t="s">
        <v>293</v>
      </c>
      <c r="B29" s="56" t="str">
        <f>VLOOKUP(A29,[1]!Tableau_cotisants,2,FALSE)</f>
        <v>RAIMBAUD</v>
      </c>
      <c r="C29" s="56" t="str">
        <f>VLOOKUP(A29,[1]!Tableau_cotisants,3,FALSE)</f>
        <v>RAIMBAUD</v>
      </c>
      <c r="D29" s="56" t="str">
        <f>VLOOKUP(A29,[1]!Tableau_cotisants,4,FALSE)</f>
        <v>Agathe</v>
      </c>
      <c r="E29" s="57">
        <f>VLOOKUP(A29,[1]!Tableau_cotisants,5,FALSE)</f>
        <v>0</v>
      </c>
      <c r="F29" s="56">
        <f>VLOOKUP(A29,[1]!Tableau_cotisants,6,FALSE)</f>
        <v>1</v>
      </c>
      <c r="G29" s="56">
        <f>VLOOKUP(A29,[1]!Tableau_cotisants,7,FALSE)</f>
        <v>0</v>
      </c>
      <c r="H29" s="58">
        <f>VLOOKUP(A29,[1]!Tableau_cotisants,8,FALSE)</f>
        <v>42520</v>
      </c>
      <c r="I29" s="58" t="str">
        <f t="shared" si="12"/>
        <v>2 an(s) 10 mois et 11 jour(s)</v>
      </c>
      <c r="J29" s="56" t="str">
        <f>VLOOKUP(A29,[1]!Tableau_cotisants,10,FALSE)</f>
        <v>Saint Même Les Carrières</v>
      </c>
      <c r="K29" s="57" t="str">
        <f>VLOOKUP(A29,[1]!Tableau_cotisants,11,FALSE)</f>
        <v>Jarnac</v>
      </c>
      <c r="L29" s="6"/>
      <c r="M29" s="5">
        <v>1</v>
      </c>
      <c r="N29" s="27"/>
      <c r="O29" s="26"/>
      <c r="P29" s="74">
        <v>1</v>
      </c>
      <c r="Q29" s="55"/>
      <c r="R29" s="55"/>
      <c r="S29" s="55"/>
    </row>
    <row r="30" spans="1:19" ht="12" customHeight="1">
      <c r="A30" s="117" t="s">
        <v>125</v>
      </c>
      <c r="B30" s="56" t="str">
        <f>VLOOKUP(A30,[1]!Tableau_cotisants,2,FALSE)</f>
        <v>SANSAUD/MOREAU</v>
      </c>
      <c r="C30" s="56" t="str">
        <f>VLOOKUP(A30,[1]!Tableau_cotisants,3,FALSE)</f>
        <v>MOREAU</v>
      </c>
      <c r="D30" s="56" t="str">
        <f>VLOOKUP(A30,[1]!Tableau_cotisants,4,FALSE)</f>
        <v>Emmanuelle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29187</v>
      </c>
      <c r="I30" s="58" t="str">
        <f t="shared" ref="I30:I32" si="13">DATEDIF(H30,Date_du_jour,"y") &amp; " an(s) " &amp; DATEDIF(H30,$C$2,"ym") &amp; " mois et " &amp; DATEDIF(H30,$C$2,"md") &amp; " jour(s)"</f>
        <v>39 an(s) 4 mois et 13 jour(s)</v>
      </c>
      <c r="J30" s="56" t="str">
        <f>VLOOKUP(A30,[1]!Tableau_cotisants,10,FALSE)</f>
        <v>SEGONZAC</v>
      </c>
      <c r="K30" s="57" t="str">
        <f>VLOOKUP(A30,[1]!Tableau_cotisants,11,FALSE)</f>
        <v>Champagne</v>
      </c>
      <c r="L30" s="6"/>
      <c r="M30" s="5">
        <v>1</v>
      </c>
      <c r="N30" s="27"/>
      <c r="O30" s="26"/>
      <c r="P30" s="74">
        <v>1</v>
      </c>
      <c r="Q30" s="55"/>
      <c r="R30" s="55"/>
      <c r="S30" s="55"/>
    </row>
    <row r="31" spans="1:19" ht="12" customHeight="1">
      <c r="A31" s="117" t="s">
        <v>126</v>
      </c>
      <c r="B31" s="56" t="str">
        <f>VLOOKUP(A31,[1]!Tableau_cotisants,2,FALSE)</f>
        <v>SANSAUD/MOREAU</v>
      </c>
      <c r="C31" s="56" t="str">
        <f>VLOOKUP(A31,[1]!Tableau_cotisants,3,FALSE)</f>
        <v>SANSAUD</v>
      </c>
      <c r="D31" s="56" t="str">
        <f>VLOOKUP(A31,[1]!Tableau_cotisants,4,FALSE)</f>
        <v>Ethan</v>
      </c>
      <c r="E31" s="57">
        <f>VLOOKUP(A31,[1]!Tableau_cotisants,5,FALSE)</f>
        <v>0</v>
      </c>
      <c r="F31" s="56">
        <f>VLOOKUP(A31,[1]!Tableau_cotisants,6,FALSE)</f>
        <v>0</v>
      </c>
      <c r="G31" s="56">
        <f>VLOOKUP(A31,[1]!Tableau_cotisants,7,FALSE)</f>
        <v>1</v>
      </c>
      <c r="H31" s="58">
        <f>VLOOKUP(A31,[1]!Tableau_cotisants,8,FALSE)</f>
        <v>41015</v>
      </c>
      <c r="I31" s="58" t="str">
        <f t="shared" si="13"/>
        <v>6 an(s) 11 mois et 25 jour(s)</v>
      </c>
      <c r="J31" s="56" t="str">
        <f>VLOOKUP(A31,[1]!Tableau_cotisants,10,FALSE)</f>
        <v>SEGONZAC</v>
      </c>
      <c r="K31" s="57" t="str">
        <f>VLOOKUP(A31,[1]!Tableau_cotisants,11,FALSE)</f>
        <v>Champagne</v>
      </c>
      <c r="L31" s="6"/>
      <c r="M31" s="5">
        <v>1</v>
      </c>
      <c r="N31" s="27"/>
      <c r="O31" s="26"/>
      <c r="P31" s="74">
        <v>1</v>
      </c>
      <c r="Q31" s="55"/>
      <c r="R31" s="55"/>
      <c r="S31" s="55"/>
    </row>
    <row r="32" spans="1:19" ht="12" customHeight="1">
      <c r="A32" s="117" t="s">
        <v>127</v>
      </c>
      <c r="B32" s="56" t="str">
        <f>VLOOKUP(A32,[1]!Tableau_cotisants,2,FALSE)</f>
        <v>SANSAUD/MOREAU</v>
      </c>
      <c r="C32" s="56" t="str">
        <f>VLOOKUP(A32,[1]!Tableau_cotisants,3,FALSE)</f>
        <v>SANSAUD</v>
      </c>
      <c r="D32" s="56" t="str">
        <f>VLOOKUP(A32,[1]!Tableau_cotisants,4,FALSE)</f>
        <v>Axel</v>
      </c>
      <c r="E32" s="57">
        <f>VLOOKUP(A32,[1]!Tableau_cotisants,5,FALSE)</f>
        <v>0</v>
      </c>
      <c r="F32" s="56">
        <f>VLOOKUP(A32,[1]!Tableau_cotisants,6,FALSE)</f>
        <v>0</v>
      </c>
      <c r="G32" s="56">
        <f>VLOOKUP(A32,[1]!Tableau_cotisants,7,FALSE)</f>
        <v>1</v>
      </c>
      <c r="H32" s="58">
        <f>VLOOKUP(A32,[1]!Tableau_cotisants,8,FALSE)</f>
        <v>42407</v>
      </c>
      <c r="I32" s="58" t="str">
        <f t="shared" si="13"/>
        <v>3 an(s) 2 mois et 3 jour(s)</v>
      </c>
      <c r="J32" s="56" t="str">
        <f>VLOOKUP(A32,[1]!Tableau_cotisants,10,FALSE)</f>
        <v>SEGONZAC</v>
      </c>
      <c r="K32" s="57" t="str">
        <f>VLOOKUP(A32,[1]!Tableau_cotisants,11,FALSE)</f>
        <v>Champagne</v>
      </c>
      <c r="L32" s="6"/>
      <c r="M32" s="5">
        <v>1</v>
      </c>
      <c r="N32" s="27"/>
      <c r="O32" s="26"/>
      <c r="P32" s="74">
        <v>1</v>
      </c>
      <c r="Q32" s="55"/>
      <c r="R32" s="55"/>
      <c r="S32" s="55"/>
    </row>
    <row r="33" spans="1:19" ht="12" customHeight="1">
      <c r="A33" s="153"/>
      <c r="B33" s="56"/>
      <c r="C33" s="56"/>
      <c r="D33" s="56"/>
      <c r="E33" s="57"/>
      <c r="F33" s="56"/>
      <c r="G33" s="56"/>
      <c r="H33" s="58"/>
      <c r="I33" s="58"/>
      <c r="J33" s="56"/>
      <c r="K33" s="57"/>
      <c r="L33" s="6"/>
      <c r="M33" s="5"/>
      <c r="N33" s="27"/>
      <c r="O33" s="26"/>
      <c r="P33" s="74"/>
      <c r="Q33" s="55"/>
      <c r="R33" s="55"/>
      <c r="S33" s="55"/>
    </row>
    <row r="34" spans="1:19" ht="12" customHeight="1">
      <c r="A34" s="153"/>
      <c r="B34" s="56"/>
      <c r="C34" s="56"/>
      <c r="D34" s="56"/>
      <c r="E34" s="57"/>
      <c r="F34" s="56"/>
      <c r="G34" s="56"/>
      <c r="H34" s="58"/>
      <c r="I34" s="58"/>
      <c r="J34" s="56"/>
      <c r="K34" s="57"/>
      <c r="L34" s="6"/>
      <c r="M34" s="5"/>
      <c r="N34" s="27"/>
      <c r="O34" s="26"/>
      <c r="P34" s="74"/>
      <c r="Q34" s="55"/>
      <c r="R34" s="55"/>
      <c r="S34" s="55"/>
    </row>
    <row r="35" spans="1:19" ht="12" customHeight="1">
      <c r="A35" s="153"/>
      <c r="B35" s="56"/>
      <c r="C35" s="56"/>
      <c r="D35" s="56"/>
      <c r="E35" s="57"/>
      <c r="F35" s="56"/>
      <c r="G35" s="56"/>
      <c r="H35" s="58"/>
      <c r="I35" s="58"/>
      <c r="J35" s="56"/>
      <c r="K35" s="57"/>
      <c r="L35" s="6"/>
      <c r="M35" s="5"/>
      <c r="N35" s="27"/>
      <c r="O35" s="26"/>
      <c r="P35" s="74"/>
      <c r="Q35" s="55"/>
      <c r="R35" s="55"/>
      <c r="S35" s="55"/>
    </row>
    <row r="36" spans="1:19" ht="12" customHeight="1">
      <c r="A36" s="153"/>
      <c r="B36" s="56"/>
      <c r="C36" s="56"/>
      <c r="D36" s="56"/>
      <c r="E36" s="57"/>
      <c r="F36" s="56"/>
      <c r="G36" s="56"/>
      <c r="H36" s="58"/>
      <c r="I36" s="58"/>
      <c r="J36" s="56"/>
      <c r="K36" s="57"/>
      <c r="L36" s="6"/>
      <c r="M36" s="5"/>
      <c r="N36" s="27"/>
      <c r="O36" s="26"/>
      <c r="P36" s="74"/>
      <c r="Q36" s="55"/>
      <c r="R36" s="55"/>
      <c r="S36" s="55"/>
    </row>
    <row r="37" spans="1:19" ht="12" customHeight="1">
      <c r="A37" s="153"/>
      <c r="B37" s="56"/>
      <c r="C37" s="56"/>
      <c r="D37" s="56"/>
      <c r="E37" s="57"/>
      <c r="F37" s="56"/>
      <c r="G37" s="56"/>
      <c r="H37" s="58"/>
      <c r="I37" s="58"/>
      <c r="J37" s="56"/>
      <c r="K37" s="57"/>
      <c r="L37" s="6"/>
      <c r="M37" s="5"/>
      <c r="N37" s="27"/>
      <c r="O37" s="26"/>
      <c r="P37" s="74"/>
      <c r="Q37" s="55"/>
      <c r="R37" s="55"/>
      <c r="S37" s="55"/>
    </row>
    <row r="38" spans="1:19" ht="12" customHeight="1">
      <c r="A38" s="153"/>
      <c r="B38" s="56"/>
      <c r="C38" s="56"/>
      <c r="D38" s="56"/>
      <c r="E38" s="57"/>
      <c r="F38" s="56"/>
      <c r="G38" s="56"/>
      <c r="H38" s="58"/>
      <c r="I38" s="58"/>
      <c r="J38" s="56"/>
      <c r="K38" s="57"/>
      <c r="L38" s="6"/>
      <c r="M38" s="5"/>
      <c r="N38" s="27"/>
      <c r="O38" s="26"/>
      <c r="P38" s="74"/>
      <c r="Q38" s="55"/>
      <c r="R38" s="55"/>
      <c r="S38" s="55"/>
    </row>
    <row r="39" spans="1:19" ht="12" customHeight="1">
      <c r="A39" s="153"/>
      <c r="B39" s="56"/>
      <c r="C39" s="56"/>
      <c r="D39" s="56"/>
      <c r="E39" s="57"/>
      <c r="F39" s="56"/>
      <c r="G39" s="56"/>
      <c r="H39" s="58"/>
      <c r="I39" s="58"/>
      <c r="J39" s="56"/>
      <c r="K39" s="57"/>
      <c r="L39" s="6"/>
      <c r="M39" s="5"/>
      <c r="N39" s="27"/>
      <c r="O39" s="26"/>
      <c r="P39" s="74"/>
      <c r="Q39" s="55"/>
      <c r="R39" s="55"/>
      <c r="S39" s="55"/>
    </row>
    <row r="40" spans="1:19" ht="12" customHeight="1">
      <c r="A40" s="153"/>
      <c r="B40" s="56"/>
      <c r="C40" s="56"/>
      <c r="D40" s="56"/>
      <c r="E40" s="57"/>
      <c r="F40" s="56"/>
      <c r="G40" s="56"/>
      <c r="H40" s="58"/>
      <c r="I40" s="58"/>
      <c r="J40" s="56"/>
      <c r="K40" s="57"/>
      <c r="L40" s="6"/>
      <c r="M40" s="5"/>
      <c r="N40" s="27"/>
      <c r="O40" s="26"/>
      <c r="P40" s="74"/>
      <c r="Q40" s="55"/>
      <c r="R40" s="55"/>
      <c r="S40" s="55"/>
    </row>
    <row r="41" spans="1:19" ht="12" customHeight="1">
      <c r="A41" s="153"/>
      <c r="B41" s="56"/>
      <c r="C41" s="56"/>
      <c r="D41" s="56"/>
      <c r="E41" s="57"/>
      <c r="F41" s="56"/>
      <c r="G41" s="56"/>
      <c r="H41" s="58"/>
      <c r="I41" s="58"/>
      <c r="J41" s="56"/>
      <c r="K41" s="57"/>
      <c r="L41" s="6"/>
      <c r="M41" s="5"/>
      <c r="N41" s="27"/>
      <c r="O41" s="26"/>
      <c r="P41" s="74"/>
      <c r="Q41" s="55"/>
      <c r="R41" s="55"/>
      <c r="S41" s="55"/>
    </row>
    <row r="42" spans="1:19" ht="12" customHeight="1">
      <c r="A42" s="153"/>
      <c r="B42" s="56"/>
      <c r="C42" s="56"/>
      <c r="D42" s="56"/>
      <c r="E42" s="57"/>
      <c r="F42" s="56"/>
      <c r="G42" s="56"/>
      <c r="H42" s="58"/>
      <c r="I42" s="58"/>
      <c r="J42" s="56"/>
      <c r="K42" s="57"/>
      <c r="L42" s="6"/>
      <c r="M42" s="5"/>
      <c r="N42" s="27"/>
      <c r="O42" s="26"/>
      <c r="P42" s="74"/>
      <c r="Q42" s="55"/>
      <c r="R42" s="55"/>
      <c r="S42" s="55"/>
    </row>
    <row r="43" spans="1:19" ht="12" customHeight="1" thickBot="1">
      <c r="A43" s="153"/>
      <c r="B43" s="56"/>
      <c r="C43" s="56"/>
      <c r="D43" s="56"/>
      <c r="E43" s="57"/>
      <c r="F43" s="56"/>
      <c r="G43" s="56"/>
      <c r="H43" s="58"/>
      <c r="I43" s="58"/>
      <c r="J43" s="56"/>
      <c r="K43" s="57"/>
      <c r="L43" s="6"/>
      <c r="M43" s="5"/>
      <c r="N43" s="27"/>
      <c r="O43" s="26"/>
      <c r="P43" s="74"/>
      <c r="Q43" s="55"/>
      <c r="R43" s="55"/>
      <c r="S43" s="55"/>
    </row>
    <row r="44" spans="1:19" ht="19.5" thickBot="1">
      <c r="A44" s="153"/>
      <c r="B44" s="4"/>
      <c r="C44" s="4"/>
      <c r="D44" s="4"/>
      <c r="E44" s="4">
        <f>SUM(E5:E43)</f>
        <v>16</v>
      </c>
      <c r="F44" s="4">
        <f>SUM(F5:F43)</f>
        <v>14</v>
      </c>
      <c r="G44" s="4">
        <f>SUM(G5:G43)</f>
        <v>12</v>
      </c>
      <c r="H44" s="4"/>
      <c r="I44" s="4"/>
      <c r="J44" s="4"/>
      <c r="K44" s="18">
        <f>SUM(K7:K43)</f>
        <v>0</v>
      </c>
      <c r="L44" s="93">
        <f t="shared" ref="L44:S44" si="14">SUM(L5:L43)</f>
        <v>21</v>
      </c>
      <c r="M44" s="19">
        <f t="shared" si="14"/>
        <v>5</v>
      </c>
      <c r="N44" s="20">
        <f t="shared" si="14"/>
        <v>6</v>
      </c>
      <c r="O44" s="28">
        <f t="shared" si="14"/>
        <v>1</v>
      </c>
      <c r="P44" s="72">
        <f t="shared" si="14"/>
        <v>19</v>
      </c>
      <c r="Q44" s="79">
        <f t="shared" si="14"/>
        <v>0</v>
      </c>
      <c r="R44" s="80">
        <f t="shared" si="14"/>
        <v>0</v>
      </c>
      <c r="S44" s="81">
        <f t="shared" si="14"/>
        <v>0</v>
      </c>
    </row>
    <row r="45" spans="1:19" ht="24" thickBot="1">
      <c r="B45" t="s">
        <v>28</v>
      </c>
      <c r="C45" s="98"/>
      <c r="F45" s="201">
        <f>F44+G44</f>
        <v>26</v>
      </c>
      <c r="G45" s="201"/>
      <c r="L45" s="201">
        <f>L44+M44</f>
        <v>26</v>
      </c>
      <c r="M45" s="201"/>
      <c r="N45" s="202">
        <f>N44+O44+P44</f>
        <v>26</v>
      </c>
      <c r="O45" s="202"/>
      <c r="P45" s="202"/>
      <c r="Q45" s="163"/>
      <c r="R45" s="163"/>
      <c r="S45" s="163"/>
    </row>
    <row r="46" spans="1:19" ht="15.75" thickBot="1">
      <c r="B46" t="s">
        <v>75</v>
      </c>
      <c r="L46" s="22">
        <f>L44+'03 avril 2019'!L46</f>
        <v>149</v>
      </c>
      <c r="M46" s="23">
        <f>M44+'03 avril 2019'!M46</f>
        <v>127</v>
      </c>
      <c r="N46" s="24">
        <f>N44+'03 avril 2019'!N46</f>
        <v>143</v>
      </c>
      <c r="O46" s="25">
        <f>O44+'03 avril 2019'!O46</f>
        <v>27</v>
      </c>
      <c r="P46" s="84">
        <f>P44+'03 avril 2019'!P46</f>
        <v>106</v>
      </c>
      <c r="Q46" s="82">
        <f>Q44+'03 avril 2019'!Q46</f>
        <v>14</v>
      </c>
      <c r="R46" s="90">
        <f>R44+'03 avril 2019'!R46</f>
        <v>2</v>
      </c>
      <c r="S46" s="83">
        <f>S44+'03 avril 2019'!S46</f>
        <v>13</v>
      </c>
    </row>
    <row r="47" spans="1:19" ht="33" thickBot="1">
      <c r="L47" s="203">
        <f>L45+'03 avril 2019'!L47:M47</f>
        <v>276</v>
      </c>
      <c r="M47" s="204"/>
      <c r="N47" s="205">
        <f>N45+'03 avril 2019'!N47:P47</f>
        <v>276</v>
      </c>
      <c r="O47" s="206"/>
      <c r="P47" s="207"/>
    </row>
    <row r="48" spans="1:19">
      <c r="B48" t="s">
        <v>181</v>
      </c>
      <c r="C48" s="142" t="s">
        <v>185</v>
      </c>
      <c r="D48" t="s">
        <v>181</v>
      </c>
      <c r="E48" s="208" t="s">
        <v>182</v>
      </c>
      <c r="F48" s="209"/>
    </row>
    <row r="49" spans="1:6" ht="45">
      <c r="A49" s="140" t="s">
        <v>183</v>
      </c>
      <c r="B49" s="138"/>
      <c r="C49" s="139">
        <f>B49+'03 avril 2019'!C49</f>
        <v>10</v>
      </c>
      <c r="D49" s="138"/>
      <c r="E49" s="195">
        <f>D49+'03 avril 2019'!E49:F49</f>
        <v>70</v>
      </c>
      <c r="F49" s="196"/>
    </row>
    <row r="50" spans="1:6" ht="32.25">
      <c r="A50" s="141" t="s">
        <v>184</v>
      </c>
      <c r="B50" s="138"/>
      <c r="C50" s="139">
        <f>B50+'03 avril 2019'!C50</f>
        <v>13</v>
      </c>
      <c r="D50" s="138"/>
      <c r="E50" s="195">
        <f>D50+'03 avril 2019'!E50:F50</f>
        <v>89</v>
      </c>
      <c r="F50" s="196"/>
    </row>
    <row r="51" spans="1:6">
      <c r="B51" s="163">
        <f>B50+B49</f>
        <v>0</v>
      </c>
      <c r="C51" s="163">
        <f>C50+C49</f>
        <v>23</v>
      </c>
      <c r="D51" s="163">
        <f>D50+D49</f>
        <v>0</v>
      </c>
      <c r="E51" s="210">
        <f>E50+E49</f>
        <v>159</v>
      </c>
      <c r="F51" s="210"/>
    </row>
    <row r="53" spans="1:6">
      <c r="D53" t="s">
        <v>262</v>
      </c>
    </row>
  </sheetData>
  <mergeCells count="10">
    <mergeCell ref="E49:F49"/>
    <mergeCell ref="E50:F50"/>
    <mergeCell ref="E51:F51"/>
    <mergeCell ref="F3:G3"/>
    <mergeCell ref="F45:G45"/>
    <mergeCell ref="L45:M45"/>
    <mergeCell ref="N45:P45"/>
    <mergeCell ref="L47:M47"/>
    <mergeCell ref="N47:P47"/>
    <mergeCell ref="E48:F48"/>
  </mergeCells>
  <conditionalFormatting sqref="N47">
    <cfRule type="cellIs" dxfId="33" priority="4" operator="equal">
      <formula>$N$46+$O$46</formula>
    </cfRule>
  </conditionalFormatting>
  <conditionalFormatting sqref="N47">
    <cfRule type="cellIs" dxfId="32" priority="3" operator="equal">
      <formula>$N$52+$O$52</formula>
    </cfRule>
  </conditionalFormatting>
  <conditionalFormatting sqref="F45:G45 N45">
    <cfRule type="cellIs" dxfId="31" priority="1" operator="notEqual">
      <formula>$L$45</formula>
    </cfRule>
    <cfRule type="cellIs" dxfId="30" priority="2" operator="equal">
      <formula>$L$45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2:S53"/>
  <sheetViews>
    <sheetView workbookViewId="0">
      <pane ySplit="4" topLeftCell="A29" activePane="bottomLeft" state="frozen"/>
      <selection pane="bottomLeft" activeCell="A29" sqref="A29:S37"/>
    </sheetView>
  </sheetViews>
  <sheetFormatPr baseColWidth="10" defaultRowHeight="15"/>
  <cols>
    <col min="1" max="1" width="8" bestFit="1" customWidth="1"/>
    <col min="2" max="2" width="14.5703125" customWidth="1"/>
    <col min="3" max="3" width="12.14062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43600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13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31" t="s">
        <v>242</v>
      </c>
      <c r="B5" s="52" t="str">
        <f>VLOOKUP(A5,[1]!Tableau_cotisants,2,FALSE)</f>
        <v>CHAGNEAU</v>
      </c>
      <c r="C5" s="52" t="str">
        <f>VLOOKUP(A5,[1]!Tableau_cotisants,3,FALSE)</f>
        <v>CHAGNEAU</v>
      </c>
      <c r="D5" s="52" t="str">
        <f>VLOOKUP(A5,[1]!Tableau_cotisants,4,FALSE)</f>
        <v>Karine</v>
      </c>
      <c r="E5" s="53">
        <f>VLOOKUP(A5,[1]!Tableau_cotisants,5,FALSE)</f>
        <v>1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29352</v>
      </c>
      <c r="I5" s="54" t="str">
        <f t="shared" ref="I5" si="0">DATEDIF(H5,Date_du_jour,"y") &amp; " an(s) " &amp; DATEDIF(H5,$C$2,"ym") &amp; " mois et " &amp; DATEDIF(H5,$C$2,"md") &amp; " jour(s)"</f>
        <v>39 an(s) 0 mois et 4 jour(s)</v>
      </c>
      <c r="J5" s="52" t="str">
        <f>VLOOKUP(A5,[1]!Tableau_cotisants,10,FALSE)</f>
        <v>Merpins</v>
      </c>
      <c r="K5" s="53" t="str">
        <f>VLOOKUP(A5,[1]!Tableau_cotisants,11,FALSE)</f>
        <v>Cognac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31" t="s">
        <v>243</v>
      </c>
      <c r="B6" s="52" t="str">
        <f>VLOOKUP(A6,[1]!Tableau_cotisants,2,FALSE)</f>
        <v>CHAGNEAU</v>
      </c>
      <c r="C6" s="52" t="str">
        <f>VLOOKUP(A6,[1]!Tableau_cotisants,3,FALSE)</f>
        <v>SAUVION</v>
      </c>
      <c r="D6" s="52" t="str">
        <f>VLOOKUP(A6,[1]!Tableau_cotisants,4,FALSE)</f>
        <v>Emmy</v>
      </c>
      <c r="E6" s="53">
        <f>VLOOKUP(A6,[1]!Tableau_cotisants,5,FALSE)</f>
        <v>1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43213</v>
      </c>
      <c r="I6" s="54" t="str">
        <f t="shared" ref="I6" si="1">DATEDIF(H6,Date_du_jour,"y") &amp; " an(s) " &amp; DATEDIF(H6,$C$2,"ym") &amp; " mois et " &amp; DATEDIF(H6,$C$2,"md") &amp; " jour(s)"</f>
        <v>1 an(s) 0 mois et 22 jour(s)</v>
      </c>
      <c r="J6" s="52" t="str">
        <f>VLOOKUP(A6,[1]!Tableau_cotisants,10,FALSE)</f>
        <v>Merpins</v>
      </c>
      <c r="K6" s="53" t="str">
        <f>VLOOKUP(A6,[1]!Tableau_cotisants,11,FALSE)</f>
        <v>Cognac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31" t="s">
        <v>245</v>
      </c>
      <c r="B7" s="52" t="str">
        <f>VLOOKUP(A7,[1]!Tableau_cotisants,2,FALSE)</f>
        <v>CHAGNEAU</v>
      </c>
      <c r="C7" s="52" t="str">
        <f>VLOOKUP(A7,[1]!Tableau_cotisants,3,FALSE)</f>
        <v>MEUNIER</v>
      </c>
      <c r="D7" s="52" t="str">
        <f>VLOOKUP(A7,[1]!Tableau_cotisants,4,FALSE)</f>
        <v>Hugo</v>
      </c>
      <c r="E7" s="53">
        <f>VLOOKUP(A7,[1]!Tableau_cotisants,5,FALSE)</f>
        <v>1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43284</v>
      </c>
      <c r="I7" s="54" t="str">
        <f t="shared" ref="I7:I8" si="2">DATEDIF(H7,Date_du_jour,"y") &amp; " an(s) " &amp; DATEDIF(H7,$C$2,"ym") &amp; " mois et " &amp; DATEDIF(H7,$C$2,"md") &amp; " jour(s)"</f>
        <v>0 an(s) 10 mois et 12 jour(s)</v>
      </c>
      <c r="J7" s="52" t="str">
        <f>VLOOKUP(A7,[1]!Tableau_cotisants,10,FALSE)</f>
        <v>Merpins</v>
      </c>
      <c r="K7" s="53" t="str">
        <f>VLOOKUP(A7,[1]!Tableau_cotisants,11,FALSE)</f>
        <v>Cognac</v>
      </c>
      <c r="L7" s="6">
        <v>1</v>
      </c>
      <c r="M7" s="5"/>
      <c r="N7" s="27">
        <v>1</v>
      </c>
      <c r="O7" s="26"/>
      <c r="P7" s="74"/>
      <c r="Q7" s="55"/>
      <c r="R7" s="55"/>
      <c r="S7" s="55"/>
    </row>
    <row r="8" spans="1:19" ht="12" customHeight="1">
      <c r="A8" s="131" t="s">
        <v>295</v>
      </c>
      <c r="B8" s="52" t="str">
        <f>VLOOKUP(A8,[1]!Tableau_cotisants,2,FALSE)</f>
        <v>CHAGNEAU</v>
      </c>
      <c r="C8" s="52" t="str">
        <f>VLOOKUP(A8,[1]!Tableau_cotisants,3,FALSE)</f>
        <v>COUGOULE</v>
      </c>
      <c r="D8" s="52" t="str">
        <f>VLOOKUP(A8,[1]!Tableau_cotisants,4,FALSE)</f>
        <v>Louis</v>
      </c>
      <c r="E8" s="53">
        <f>VLOOKUP(A8,[1]!Tableau_cotisants,5,FALSE)</f>
        <v>1</v>
      </c>
      <c r="F8" s="52">
        <f>VLOOKUP(A8,[1]!Tableau_cotisants,6,FALSE)</f>
        <v>0</v>
      </c>
      <c r="G8" s="52">
        <f>VLOOKUP(A8,[1]!Tableau_cotisants,7,FALSE)</f>
        <v>1</v>
      </c>
      <c r="H8" s="54">
        <f>VLOOKUP(A8,[1]!Tableau_cotisants,8,FALSE)</f>
        <v>42493</v>
      </c>
      <c r="I8" s="54" t="str">
        <f t="shared" si="2"/>
        <v>3 an(s) 0 mois et 12 jour(s)</v>
      </c>
      <c r="J8" s="52" t="str">
        <f>VLOOKUP(A8,[1]!Tableau_cotisants,10,FALSE)</f>
        <v>Merpins</v>
      </c>
      <c r="K8" s="53" t="str">
        <f>VLOOKUP(A8,[1]!Tableau_cotisants,11,FALSE)</f>
        <v>Cognac</v>
      </c>
      <c r="L8" s="6">
        <v>1</v>
      </c>
      <c r="M8" s="5"/>
      <c r="N8" s="27">
        <v>1</v>
      </c>
      <c r="O8" s="26"/>
      <c r="P8" s="74"/>
      <c r="Q8" s="55"/>
      <c r="R8" s="55"/>
      <c r="S8" s="55"/>
    </row>
    <row r="9" spans="1:19" ht="12" customHeight="1">
      <c r="A9" s="121" t="s">
        <v>77</v>
      </c>
      <c r="B9" s="52" t="str">
        <f>VLOOKUP(A9,[1]!Tableau_cotisants,2,FALSE)</f>
        <v>DEGRIS</v>
      </c>
      <c r="C9" s="52" t="str">
        <f>VLOOKUP(A9,[1]!Tableau_cotisants,3,FALSE)</f>
        <v>DEGRIS</v>
      </c>
      <c r="D9" s="52" t="str">
        <f>VLOOKUP(A9,[1]!Tableau_cotisants,4,FALSE)</f>
        <v>Laura</v>
      </c>
      <c r="E9" s="53">
        <f>VLOOKUP(A9,[1]!Tableau_cotisants,5,FALSE)</f>
        <v>1</v>
      </c>
      <c r="F9" s="52">
        <f>VLOOKUP(A9,[1]!Tableau_cotisants,6,FALSE)</f>
        <v>1</v>
      </c>
      <c r="G9" s="52">
        <f>VLOOKUP(A9,[1]!Tableau_cotisants,7,FALSE)</f>
        <v>0</v>
      </c>
      <c r="H9" s="54">
        <f>VLOOKUP(A9,[1]!Tableau_cotisants,8,FALSE)</f>
        <v>32556</v>
      </c>
      <c r="I9" s="54" t="str">
        <f t="shared" ref="I9:I10" si="3">DATEDIF(H9,Date_du_jour,"y") &amp; " an(s) " &amp; DATEDIF(H9,$C$2,"ym") &amp; " mois et " &amp; DATEDIF(H9,$C$2,"md") &amp; " jour(s)"</f>
        <v>30 an(s) 2 mois et 28 jour(s)</v>
      </c>
      <c r="J9" s="52" t="str">
        <f>VLOOKUP(A9,[1]!Tableau_cotisants,10,FALSE)</f>
        <v>SALLES D'ANGLES</v>
      </c>
      <c r="K9" s="53" t="str">
        <f>VLOOKUP(A9,[1]!Tableau_cotisants,11,FALSE)</f>
        <v>Champagne</v>
      </c>
      <c r="L9" s="6">
        <v>1</v>
      </c>
      <c r="M9" s="5"/>
      <c r="N9" s="27">
        <v>1</v>
      </c>
      <c r="O9" s="26"/>
      <c r="P9" s="74"/>
      <c r="Q9" s="55"/>
      <c r="R9" s="55"/>
      <c r="S9" s="55"/>
    </row>
    <row r="10" spans="1:19" ht="12" customHeight="1">
      <c r="A10" s="121" t="s">
        <v>79</v>
      </c>
      <c r="B10" s="52" t="str">
        <f>VLOOKUP(A10,[1]!Tableau_cotisants,2,FALSE)</f>
        <v>DEGRIS</v>
      </c>
      <c r="C10" s="52" t="str">
        <f>VLOOKUP(A10,[1]!Tableau_cotisants,3,FALSE)</f>
        <v>GUYOT</v>
      </c>
      <c r="D10" s="52" t="str">
        <f>VLOOKUP(A10,[1]!Tableau_cotisants,4,FALSE)</f>
        <v>Léanne</v>
      </c>
      <c r="E10" s="53">
        <f>VLOOKUP(A10,[1]!Tableau_cotisants,5,FALSE)</f>
        <v>1</v>
      </c>
      <c r="F10" s="52">
        <f>VLOOKUP(A10,[1]!Tableau_cotisants,6,FALSE)</f>
        <v>1</v>
      </c>
      <c r="G10" s="52">
        <f>VLOOKUP(A10,[1]!Tableau_cotisants,7,FALSE)</f>
        <v>0</v>
      </c>
      <c r="H10" s="54">
        <f>VLOOKUP(A10,[1]!Tableau_cotisants,8,FALSE)</f>
        <v>41202</v>
      </c>
      <c r="I10" s="54" t="str">
        <f t="shared" si="3"/>
        <v>6 an(s) 6 mois et 25 jour(s)</v>
      </c>
      <c r="J10" s="52" t="str">
        <f>VLOOKUP(A10,[1]!Tableau_cotisants,10,FALSE)</f>
        <v>SALLES D'ANGLES</v>
      </c>
      <c r="K10" s="53" t="str">
        <f>VLOOKUP(A10,[1]!Tableau_cotisants,11,FALSE)</f>
        <v>Champagne</v>
      </c>
      <c r="L10" s="6">
        <v>1</v>
      </c>
      <c r="M10" s="5"/>
      <c r="N10" s="27">
        <v>1</v>
      </c>
      <c r="O10" s="26"/>
      <c r="P10" s="74"/>
      <c r="Q10" s="55"/>
      <c r="R10" s="55"/>
      <c r="S10" s="55"/>
    </row>
    <row r="11" spans="1:19" ht="12" customHeight="1">
      <c r="A11" s="121" t="s">
        <v>78</v>
      </c>
      <c r="B11" s="52" t="str">
        <f>VLOOKUP(A11,[1]!Tableau_cotisants,2,FALSE)</f>
        <v>DEGRIS</v>
      </c>
      <c r="C11" s="52" t="str">
        <f>VLOOKUP(A11,[1]!Tableau_cotisants,3,FALSE)</f>
        <v>GUYOT</v>
      </c>
      <c r="D11" s="52" t="str">
        <f>VLOOKUP(A11,[1]!Tableau_cotisants,4,FALSE)</f>
        <v>Nathan</v>
      </c>
      <c r="E11" s="53">
        <f>VLOOKUP(A11,[1]!Tableau_cotisants,5,FALSE)</f>
        <v>1</v>
      </c>
      <c r="F11" s="52">
        <f>VLOOKUP(A11,[1]!Tableau_cotisants,6,FALSE)</f>
        <v>0</v>
      </c>
      <c r="G11" s="52">
        <f>VLOOKUP(A11,[1]!Tableau_cotisants,7,FALSE)</f>
        <v>1</v>
      </c>
      <c r="H11" s="54">
        <f>VLOOKUP(A11,[1]!Tableau_cotisants,8,FALSE)</f>
        <v>42354</v>
      </c>
      <c r="I11" s="54" t="str">
        <f t="shared" ref="I11" si="4">DATEDIF(H11,Date_du_jour,"y") &amp; " an(s) " &amp; DATEDIF(H11,$C$2,"ym") &amp; " mois et " &amp; DATEDIF(H11,$C$2,"md") &amp; " jour(s)"</f>
        <v>3 an(s) 4 mois et 29 jour(s)</v>
      </c>
      <c r="J11" s="52" t="str">
        <f>VLOOKUP(A11,[1]!Tableau_cotisants,10,FALSE)</f>
        <v>SALLES D'ANGLES</v>
      </c>
      <c r="K11" s="53" t="str">
        <f>VLOOKUP(A11,[1]!Tableau_cotisants,11,FALSE)</f>
        <v>Champagne</v>
      </c>
      <c r="L11" s="6">
        <v>1</v>
      </c>
      <c r="M11" s="5"/>
      <c r="N11" s="27">
        <v>1</v>
      </c>
      <c r="O11" s="26"/>
      <c r="P11" s="74"/>
      <c r="Q11" s="55"/>
      <c r="R11" s="55"/>
      <c r="S11" s="55"/>
    </row>
    <row r="12" spans="1:19" ht="12" customHeight="1">
      <c r="A12" s="121" t="s">
        <v>133</v>
      </c>
      <c r="B12" s="52" t="str">
        <f>VLOOKUP(A12,[1]!Tableau_cotisants,2,FALSE)</f>
        <v>DEGRIS</v>
      </c>
      <c r="C12" s="52" t="str">
        <f>VLOOKUP(A12,[1]!Tableau_cotisants,3,FALSE)</f>
        <v>Enfant gardé</v>
      </c>
      <c r="D12" s="52" t="str">
        <f>VLOOKUP(A12,[1]!Tableau_cotisants,4,FALSE)</f>
        <v>Aëlynn</v>
      </c>
      <c r="E12" s="53">
        <f>VLOOKUP(A12,[1]!Tableau_cotisants,5,FALSE)</f>
        <v>1</v>
      </c>
      <c r="F12" s="52">
        <f>VLOOKUP(A12,[1]!Tableau_cotisants,6,FALSE)</f>
        <v>1</v>
      </c>
      <c r="G12" s="52">
        <f>VLOOKUP(A12,[1]!Tableau_cotisants,7,FALSE)</f>
        <v>0</v>
      </c>
      <c r="H12" s="54">
        <f>VLOOKUP(A12,[1]!Tableau_cotisants,8,FALSE)</f>
        <v>43313</v>
      </c>
      <c r="I12" s="54" t="str">
        <f t="shared" ref="I12:I18" si="5">DATEDIF(H12,Date_du_jour,"y") &amp; " an(s) " &amp; DATEDIF(H12,$C$2,"ym") &amp; " mois et " &amp; DATEDIF(H12,$C$2,"md") &amp; " jour(s)"</f>
        <v>0 an(s) 9 mois et 14 jour(s)</v>
      </c>
      <c r="J12" s="52" t="str">
        <f>VLOOKUP(A12,[1]!Tableau_cotisants,10,FALSE)</f>
        <v>SALLES D'ANGLES</v>
      </c>
      <c r="K12" s="53" t="str">
        <f>VLOOKUP(A12,[1]!Tableau_cotisants,11,FALSE)</f>
        <v>Champagne</v>
      </c>
      <c r="L12" s="6">
        <v>1</v>
      </c>
      <c r="M12" s="5"/>
      <c r="N12" s="27">
        <v>1</v>
      </c>
      <c r="O12" s="26"/>
      <c r="P12" s="74"/>
      <c r="Q12" s="55"/>
      <c r="R12" s="55"/>
      <c r="S12" s="55"/>
    </row>
    <row r="13" spans="1:19" ht="12" customHeight="1">
      <c r="A13" s="121" t="s">
        <v>294</v>
      </c>
      <c r="B13" s="52" t="str">
        <f>VLOOKUP(A13,[1]!Tableau_cotisants,2,FALSE)</f>
        <v>DEGRIS</v>
      </c>
      <c r="C13" s="52" t="str">
        <f>VLOOKUP(A13,[1]!Tableau_cotisants,3,FALSE)</f>
        <v>JOSSE ANDRE</v>
      </c>
      <c r="D13" s="52" t="str">
        <f>VLOOKUP(A13,[1]!Tableau_cotisants,4,FALSE)</f>
        <v>Simon</v>
      </c>
      <c r="E13" s="53">
        <f>VLOOKUP(A13,[1]!Tableau_cotisants,5,FALSE)</f>
        <v>1</v>
      </c>
      <c r="F13" s="52">
        <f>VLOOKUP(A13,[1]!Tableau_cotisants,6,FALSE)</f>
        <v>0</v>
      </c>
      <c r="G13" s="52">
        <f>VLOOKUP(A13,[1]!Tableau_cotisants,7,FALSE)</f>
        <v>1</v>
      </c>
      <c r="H13" s="54">
        <f>VLOOKUP(A13,[1]!Tableau_cotisants,8,FALSE)</f>
        <v>43045</v>
      </c>
      <c r="I13" s="54" t="str">
        <f t="shared" ref="I13" si="6">DATEDIF(H13,Date_du_jour,"y") &amp; " an(s) " &amp; DATEDIF(H13,$C$2,"ym") &amp; " mois et " &amp; DATEDIF(H13,$C$2,"md") &amp; " jour(s)"</f>
        <v>1 an(s) 6 mois et 9 jour(s)</v>
      </c>
      <c r="J13" s="52" t="str">
        <f>VLOOKUP(A13,[1]!Tableau_cotisants,10,FALSE)</f>
        <v>SALLES D'ANGLES</v>
      </c>
      <c r="K13" s="53" t="str">
        <f>VLOOKUP(A13,[1]!Tableau_cotisants,11,FALSE)</f>
        <v>Champagne</v>
      </c>
      <c r="L13" s="6">
        <v>1</v>
      </c>
      <c r="M13" s="5"/>
      <c r="N13" s="27">
        <v>1</v>
      </c>
      <c r="O13" s="26"/>
      <c r="P13" s="74"/>
      <c r="Q13" s="55"/>
      <c r="R13" s="55"/>
      <c r="S13" s="55"/>
    </row>
    <row r="14" spans="1:19" ht="12" customHeight="1">
      <c r="A14" s="113" t="s">
        <v>94</v>
      </c>
      <c r="B14" s="52" t="str">
        <f>VLOOKUP(A14,[1]!Tableau_cotisants,2,FALSE)</f>
        <v>COZIC</v>
      </c>
      <c r="C14" s="52" t="str">
        <f>VLOOKUP(A14,[1]!Tableau_cotisants,3,FALSE)</f>
        <v>COZIC</v>
      </c>
      <c r="D14" s="52" t="str">
        <f>VLOOKUP(A14,[1]!Tableau_cotisants,4,FALSE)</f>
        <v>Jennifer</v>
      </c>
      <c r="E14" s="53">
        <f>VLOOKUP(A14,[1]!Tableau_cotisants,5,FALSE)</f>
        <v>1</v>
      </c>
      <c r="F14" s="52">
        <f>VLOOKUP(A14,[1]!Tableau_cotisants,6,FALSE)</f>
        <v>1</v>
      </c>
      <c r="G14" s="52">
        <f>VLOOKUP(A14,[1]!Tableau_cotisants,7,FALSE)</f>
        <v>0</v>
      </c>
      <c r="H14" s="54">
        <f>VLOOKUP(A14,[1]!Tableau_cotisants,8,FALSE)</f>
        <v>30554</v>
      </c>
      <c r="I14" s="54" t="str">
        <f t="shared" si="5"/>
        <v>35 an(s) 8 mois et 19 jour(s)</v>
      </c>
      <c r="J14" s="52" t="str">
        <f>VLOOKUP(A14,[1]!Tableau_cotisants,10,FALSE)</f>
        <v>Chateaubernard</v>
      </c>
      <c r="K14" s="53" t="str">
        <f>VLOOKUP(A14,[1]!Tableau_cotisants,11,FALSE)</f>
        <v>Cognac</v>
      </c>
      <c r="L14" s="6">
        <v>1</v>
      </c>
      <c r="M14" s="5"/>
      <c r="N14" s="27"/>
      <c r="O14" s="26"/>
      <c r="P14" s="74">
        <v>1</v>
      </c>
      <c r="Q14" s="55"/>
      <c r="R14" s="55"/>
      <c r="S14" s="55"/>
    </row>
    <row r="15" spans="1:19" ht="12" customHeight="1">
      <c r="A15" s="113" t="s">
        <v>97</v>
      </c>
      <c r="B15" s="52" t="str">
        <f>VLOOKUP(A15,[1]!Tableau_cotisants,2,FALSE)</f>
        <v>COZIC</v>
      </c>
      <c r="C15" s="52" t="str">
        <f>VLOOKUP(A15,[1]!Tableau_cotisants,3,FALSE)</f>
        <v>TARDIEU</v>
      </c>
      <c r="D15" s="52" t="str">
        <f>VLOOKUP(A15,[1]!Tableau_cotisants,4,FALSE)</f>
        <v>Gustave</v>
      </c>
      <c r="E15" s="53">
        <f>VLOOKUP(A15,[1]!Tableau_cotisants,5,FALSE)</f>
        <v>1</v>
      </c>
      <c r="F15" s="52">
        <f>VLOOKUP(A15,[1]!Tableau_cotisants,6,FALSE)</f>
        <v>0</v>
      </c>
      <c r="G15" s="52">
        <f>VLOOKUP(A15,[1]!Tableau_cotisants,7,FALSE)</f>
        <v>1</v>
      </c>
      <c r="H15" s="54">
        <f>VLOOKUP(A15,[1]!Tableau_cotisants,8,FALSE)</f>
        <v>42917</v>
      </c>
      <c r="I15" s="54" t="str">
        <f t="shared" si="5"/>
        <v>1 an(s) 10 mois et 14 jour(s)</v>
      </c>
      <c r="J15" s="52" t="str">
        <f>VLOOKUP(A15,[1]!Tableau_cotisants,10,FALSE)</f>
        <v>Chateaubernard</v>
      </c>
      <c r="K15" s="53" t="str">
        <f>VLOOKUP(A15,[1]!Tableau_cotisants,11,FALSE)</f>
        <v>Cognac</v>
      </c>
      <c r="L15" s="6">
        <v>1</v>
      </c>
      <c r="M15" s="5"/>
      <c r="N15" s="27"/>
      <c r="O15" s="26"/>
      <c r="P15" s="74">
        <v>1</v>
      </c>
      <c r="Q15" s="55"/>
      <c r="R15" s="55"/>
      <c r="S15" s="55"/>
    </row>
    <row r="16" spans="1:19" ht="12" customHeight="1">
      <c r="A16" s="113" t="s">
        <v>195</v>
      </c>
      <c r="B16" s="52" t="str">
        <f>VLOOKUP(A16,[1]!Tableau_cotisants,2,FALSE)</f>
        <v>COZIC</v>
      </c>
      <c r="C16" s="52" t="str">
        <f>VLOOKUP(A16,[1]!Tableau_cotisants,3,FALSE)</f>
        <v xml:space="preserve">VEZIN </v>
      </c>
      <c r="D16" s="52" t="str">
        <f>VLOOKUP(A16,[1]!Tableau_cotisants,4,FALSE)</f>
        <v>Paulin</v>
      </c>
      <c r="E16" s="53">
        <f>VLOOKUP(A16,[1]!Tableau_cotisants,5,FALSE)</f>
        <v>1</v>
      </c>
      <c r="F16" s="52">
        <f>VLOOKUP(A16,[1]!Tableau_cotisants,6,FALSE)</f>
        <v>0</v>
      </c>
      <c r="G16" s="52">
        <f>VLOOKUP(A16,[1]!Tableau_cotisants,7,FALSE)</f>
        <v>1</v>
      </c>
      <c r="H16" s="54">
        <f>VLOOKUP(A16,[1]!Tableau_cotisants,8,FALSE)</f>
        <v>43055</v>
      </c>
      <c r="I16" s="54" t="str">
        <f t="shared" si="5"/>
        <v>1 an(s) 5 mois et 29 jour(s)</v>
      </c>
      <c r="J16" s="52" t="str">
        <f>VLOOKUP(A16,[1]!Tableau_cotisants,10,FALSE)</f>
        <v>Chateaubernard</v>
      </c>
      <c r="K16" s="53" t="str">
        <f>VLOOKUP(A16,[1]!Tableau_cotisants,11,FALSE)</f>
        <v>Cognac</v>
      </c>
      <c r="L16" s="6">
        <v>1</v>
      </c>
      <c r="M16" s="5"/>
      <c r="N16" s="27"/>
      <c r="O16" s="26"/>
      <c r="P16" s="74">
        <v>1</v>
      </c>
      <c r="Q16" s="55"/>
      <c r="R16" s="55"/>
      <c r="S16" s="55"/>
    </row>
    <row r="17" spans="1:19" ht="12" customHeight="1">
      <c r="A17" s="113" t="s">
        <v>98</v>
      </c>
      <c r="B17" s="52" t="str">
        <f>VLOOKUP(A17,[1]!Tableau_cotisants,2,FALSE)</f>
        <v>COZIC</v>
      </c>
      <c r="C17" s="52" t="str">
        <f>VLOOKUP(A17,[1]!Tableau_cotisants,3,FALSE)</f>
        <v>BARAUD</v>
      </c>
      <c r="D17" s="52" t="str">
        <f>VLOOKUP(A17,[1]!Tableau_cotisants,4,FALSE)</f>
        <v>Théo</v>
      </c>
      <c r="E17" s="53">
        <f>VLOOKUP(A17,[1]!Tableau_cotisants,5,FALSE)</f>
        <v>1</v>
      </c>
      <c r="F17" s="52">
        <f>VLOOKUP(A17,[1]!Tableau_cotisants,6,FALSE)</f>
        <v>0</v>
      </c>
      <c r="G17" s="52">
        <f>VLOOKUP(A17,[1]!Tableau_cotisants,7,FALSE)</f>
        <v>1</v>
      </c>
      <c r="H17" s="54">
        <f>VLOOKUP(A17,[1]!Tableau_cotisants,8,FALSE)</f>
        <v>43016</v>
      </c>
      <c r="I17" s="54" t="str">
        <f t="shared" ref="I17" si="7">DATEDIF(H17,Date_du_jour,"y") &amp; " an(s) " &amp; DATEDIF(H17,$C$2,"ym") &amp; " mois et " &amp; DATEDIF(H17,$C$2,"md") &amp; " jour(s)"</f>
        <v>1 an(s) 7 mois et 7 jour(s)</v>
      </c>
      <c r="J17" s="52" t="str">
        <f>VLOOKUP(A17,[1]!Tableau_cotisants,10,FALSE)</f>
        <v>Chateaubernard</v>
      </c>
      <c r="K17" s="53" t="str">
        <f>VLOOKUP(A17,[1]!Tableau_cotisants,11,FALSE)</f>
        <v>Cognac</v>
      </c>
      <c r="L17" s="6">
        <v>1</v>
      </c>
      <c r="M17" s="5"/>
      <c r="N17" s="27"/>
      <c r="O17" s="26"/>
      <c r="P17" s="74">
        <v>1</v>
      </c>
      <c r="Q17" s="55"/>
      <c r="R17" s="55"/>
      <c r="S17" s="55"/>
    </row>
    <row r="18" spans="1:19" ht="12" customHeight="1">
      <c r="A18" s="113" t="s">
        <v>95</v>
      </c>
      <c r="B18" s="52" t="str">
        <f>VLOOKUP(A18,[1]!Tableau_cotisants,2,FALSE)</f>
        <v>COZIC</v>
      </c>
      <c r="C18" s="52" t="str">
        <f>VLOOKUP(A18,[1]!Tableau_cotisants,3,FALSE)</f>
        <v>FRAISSINET COZIC</v>
      </c>
      <c r="D18" s="52" t="str">
        <f>VLOOKUP(A18,[1]!Tableau_cotisants,4,FALSE)</f>
        <v>Kathleen</v>
      </c>
      <c r="E18" s="53">
        <f>VLOOKUP(A18,[1]!Tableau_cotisants,5,FALSE)</f>
        <v>1</v>
      </c>
      <c r="F18" s="52">
        <f>VLOOKUP(A18,[1]!Tableau_cotisants,6,FALSE)</f>
        <v>1</v>
      </c>
      <c r="G18" s="52">
        <f>VLOOKUP(A18,[1]!Tableau_cotisants,7,FALSE)</f>
        <v>0</v>
      </c>
      <c r="H18" s="54">
        <f>VLOOKUP(A18,[1]!Tableau_cotisants,8,FALSE)</f>
        <v>39909</v>
      </c>
      <c r="I18" s="54" t="str">
        <f t="shared" si="5"/>
        <v>10 an(s) 1 mois et 9 jour(s)</v>
      </c>
      <c r="J18" s="52" t="str">
        <f>VLOOKUP(A18,[1]!Tableau_cotisants,10,FALSE)</f>
        <v>Chateaubernard</v>
      </c>
      <c r="K18" s="53" t="str">
        <f>VLOOKUP(A18,[1]!Tableau_cotisants,11,FALSE)</f>
        <v>Cognac</v>
      </c>
      <c r="L18" s="6">
        <v>1</v>
      </c>
      <c r="M18" s="5"/>
      <c r="N18" s="27"/>
      <c r="O18" s="26"/>
      <c r="P18" s="74">
        <v>1</v>
      </c>
      <c r="Q18" s="55"/>
      <c r="R18" s="55"/>
      <c r="S18" s="55"/>
    </row>
    <row r="19" spans="1:19" ht="12" customHeight="1">
      <c r="A19" s="113" t="s">
        <v>96</v>
      </c>
      <c r="B19" s="52" t="str">
        <f>VLOOKUP(A19,[1]!Tableau_cotisants,2,FALSE)</f>
        <v>COZIC</v>
      </c>
      <c r="C19" s="52" t="str">
        <f>VLOOKUP(A19,[1]!Tableau_cotisants,3,FALSE)</f>
        <v>FRAISSINET COZIC</v>
      </c>
      <c r="D19" s="52" t="str">
        <f>VLOOKUP(A19,[1]!Tableau_cotisants,4,FALSE)</f>
        <v>Kendall</v>
      </c>
      <c r="E19" s="53">
        <f>VLOOKUP(A19,[1]!Tableau_cotisants,5,FALSE)</f>
        <v>1</v>
      </c>
      <c r="F19" s="52">
        <f>VLOOKUP(A19,[1]!Tableau_cotisants,6,FALSE)</f>
        <v>0</v>
      </c>
      <c r="G19" s="52">
        <f>VLOOKUP(A19,[1]!Tableau_cotisants,7,FALSE)</f>
        <v>1</v>
      </c>
      <c r="H19" s="54">
        <f>VLOOKUP(A19,[1]!Tableau_cotisants,8,FALSE)</f>
        <v>40770</v>
      </c>
      <c r="I19" s="54" t="str">
        <f t="shared" ref="I19:I21" si="8">DATEDIF(H19,Date_du_jour,"y") &amp; " an(s) " &amp; DATEDIF(H19,$C$2,"ym") &amp; " mois et " &amp; DATEDIF(H19,$C$2,"md") &amp; " jour(s)"</f>
        <v>7 an(s) 9 mois et 0 jour(s)</v>
      </c>
      <c r="J19" s="52" t="str">
        <f>VLOOKUP(A19,[1]!Tableau_cotisants,10,FALSE)</f>
        <v>Chateaubernard</v>
      </c>
      <c r="K19" s="53" t="str">
        <f>VLOOKUP(A19,[1]!Tableau_cotisants,11,FALSE)</f>
        <v>Cognac</v>
      </c>
      <c r="L19" s="6">
        <v>1</v>
      </c>
      <c r="M19" s="5"/>
      <c r="N19" s="27"/>
      <c r="O19" s="26"/>
      <c r="P19" s="74">
        <v>1</v>
      </c>
      <c r="Q19" s="55"/>
      <c r="R19" s="55"/>
      <c r="S19" s="55"/>
    </row>
    <row r="20" spans="1:19" ht="12" customHeight="1">
      <c r="A20" s="164" t="s">
        <v>90</v>
      </c>
      <c r="B20" s="52" t="str">
        <f>VLOOKUP(A20,[1]!Tableau_cotisants,2,FALSE)</f>
        <v>GUYOT</v>
      </c>
      <c r="C20" s="52" t="str">
        <f>VLOOKUP(A20,[1]!Tableau_cotisants,3,FALSE)</f>
        <v>GUYOT</v>
      </c>
      <c r="D20" s="52" t="str">
        <f>VLOOKUP(A20,[1]!Tableau_cotisants,4,FALSE)</f>
        <v>Virginie</v>
      </c>
      <c r="E20" s="53">
        <f>VLOOKUP(A20,[1]!Tableau_cotisants,5,FALSE)</f>
        <v>1</v>
      </c>
      <c r="F20" s="52">
        <f>VLOOKUP(A20,[1]!Tableau_cotisants,6,FALSE)</f>
        <v>1</v>
      </c>
      <c r="G20" s="52">
        <f>VLOOKUP(A20,[1]!Tableau_cotisants,7,FALSE)</f>
        <v>0</v>
      </c>
      <c r="H20" s="54">
        <f>VLOOKUP(A20,[1]!Tableau_cotisants,8,FALSE)</f>
        <v>30012</v>
      </c>
      <c r="I20" s="54" t="str">
        <f t="shared" si="8"/>
        <v>37 an(s) 2 mois et 13 jour(s)</v>
      </c>
      <c r="J20" s="52" t="str">
        <f>VLOOKUP(A20,[1]!Tableau_cotisants,10,FALSE)</f>
        <v>Chateaubernard</v>
      </c>
      <c r="K20" s="53" t="str">
        <f>VLOOKUP(A20,[1]!Tableau_cotisants,11,FALSE)</f>
        <v>Cognac</v>
      </c>
      <c r="L20" s="6">
        <v>1</v>
      </c>
      <c r="M20" s="5"/>
      <c r="N20" s="27">
        <v>1</v>
      </c>
      <c r="O20" s="26"/>
      <c r="P20" s="74"/>
      <c r="Q20" s="55"/>
      <c r="R20" s="55"/>
      <c r="S20" s="55"/>
    </row>
    <row r="21" spans="1:19" ht="12" customHeight="1">
      <c r="A21" s="164" t="s">
        <v>91</v>
      </c>
      <c r="B21" s="52" t="str">
        <f>VLOOKUP(A21,[1]!Tableau_cotisants,2,FALSE)</f>
        <v>GUYOT</v>
      </c>
      <c r="C21" s="52" t="str">
        <f>VLOOKUP(A21,[1]!Tableau_cotisants,3,FALSE)</f>
        <v>FORGEARD</v>
      </c>
      <c r="D21" s="52" t="str">
        <f>VLOOKUP(A21,[1]!Tableau_cotisants,4,FALSE)</f>
        <v>Yanis</v>
      </c>
      <c r="E21" s="53">
        <f>VLOOKUP(A21,[1]!Tableau_cotisants,5,FALSE)</f>
        <v>1</v>
      </c>
      <c r="F21" s="52">
        <f>VLOOKUP(A21,[1]!Tableau_cotisants,6,FALSE)</f>
        <v>0</v>
      </c>
      <c r="G21" s="52">
        <f>VLOOKUP(A21,[1]!Tableau_cotisants,7,FALSE)</f>
        <v>1</v>
      </c>
      <c r="H21" s="54">
        <f>VLOOKUP(A21,[1]!Tableau_cotisants,8,FALSE)</f>
        <v>43315</v>
      </c>
      <c r="I21" s="54" t="str">
        <f t="shared" si="8"/>
        <v>0 an(s) 9 mois et 12 jour(s)</v>
      </c>
      <c r="J21" s="52" t="str">
        <f>VLOOKUP(A21,[1]!Tableau_cotisants,10,FALSE)</f>
        <v>Chateaubernard</v>
      </c>
      <c r="K21" s="53" t="str">
        <f>VLOOKUP(A21,[1]!Tableau_cotisants,11,FALSE)</f>
        <v>Cognac</v>
      </c>
      <c r="L21" s="6">
        <v>1</v>
      </c>
      <c r="M21" s="5"/>
      <c r="N21" s="27">
        <v>1</v>
      </c>
      <c r="O21" s="26"/>
      <c r="P21" s="74"/>
      <c r="Q21" s="55"/>
      <c r="R21" s="55"/>
      <c r="S21" s="55"/>
    </row>
    <row r="22" spans="1:19" ht="12" customHeight="1">
      <c r="A22" s="164" t="s">
        <v>92</v>
      </c>
      <c r="B22" s="52" t="str">
        <f>VLOOKUP(A22,[1]!Tableau_cotisants,2,FALSE)</f>
        <v>GUYOT</v>
      </c>
      <c r="C22" s="52" t="str">
        <f>VLOOKUP(A22,[1]!Tableau_cotisants,3,FALSE)</f>
        <v>FRIOUX-GARCIA</v>
      </c>
      <c r="D22" s="52" t="str">
        <f>VLOOKUP(A22,[1]!Tableau_cotisants,4,FALSE)</f>
        <v>Marius</v>
      </c>
      <c r="E22" s="53">
        <f>VLOOKUP(A22,[1]!Tableau_cotisants,5,FALSE)</f>
        <v>1</v>
      </c>
      <c r="F22" s="52">
        <f>VLOOKUP(A22,[1]!Tableau_cotisants,6,FALSE)</f>
        <v>0</v>
      </c>
      <c r="G22" s="52">
        <f>VLOOKUP(A22,[1]!Tableau_cotisants,7,FALSE)</f>
        <v>1</v>
      </c>
      <c r="H22" s="54">
        <f>VLOOKUP(A22,[1]!Tableau_cotisants,8,FALSE)</f>
        <v>43395</v>
      </c>
      <c r="I22" s="54" t="str">
        <f t="shared" ref="I22" si="9">DATEDIF(H22,Date_du_jour,"y") &amp; " an(s) " &amp; DATEDIF(H22,$C$2,"ym") &amp; " mois et " &amp; DATEDIF(H22,$C$2,"md") &amp; " jour(s)"</f>
        <v>0 an(s) 6 mois et 23 jour(s)</v>
      </c>
      <c r="J22" s="52" t="str">
        <f>VLOOKUP(A22,[1]!Tableau_cotisants,10,FALSE)</f>
        <v>Chateaubernard</v>
      </c>
      <c r="K22" s="53" t="str">
        <f>VLOOKUP(A22,[1]!Tableau_cotisants,11,FALSE)</f>
        <v>Cognac</v>
      </c>
      <c r="L22" s="6">
        <v>1</v>
      </c>
      <c r="M22" s="5"/>
      <c r="N22" s="27">
        <v>1</v>
      </c>
      <c r="O22" s="26"/>
      <c r="P22" s="74"/>
      <c r="Q22" s="55"/>
      <c r="R22" s="55"/>
      <c r="S22" s="55"/>
    </row>
    <row r="23" spans="1:19" ht="12" customHeight="1">
      <c r="A23" s="164" t="s">
        <v>194</v>
      </c>
      <c r="B23" s="52" t="str">
        <f>VLOOKUP(A23,[1]!Tableau_cotisants,2,FALSE)</f>
        <v>GUYOT</v>
      </c>
      <c r="C23" s="52" t="str">
        <f>VLOOKUP(A23,[1]!Tableau_cotisants,3,FALSE)</f>
        <v>ZIDI</v>
      </c>
      <c r="D23" s="52" t="str">
        <f>VLOOKUP(A23,[1]!Tableau_cotisants,4,FALSE)</f>
        <v>Driss</v>
      </c>
      <c r="E23" s="53">
        <f>VLOOKUP(A23,[1]!Tableau_cotisants,5,FALSE)</f>
        <v>1</v>
      </c>
      <c r="F23" s="52">
        <f>VLOOKUP(A23,[1]!Tableau_cotisants,6,FALSE)</f>
        <v>0</v>
      </c>
      <c r="G23" s="52">
        <f>VLOOKUP(A23,[1]!Tableau_cotisants,7,FALSE)</f>
        <v>1</v>
      </c>
      <c r="H23" s="54">
        <f>VLOOKUP(A23,[1]!Tableau_cotisants,8,FALSE)</f>
        <v>42935</v>
      </c>
      <c r="I23" s="54" t="str">
        <f t="shared" ref="I23" si="10">DATEDIF(H23,Date_du_jour,"y") &amp; " an(s) " &amp; DATEDIF(H23,$C$2,"ym") &amp; " mois et " &amp; DATEDIF(H23,$C$2,"md") &amp; " jour(s)"</f>
        <v>1 an(s) 9 mois et 26 jour(s)</v>
      </c>
      <c r="J23" s="52" t="str">
        <f>VLOOKUP(A23,[1]!Tableau_cotisants,10,FALSE)</f>
        <v>Chateaubernard</v>
      </c>
      <c r="K23" s="53" t="str">
        <f>VLOOKUP(A23,[1]!Tableau_cotisants,11,FALSE)</f>
        <v>Cognac</v>
      </c>
      <c r="L23" s="6">
        <v>1</v>
      </c>
      <c r="M23" s="5"/>
      <c r="N23" s="27">
        <v>1</v>
      </c>
      <c r="O23" s="26"/>
      <c r="P23" s="74"/>
      <c r="Q23" s="55"/>
      <c r="R23" s="55"/>
      <c r="S23" s="55"/>
    </row>
    <row r="24" spans="1:19" ht="12" customHeight="1">
      <c r="A24" s="164" t="s">
        <v>93</v>
      </c>
      <c r="B24" s="52" t="str">
        <f>VLOOKUP(A24,[1]!Tableau_cotisants,2,FALSE)</f>
        <v>GUYOT</v>
      </c>
      <c r="C24" s="52" t="str">
        <f>VLOOKUP(A24,[1]!Tableau_cotisants,3,FALSE)</f>
        <v>FARCY</v>
      </c>
      <c r="D24" s="52" t="str">
        <f>VLOOKUP(A24,[1]!Tableau_cotisants,4,FALSE)</f>
        <v>Sacha</v>
      </c>
      <c r="E24" s="53">
        <f>VLOOKUP(A24,[1]!Tableau_cotisants,5,FALSE)</f>
        <v>1</v>
      </c>
      <c r="F24" s="52">
        <f>VLOOKUP(A24,[1]!Tableau_cotisants,6,FALSE)</f>
        <v>0</v>
      </c>
      <c r="G24" s="52">
        <f>VLOOKUP(A24,[1]!Tableau_cotisants,7,FALSE)</f>
        <v>1</v>
      </c>
      <c r="H24" s="54">
        <f>VLOOKUP(A24,[1]!Tableau_cotisants,8,FALSE)</f>
        <v>43040</v>
      </c>
      <c r="I24" s="54" t="str">
        <f t="shared" ref="I24" si="11">DATEDIF(H24,Date_du_jour,"y") &amp; " an(s) " &amp; DATEDIF(H24,$C$2,"ym") &amp; " mois et " &amp; DATEDIF(H24,$C$2,"md") &amp; " jour(s)"</f>
        <v>1 an(s) 6 mois et 14 jour(s)</v>
      </c>
      <c r="J24" s="52" t="str">
        <f>VLOOKUP(A24,[1]!Tableau_cotisants,10,FALSE)</f>
        <v>Chateaubernard</v>
      </c>
      <c r="K24" s="53" t="str">
        <f>VLOOKUP(A24,[1]!Tableau_cotisants,11,FALSE)</f>
        <v>Cognac</v>
      </c>
      <c r="L24" s="6">
        <v>1</v>
      </c>
      <c r="M24" s="5"/>
      <c r="N24" s="27">
        <v>1</v>
      </c>
      <c r="O24" s="26"/>
      <c r="P24" s="74"/>
      <c r="Q24" s="55"/>
      <c r="R24" s="55"/>
      <c r="S24" s="55"/>
    </row>
    <row r="25" spans="1:19" ht="12" customHeight="1">
      <c r="A25" s="164"/>
      <c r="B25" s="125" t="s">
        <v>296</v>
      </c>
      <c r="C25" s="112"/>
      <c r="D25" s="112"/>
      <c r="E25" s="53"/>
      <c r="F25" s="52"/>
      <c r="G25" s="52"/>
      <c r="H25" s="54"/>
      <c r="I25" s="54"/>
      <c r="J25" s="52"/>
      <c r="K25" s="53"/>
      <c r="L25" s="6"/>
      <c r="M25" s="5"/>
      <c r="N25" s="27"/>
      <c r="O25" s="26"/>
      <c r="P25" s="74"/>
      <c r="Q25" s="55"/>
      <c r="R25" s="55"/>
      <c r="S25" s="55"/>
    </row>
    <row r="26" spans="1:19" ht="12" customHeight="1">
      <c r="A26" s="113"/>
      <c r="B26" s="52"/>
      <c r="C26" s="52"/>
      <c r="D26" s="52"/>
      <c r="E26" s="53"/>
      <c r="F26" s="52"/>
      <c r="G26" s="52"/>
      <c r="H26" s="54"/>
      <c r="I26" s="54"/>
      <c r="J26" s="52"/>
      <c r="K26" s="53"/>
      <c r="L26" s="6"/>
      <c r="M26" s="5"/>
      <c r="N26" s="27"/>
      <c r="O26" s="26"/>
      <c r="P26" s="74"/>
      <c r="Q26" s="55"/>
      <c r="R26" s="55"/>
      <c r="S26" s="55"/>
    </row>
    <row r="27" spans="1:19" ht="12" customHeight="1">
      <c r="A27" s="153"/>
      <c r="B27" s="56"/>
      <c r="C27" s="56"/>
      <c r="D27" s="56"/>
      <c r="E27" s="57"/>
      <c r="F27" s="56"/>
      <c r="G27" s="56"/>
      <c r="H27" s="58"/>
      <c r="I27" s="58"/>
      <c r="J27" s="56"/>
      <c r="K27" s="57"/>
      <c r="L27" s="6"/>
      <c r="M27" s="5"/>
      <c r="N27" s="27"/>
      <c r="O27" s="26"/>
      <c r="P27" s="74"/>
      <c r="Q27" s="55"/>
      <c r="R27" s="55"/>
      <c r="S27" s="55"/>
    </row>
    <row r="28" spans="1:19" ht="12" customHeight="1">
      <c r="A28" s="153"/>
      <c r="B28" s="125" t="s">
        <v>296</v>
      </c>
      <c r="C28" s="112"/>
      <c r="D28" s="112"/>
      <c r="E28" s="57"/>
      <c r="F28" s="56"/>
      <c r="G28" s="56"/>
      <c r="H28" s="58"/>
      <c r="I28" s="58"/>
      <c r="J28" s="56"/>
      <c r="K28" s="57"/>
      <c r="L28" s="6"/>
      <c r="M28" s="5"/>
      <c r="N28" s="27"/>
      <c r="O28" s="26"/>
      <c r="P28" s="74"/>
      <c r="Q28" s="55"/>
      <c r="R28" s="55"/>
      <c r="S28" s="55"/>
    </row>
    <row r="29" spans="1:19" ht="12" customHeight="1">
      <c r="A29" s="111" t="s">
        <v>297</v>
      </c>
      <c r="B29" s="56" t="str">
        <f>VLOOKUP(A29,[1]!Tableau_cotisants,2,FALSE)</f>
        <v>GAZEAUD/SOWINSKI</v>
      </c>
      <c r="C29" s="56" t="str">
        <f>VLOOKUP(A29,[1]!Tableau_cotisants,3,FALSE)</f>
        <v>SOWINSKI</v>
      </c>
      <c r="D29" s="56" t="str">
        <f>VLOOKUP(A29,[1]!Tableau_cotisants,4,FALSE)</f>
        <v>Valérie</v>
      </c>
      <c r="E29" s="57">
        <f>VLOOKUP(A29,[1]!Tableau_cotisants,5,FALSE)</f>
        <v>0</v>
      </c>
      <c r="F29" s="56">
        <f>VLOOKUP(A29,[1]!Tableau_cotisants,6,FALSE)</f>
        <v>1</v>
      </c>
      <c r="G29" s="56">
        <f>VLOOKUP(A29,[1]!Tableau_cotisants,7,FALSE)</f>
        <v>0</v>
      </c>
      <c r="H29" s="58">
        <f>VLOOKUP(A29,[1]!Tableau_cotisants,8,FALSE)</f>
        <v>29805</v>
      </c>
      <c r="I29" s="58" t="str">
        <f t="shared" ref="I29:I30" si="12">DATEDIF(H29,Date_du_jour,"y") &amp; " an(s) " &amp; DATEDIF(H29,$C$2,"ym") &amp; " mois et " &amp; DATEDIF(H29,$C$2,"md") &amp; " jour(s)"</f>
        <v>37 an(s) 9 mois et 8 jour(s)</v>
      </c>
      <c r="J29" s="56" t="str">
        <f>VLOOKUP(A29,[1]!Tableau_cotisants,10,FALSE)</f>
        <v>SEGONZAC</v>
      </c>
      <c r="K29" s="57" t="str">
        <f>VLOOKUP(A29,[1]!Tableau_cotisants,11,FALSE)</f>
        <v>Champagne</v>
      </c>
      <c r="L29" s="6"/>
      <c r="M29" s="5">
        <v>1</v>
      </c>
      <c r="N29" s="27">
        <v>1</v>
      </c>
      <c r="O29" s="26"/>
      <c r="P29" s="74"/>
      <c r="Q29" s="55"/>
      <c r="R29" s="55"/>
      <c r="S29" s="55"/>
    </row>
    <row r="30" spans="1:19" ht="12" customHeight="1">
      <c r="A30" s="111" t="s">
        <v>298</v>
      </c>
      <c r="B30" s="56" t="str">
        <f>VLOOKUP(A30,[1]!Tableau_cotisants,2,FALSE)</f>
        <v>GAZEAUD/SOWINSKI</v>
      </c>
      <c r="C30" s="56" t="str">
        <f>VLOOKUP(A30,[1]!Tableau_cotisants,3,FALSE)</f>
        <v>GAZEAUD</v>
      </c>
      <c r="D30" s="56" t="str">
        <f>VLOOKUP(A30,[1]!Tableau_cotisants,4,FALSE)</f>
        <v>Agnés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39965</v>
      </c>
      <c r="I30" s="58" t="str">
        <f t="shared" si="12"/>
        <v>9 an(s) 11 mois et 14 jour(s)</v>
      </c>
      <c r="J30" s="56" t="str">
        <f>VLOOKUP(A30,[1]!Tableau_cotisants,10,FALSE)</f>
        <v>SEGONZAC</v>
      </c>
      <c r="K30" s="57" t="str">
        <f>VLOOKUP(A30,[1]!Tableau_cotisants,11,FALSE)</f>
        <v>Champagne</v>
      </c>
      <c r="L30" s="6"/>
      <c r="M30" s="5">
        <v>1</v>
      </c>
      <c r="N30" s="27">
        <v>1</v>
      </c>
      <c r="O30" s="26"/>
      <c r="P30" s="74"/>
      <c r="Q30" s="55"/>
      <c r="R30" s="55"/>
      <c r="S30" s="55"/>
    </row>
    <row r="31" spans="1:19" ht="12" customHeight="1">
      <c r="A31" s="111" t="s">
        <v>299</v>
      </c>
      <c r="B31" s="56" t="str">
        <f>VLOOKUP(A31,[1]!Tableau_cotisants,2,FALSE)</f>
        <v>GAZEAUD/SOWINSKI</v>
      </c>
      <c r="C31" s="56" t="str">
        <f>VLOOKUP(A31,[1]!Tableau_cotisants,3,FALSE)</f>
        <v>GAZEAUD</v>
      </c>
      <c r="D31" s="56" t="str">
        <f>VLOOKUP(A31,[1]!Tableau_cotisants,4,FALSE)</f>
        <v>Perrine</v>
      </c>
      <c r="E31" s="57">
        <f>VLOOKUP(A31,[1]!Tableau_cotisants,5,FALSE)</f>
        <v>0</v>
      </c>
      <c r="F31" s="56">
        <f>VLOOKUP(A31,[1]!Tableau_cotisants,6,FALSE)</f>
        <v>1</v>
      </c>
      <c r="G31" s="56">
        <f>VLOOKUP(A31,[1]!Tableau_cotisants,7,FALSE)</f>
        <v>0</v>
      </c>
      <c r="H31" s="58">
        <f>VLOOKUP(A31,[1]!Tableau_cotisants,8,FALSE)</f>
        <v>40707</v>
      </c>
      <c r="I31" s="58" t="str">
        <f t="shared" ref="I31:I32" si="13">DATEDIF(H31,Date_du_jour,"y") &amp; " an(s) " &amp; DATEDIF(H31,$C$2,"ym") &amp; " mois et " &amp; DATEDIF(H31,$C$2,"md") &amp; " jour(s)"</f>
        <v>7 an(s) 11 mois et 2 jour(s)</v>
      </c>
      <c r="J31" s="56" t="str">
        <f>VLOOKUP(A31,[1]!Tableau_cotisants,10,FALSE)</f>
        <v>SEGONZAC</v>
      </c>
      <c r="K31" s="57" t="str">
        <f>VLOOKUP(A31,[1]!Tableau_cotisants,11,FALSE)</f>
        <v>Champagne</v>
      </c>
      <c r="L31" s="6"/>
      <c r="M31" s="5">
        <v>1</v>
      </c>
      <c r="N31" s="27">
        <v>1</v>
      </c>
      <c r="O31" s="26"/>
      <c r="P31" s="74"/>
      <c r="Q31" s="55"/>
      <c r="R31" s="55"/>
      <c r="S31" s="55"/>
    </row>
    <row r="32" spans="1:19" ht="12" customHeight="1">
      <c r="A32" s="111" t="s">
        <v>300</v>
      </c>
      <c r="B32" s="56" t="str">
        <f>VLOOKUP(A32,[1]!Tableau_cotisants,2,FALSE)</f>
        <v>GAZEAUD/SOWINSKI</v>
      </c>
      <c r="C32" s="56" t="str">
        <f>VLOOKUP(A32,[1]!Tableau_cotisants,3,FALSE)</f>
        <v>GAZEAUD</v>
      </c>
      <c r="D32" s="56" t="str">
        <f>VLOOKUP(A32,[1]!Tableau_cotisants,4,FALSE)</f>
        <v>Léonore</v>
      </c>
      <c r="E32" s="57">
        <f>VLOOKUP(A32,[1]!Tableau_cotisants,5,FALSE)</f>
        <v>0</v>
      </c>
      <c r="F32" s="56">
        <f>VLOOKUP(A32,[1]!Tableau_cotisants,6,FALSE)</f>
        <v>1</v>
      </c>
      <c r="G32" s="56">
        <f>VLOOKUP(A32,[1]!Tableau_cotisants,7,FALSE)</f>
        <v>0</v>
      </c>
      <c r="H32" s="58">
        <f>VLOOKUP(A32,[1]!Tableau_cotisants,8,FALSE)</f>
        <v>41810</v>
      </c>
      <c r="I32" s="58" t="str">
        <f t="shared" si="13"/>
        <v>4 an(s) 10 mois et 25 jour(s)</v>
      </c>
      <c r="J32" s="56" t="str">
        <f>VLOOKUP(A32,[1]!Tableau_cotisants,10,FALSE)</f>
        <v>SEGONZAC</v>
      </c>
      <c r="K32" s="57" t="str">
        <f>VLOOKUP(A32,[1]!Tableau_cotisants,11,FALSE)</f>
        <v>Champagne</v>
      </c>
      <c r="L32" s="6"/>
      <c r="M32" s="5">
        <v>1</v>
      </c>
      <c r="N32" s="27">
        <v>1</v>
      </c>
      <c r="O32" s="26"/>
      <c r="P32" s="74"/>
      <c r="Q32" s="55"/>
      <c r="R32" s="55"/>
      <c r="S32" s="55"/>
    </row>
    <row r="33" spans="1:19" ht="12" customHeight="1">
      <c r="A33" s="120" t="s">
        <v>293</v>
      </c>
      <c r="B33" s="56" t="str">
        <f>VLOOKUP(A33,[1]!Tableau_cotisants,2,FALSE)</f>
        <v>RAIMBAUD</v>
      </c>
      <c r="C33" s="56" t="str">
        <f>VLOOKUP(A33,[1]!Tableau_cotisants,3,FALSE)</f>
        <v>RAIMBAUD</v>
      </c>
      <c r="D33" s="56" t="str">
        <f>VLOOKUP(A33,[1]!Tableau_cotisants,4,FALSE)</f>
        <v>Agathe</v>
      </c>
      <c r="E33" s="57">
        <f>VLOOKUP(A33,[1]!Tableau_cotisants,5,FALSE)</f>
        <v>0</v>
      </c>
      <c r="F33" s="56">
        <f>VLOOKUP(A33,[1]!Tableau_cotisants,6,FALSE)</f>
        <v>1</v>
      </c>
      <c r="G33" s="56">
        <f>VLOOKUP(A33,[1]!Tableau_cotisants,7,FALSE)</f>
        <v>0</v>
      </c>
      <c r="H33" s="58">
        <f>VLOOKUP(A33,[1]!Tableau_cotisants,8,FALSE)</f>
        <v>42520</v>
      </c>
      <c r="I33" s="58" t="str">
        <f>DATEDIF(H33,Date_du_jour,"y") &amp; " an(s) " &amp; DATEDIF(H33,$C$2,"ym") &amp; " mois et " &amp; DATEDIF(H33,$C$2,"md") &amp; " jour(s)"</f>
        <v>2 an(s) 11 mois et 15 jour(s)</v>
      </c>
      <c r="J33" s="56" t="str">
        <f>VLOOKUP(A33,[1]!Tableau_cotisants,10,FALSE)</f>
        <v>Saint Même Les Carrières</v>
      </c>
      <c r="K33" s="57" t="str">
        <f>VLOOKUP(A33,[1]!Tableau_cotisants,11,FALSE)</f>
        <v>Jarnac</v>
      </c>
      <c r="L33" s="6"/>
      <c r="M33" s="5">
        <v>1</v>
      </c>
      <c r="N33" s="27"/>
      <c r="O33" s="26"/>
      <c r="P33" s="74">
        <v>1</v>
      </c>
      <c r="Q33" s="55"/>
      <c r="R33" s="55"/>
      <c r="S33" s="55"/>
    </row>
    <row r="34" spans="1:19" ht="12" customHeight="1">
      <c r="A34" s="120" t="s">
        <v>292</v>
      </c>
      <c r="B34" s="56" t="str">
        <f>VLOOKUP(A34,[1]!Tableau_cotisants,2,FALSE)</f>
        <v>RAIMBAUD</v>
      </c>
      <c r="C34" s="56" t="str">
        <f>VLOOKUP(A34,[1]!Tableau_cotisants,3,FALSE)</f>
        <v>RAIMBAUD</v>
      </c>
      <c r="D34" s="56" t="str">
        <f>VLOOKUP(A34,[1]!Tableau_cotisants,4,FALSE)</f>
        <v>Julie</v>
      </c>
      <c r="E34" s="57">
        <f>VLOOKUP(A34,[1]!Tableau_cotisants,5,FALSE)</f>
        <v>0</v>
      </c>
      <c r="F34" s="56">
        <f>VLOOKUP(A34,[1]!Tableau_cotisants,6,FALSE)</f>
        <v>1</v>
      </c>
      <c r="G34" s="56">
        <f>VLOOKUP(A34,[1]!Tableau_cotisants,7,FALSE)</f>
        <v>0</v>
      </c>
      <c r="H34" s="58">
        <f>VLOOKUP(A34,[1]!Tableau_cotisants,8,FALSE)</f>
        <v>33017</v>
      </c>
      <c r="I34" s="58" t="str">
        <f>DATEDIF(H34,Date_du_jour,"y") &amp; " an(s) " &amp; DATEDIF(H34,$C$2,"ym") &amp; " mois et " &amp; DATEDIF(H34,$C$2,"md") &amp; " jour(s)"</f>
        <v>28 an(s) 11 mois et 21 jour(s)</v>
      </c>
      <c r="J34" s="56" t="str">
        <f>VLOOKUP(A34,[1]!Tableau_cotisants,10,FALSE)</f>
        <v>Saint Même Les Carrières</v>
      </c>
      <c r="K34" s="57" t="str">
        <f>VLOOKUP(A34,[1]!Tableau_cotisants,11,FALSE)</f>
        <v>Jarnac</v>
      </c>
      <c r="L34" s="6"/>
      <c r="M34" s="5">
        <v>1</v>
      </c>
      <c r="N34" s="27"/>
      <c r="O34" s="26"/>
      <c r="P34" s="74">
        <v>1</v>
      </c>
      <c r="Q34" s="55"/>
      <c r="R34" s="55"/>
      <c r="S34" s="55"/>
    </row>
    <row r="35" spans="1:19" ht="12" customHeight="1">
      <c r="A35" s="117" t="s">
        <v>125</v>
      </c>
      <c r="B35" s="56" t="str">
        <f>VLOOKUP(A35,[1]!Tableau_cotisants,2,FALSE)</f>
        <v>SANSAUD/MOREAU</v>
      </c>
      <c r="C35" s="56" t="str">
        <f>VLOOKUP(A35,[1]!Tableau_cotisants,3,FALSE)</f>
        <v>MOREAU</v>
      </c>
      <c r="D35" s="56" t="str">
        <f>VLOOKUP(A35,[1]!Tableau_cotisants,4,FALSE)</f>
        <v>Emmanuelle</v>
      </c>
      <c r="E35" s="57">
        <f>VLOOKUP(A35,[1]!Tableau_cotisants,5,FALSE)</f>
        <v>0</v>
      </c>
      <c r="F35" s="56">
        <f>VLOOKUP(A35,[1]!Tableau_cotisants,6,FALSE)</f>
        <v>1</v>
      </c>
      <c r="G35" s="56">
        <f>VLOOKUP(A35,[1]!Tableau_cotisants,7,FALSE)</f>
        <v>0</v>
      </c>
      <c r="H35" s="58">
        <f>VLOOKUP(A35,[1]!Tableau_cotisants,8,FALSE)</f>
        <v>29187</v>
      </c>
      <c r="I35" s="58" t="str">
        <f>DATEDIF(H35,Date_du_jour,"y") &amp; " an(s) " &amp; DATEDIF(H35,$C$2,"ym") &amp; " mois et " &amp; DATEDIF(H35,$C$2,"md") &amp; " jour(s)"</f>
        <v>39 an(s) 5 mois et 17 jour(s)</v>
      </c>
      <c r="J35" s="56" t="str">
        <f>VLOOKUP(A35,[1]!Tableau_cotisants,10,FALSE)</f>
        <v>SEGONZAC</v>
      </c>
      <c r="K35" s="57" t="str">
        <f>VLOOKUP(A35,[1]!Tableau_cotisants,11,FALSE)</f>
        <v>Champagne</v>
      </c>
      <c r="L35" s="6"/>
      <c r="M35" s="5">
        <v>1</v>
      </c>
      <c r="N35" s="27"/>
      <c r="O35" s="26"/>
      <c r="P35" s="74">
        <v>1</v>
      </c>
      <c r="Q35" s="55"/>
      <c r="R35" s="55"/>
      <c r="S35" s="55"/>
    </row>
    <row r="36" spans="1:19" ht="12" customHeight="1">
      <c r="A36" s="117" t="s">
        <v>126</v>
      </c>
      <c r="B36" s="56" t="str">
        <f>VLOOKUP(A36,[1]!Tableau_cotisants,2,FALSE)</f>
        <v>SANSAUD/MOREAU</v>
      </c>
      <c r="C36" s="56" t="str">
        <f>VLOOKUP(A36,[1]!Tableau_cotisants,3,FALSE)</f>
        <v>SANSAUD</v>
      </c>
      <c r="D36" s="56" t="str">
        <f>VLOOKUP(A36,[1]!Tableau_cotisants,4,FALSE)</f>
        <v>Ethan</v>
      </c>
      <c r="E36" s="57">
        <f>VLOOKUP(A36,[1]!Tableau_cotisants,5,FALSE)</f>
        <v>0</v>
      </c>
      <c r="F36" s="56">
        <f>VLOOKUP(A36,[1]!Tableau_cotisants,6,FALSE)</f>
        <v>0</v>
      </c>
      <c r="G36" s="56">
        <f>VLOOKUP(A36,[1]!Tableau_cotisants,7,FALSE)</f>
        <v>1</v>
      </c>
      <c r="H36" s="58">
        <f>VLOOKUP(A36,[1]!Tableau_cotisants,8,FALSE)</f>
        <v>41015</v>
      </c>
      <c r="I36" s="58" t="str">
        <f>DATEDIF(H36,Date_du_jour,"y") &amp; " an(s) " &amp; DATEDIF(H36,$C$2,"ym") &amp; " mois et " &amp; DATEDIF(H36,$C$2,"md") &amp; " jour(s)"</f>
        <v>7 an(s) 0 mois et 29 jour(s)</v>
      </c>
      <c r="J36" s="56" t="str">
        <f>VLOOKUP(A36,[1]!Tableau_cotisants,10,FALSE)</f>
        <v>SEGONZAC</v>
      </c>
      <c r="K36" s="57" t="str">
        <f>VLOOKUP(A36,[1]!Tableau_cotisants,11,FALSE)</f>
        <v>Champagne</v>
      </c>
      <c r="L36" s="6"/>
      <c r="M36" s="5">
        <v>1</v>
      </c>
      <c r="N36" s="27"/>
      <c r="O36" s="26"/>
      <c r="P36" s="74">
        <v>1</v>
      </c>
      <c r="Q36" s="55"/>
      <c r="R36" s="55"/>
      <c r="S36" s="55"/>
    </row>
    <row r="37" spans="1:19" ht="12" customHeight="1">
      <c r="A37" s="117" t="s">
        <v>127</v>
      </c>
      <c r="B37" s="56" t="str">
        <f>VLOOKUP(A37,[1]!Tableau_cotisants,2,FALSE)</f>
        <v>SANSAUD/MOREAU</v>
      </c>
      <c r="C37" s="56" t="str">
        <f>VLOOKUP(A37,[1]!Tableau_cotisants,3,FALSE)</f>
        <v>SANSAUD</v>
      </c>
      <c r="D37" s="56" t="str">
        <f>VLOOKUP(A37,[1]!Tableau_cotisants,4,FALSE)</f>
        <v>Axel</v>
      </c>
      <c r="E37" s="57">
        <f>VLOOKUP(A37,[1]!Tableau_cotisants,5,FALSE)</f>
        <v>0</v>
      </c>
      <c r="F37" s="56">
        <f>VLOOKUP(A37,[1]!Tableau_cotisants,6,FALSE)</f>
        <v>0</v>
      </c>
      <c r="G37" s="56">
        <f>VLOOKUP(A37,[1]!Tableau_cotisants,7,FALSE)</f>
        <v>1</v>
      </c>
      <c r="H37" s="58">
        <f>VLOOKUP(A37,[1]!Tableau_cotisants,8,FALSE)</f>
        <v>42407</v>
      </c>
      <c r="I37" s="58" t="str">
        <f>DATEDIF(H37,Date_du_jour,"y") &amp; " an(s) " &amp; DATEDIF(H37,$C$2,"ym") &amp; " mois et " &amp; DATEDIF(H37,$C$2,"md") &amp; " jour(s)"</f>
        <v>3 an(s) 3 mois et 8 jour(s)</v>
      </c>
      <c r="J37" s="56" t="str">
        <f>VLOOKUP(A37,[1]!Tableau_cotisants,10,FALSE)</f>
        <v>SEGONZAC</v>
      </c>
      <c r="K37" s="57" t="str">
        <f>VLOOKUP(A37,[1]!Tableau_cotisants,11,FALSE)</f>
        <v>Champagne</v>
      </c>
      <c r="L37" s="6"/>
      <c r="M37" s="5">
        <v>1</v>
      </c>
      <c r="N37" s="27"/>
      <c r="O37" s="26"/>
      <c r="P37" s="74">
        <v>1</v>
      </c>
      <c r="Q37" s="55"/>
      <c r="R37" s="55"/>
      <c r="S37" s="55"/>
    </row>
    <row r="38" spans="1:19" ht="12" customHeight="1">
      <c r="A38" s="153"/>
      <c r="B38" s="56"/>
      <c r="C38" s="56"/>
      <c r="D38" s="56"/>
      <c r="E38" s="57"/>
      <c r="F38" s="56"/>
      <c r="G38" s="56"/>
      <c r="H38" s="58"/>
      <c r="I38" s="58"/>
      <c r="J38" s="56"/>
      <c r="K38" s="57"/>
      <c r="L38" s="6"/>
      <c r="M38" s="5"/>
      <c r="N38" s="27"/>
      <c r="O38" s="26"/>
      <c r="P38" s="74"/>
      <c r="Q38" s="55"/>
      <c r="R38" s="55"/>
      <c r="S38" s="55"/>
    </row>
    <row r="39" spans="1:19" ht="12" customHeight="1">
      <c r="A39" s="153"/>
      <c r="B39" s="56"/>
      <c r="C39" s="56"/>
      <c r="D39" s="56"/>
      <c r="E39" s="57"/>
      <c r="F39" s="56"/>
      <c r="G39" s="56"/>
      <c r="H39" s="58"/>
      <c r="I39" s="58"/>
      <c r="J39" s="56"/>
      <c r="K39" s="57"/>
      <c r="L39" s="6"/>
      <c r="M39" s="5"/>
      <c r="N39" s="27"/>
      <c r="O39" s="26"/>
      <c r="P39" s="74"/>
      <c r="Q39" s="55"/>
      <c r="R39" s="55"/>
      <c r="S39" s="55"/>
    </row>
    <row r="40" spans="1:19" ht="12" customHeight="1">
      <c r="A40" s="153"/>
      <c r="B40" s="56"/>
      <c r="C40" s="56"/>
      <c r="D40" s="56"/>
      <c r="E40" s="57"/>
      <c r="F40" s="56"/>
      <c r="G40" s="56"/>
      <c r="H40" s="58"/>
      <c r="I40" s="58"/>
      <c r="J40" s="56"/>
      <c r="K40" s="57"/>
      <c r="L40" s="6"/>
      <c r="M40" s="5"/>
      <c r="N40" s="27"/>
      <c r="O40" s="26"/>
      <c r="P40" s="74"/>
      <c r="Q40" s="55"/>
      <c r="R40" s="55"/>
      <c r="S40" s="55"/>
    </row>
    <row r="41" spans="1:19" ht="12" customHeight="1">
      <c r="A41" s="153"/>
      <c r="B41" s="56"/>
      <c r="C41" s="56"/>
      <c r="D41" s="56"/>
      <c r="E41" s="57"/>
      <c r="F41" s="56"/>
      <c r="G41" s="56"/>
      <c r="H41" s="58"/>
      <c r="I41" s="58"/>
      <c r="J41" s="56"/>
      <c r="K41" s="57"/>
      <c r="L41" s="6"/>
      <c r="M41" s="5"/>
      <c r="N41" s="27"/>
      <c r="O41" s="26"/>
      <c r="P41" s="74"/>
      <c r="Q41" s="55"/>
      <c r="R41" s="55"/>
      <c r="S41" s="55"/>
    </row>
    <row r="42" spans="1:19" ht="12" customHeight="1">
      <c r="A42" s="153"/>
      <c r="B42" s="56"/>
      <c r="C42" s="56"/>
      <c r="D42" s="56"/>
      <c r="E42" s="57"/>
      <c r="F42" s="56"/>
      <c r="G42" s="56"/>
      <c r="H42" s="58"/>
      <c r="I42" s="58"/>
      <c r="J42" s="56"/>
      <c r="K42" s="57"/>
      <c r="L42" s="6"/>
      <c r="M42" s="5"/>
      <c r="N42" s="27"/>
      <c r="O42" s="26"/>
      <c r="P42" s="74"/>
      <c r="Q42" s="55"/>
      <c r="R42" s="55"/>
      <c r="S42" s="55"/>
    </row>
    <row r="43" spans="1:19" ht="12" customHeight="1" thickBot="1">
      <c r="A43" s="153"/>
      <c r="B43" s="56"/>
      <c r="C43" s="56"/>
      <c r="D43" s="56"/>
      <c r="E43" s="57"/>
      <c r="F43" s="56"/>
      <c r="G43" s="56"/>
      <c r="H43" s="58"/>
      <c r="I43" s="58"/>
      <c r="J43" s="56"/>
      <c r="K43" s="57"/>
      <c r="L43" s="6"/>
      <c r="M43" s="5"/>
      <c r="N43" s="27"/>
      <c r="O43" s="26"/>
      <c r="P43" s="74"/>
      <c r="Q43" s="55"/>
      <c r="R43" s="55"/>
      <c r="S43" s="55"/>
    </row>
    <row r="44" spans="1:19" ht="19.5" thickBot="1">
      <c r="A44" s="153"/>
      <c r="B44" s="4"/>
      <c r="C44" s="4"/>
      <c r="D44" s="4"/>
      <c r="E44" s="4">
        <f>SUM(E5:E43)</f>
        <v>20</v>
      </c>
      <c r="F44" s="4">
        <f>SUM(F5:F43)</f>
        <v>15</v>
      </c>
      <c r="G44" s="4">
        <f>SUM(G5:G43)</f>
        <v>14</v>
      </c>
      <c r="H44" s="4"/>
      <c r="I44" s="4"/>
      <c r="J44" s="4"/>
      <c r="K44" s="18">
        <f>SUM(K8:K43)</f>
        <v>0</v>
      </c>
      <c r="L44" s="93">
        <f t="shared" ref="L44:S44" si="14">SUM(L5:L43)</f>
        <v>20</v>
      </c>
      <c r="M44" s="19">
        <f t="shared" si="14"/>
        <v>9</v>
      </c>
      <c r="N44" s="20">
        <f t="shared" si="14"/>
        <v>18</v>
      </c>
      <c r="O44" s="28">
        <f t="shared" si="14"/>
        <v>0</v>
      </c>
      <c r="P44" s="72">
        <f t="shared" si="14"/>
        <v>11</v>
      </c>
      <c r="Q44" s="79">
        <f t="shared" si="14"/>
        <v>0</v>
      </c>
      <c r="R44" s="80">
        <f t="shared" si="14"/>
        <v>0</v>
      </c>
      <c r="S44" s="81">
        <f t="shared" si="14"/>
        <v>0</v>
      </c>
    </row>
    <row r="45" spans="1:19" ht="24" thickBot="1">
      <c r="B45" t="s">
        <v>28</v>
      </c>
      <c r="C45" s="98"/>
      <c r="F45" s="201">
        <f>F44+G44</f>
        <v>29</v>
      </c>
      <c r="G45" s="201"/>
      <c r="L45" s="201">
        <f>L44+M44</f>
        <v>29</v>
      </c>
      <c r="M45" s="201"/>
      <c r="N45" s="202">
        <f>N44+O44+P44</f>
        <v>29</v>
      </c>
      <c r="O45" s="202"/>
      <c r="P45" s="202"/>
      <c r="Q45" s="165"/>
      <c r="R45" s="165"/>
      <c r="S45" s="165"/>
    </row>
    <row r="46" spans="1:19" ht="15.75" thickBot="1">
      <c r="B46" t="s">
        <v>75</v>
      </c>
      <c r="L46" s="22">
        <f>L44+'10 avril 2019'!L46</f>
        <v>169</v>
      </c>
      <c r="M46" s="23">
        <f>M44+'10 avril 2019'!M46</f>
        <v>136</v>
      </c>
      <c r="N46" s="24">
        <f>N44+'10 avril 2019'!N46</f>
        <v>161</v>
      </c>
      <c r="O46" s="25">
        <f>O44+'10 avril 2019'!O46</f>
        <v>27</v>
      </c>
      <c r="P46" s="84">
        <f>P44+'10 avril 2019'!P46</f>
        <v>117</v>
      </c>
      <c r="Q46" s="82">
        <f>Q44+'10 avril 2019'!Q46</f>
        <v>14</v>
      </c>
      <c r="R46" s="90">
        <f>R44+'10 avril 2019'!R46</f>
        <v>2</v>
      </c>
      <c r="S46" s="83">
        <f>S44+'10 avril 2019'!S46</f>
        <v>13</v>
      </c>
    </row>
    <row r="47" spans="1:19" ht="33" thickBot="1">
      <c r="L47" s="203">
        <f>L45+'10 avril 2019'!L47:M47</f>
        <v>305</v>
      </c>
      <c r="M47" s="204"/>
      <c r="N47" s="205">
        <f>N45+'10 avril 2019'!N47:P47</f>
        <v>305</v>
      </c>
      <c r="O47" s="206"/>
      <c r="P47" s="207"/>
    </row>
    <row r="48" spans="1:19">
      <c r="B48" t="s">
        <v>181</v>
      </c>
      <c r="C48" s="142" t="s">
        <v>185</v>
      </c>
      <c r="D48" t="s">
        <v>181</v>
      </c>
      <c r="E48" s="208" t="s">
        <v>182</v>
      </c>
      <c r="F48" s="209"/>
    </row>
    <row r="49" spans="1:6" ht="45">
      <c r="A49" s="140" t="s">
        <v>183</v>
      </c>
      <c r="B49" s="138">
        <v>2</v>
      </c>
      <c r="C49" s="139">
        <f>B49+'10 avril 2019'!C49</f>
        <v>12</v>
      </c>
      <c r="D49" s="138">
        <v>14</v>
      </c>
      <c r="E49" s="195">
        <f>D49+'10 avril 2019'!E49:F49</f>
        <v>84</v>
      </c>
      <c r="F49" s="196"/>
    </row>
    <row r="50" spans="1:6" ht="32.25">
      <c r="A50" s="141" t="s">
        <v>184</v>
      </c>
      <c r="B50" s="138"/>
      <c r="C50" s="139">
        <f>B50+'10 avril 2019'!C50</f>
        <v>13</v>
      </c>
      <c r="D50" s="138"/>
      <c r="E50" s="195">
        <f>D50+'10 avril 2019'!E50:F50</f>
        <v>89</v>
      </c>
      <c r="F50" s="196"/>
    </row>
    <row r="51" spans="1:6">
      <c r="B51" s="165">
        <f>B50+B49</f>
        <v>2</v>
      </c>
      <c r="C51" s="165">
        <f>C50+C49</f>
        <v>25</v>
      </c>
      <c r="D51" s="165">
        <f>D50+D49</f>
        <v>14</v>
      </c>
      <c r="E51" s="210">
        <f>E50+E49</f>
        <v>173</v>
      </c>
      <c r="F51" s="210"/>
    </row>
    <row r="53" spans="1:6">
      <c r="D53" t="s">
        <v>262</v>
      </c>
    </row>
  </sheetData>
  <mergeCells count="10">
    <mergeCell ref="L45:M45"/>
    <mergeCell ref="N45:P45"/>
    <mergeCell ref="L47:M47"/>
    <mergeCell ref="N47:P47"/>
    <mergeCell ref="E48:F48"/>
    <mergeCell ref="E49:F49"/>
    <mergeCell ref="E50:F50"/>
    <mergeCell ref="E51:F51"/>
    <mergeCell ref="F3:G3"/>
    <mergeCell ref="F45:G45"/>
  </mergeCells>
  <conditionalFormatting sqref="N47">
    <cfRule type="cellIs" dxfId="29" priority="4" operator="equal">
      <formula>$N$46+$O$46</formula>
    </cfRule>
  </conditionalFormatting>
  <conditionalFormatting sqref="N47">
    <cfRule type="cellIs" dxfId="28" priority="3" operator="equal">
      <formula>$N$52+$O$52</formula>
    </cfRule>
  </conditionalFormatting>
  <conditionalFormatting sqref="F45:G45 N45">
    <cfRule type="cellIs" dxfId="27" priority="1" operator="notEqual">
      <formula>$L$45</formula>
    </cfRule>
    <cfRule type="cellIs" dxfId="26" priority="2" operator="equal">
      <formula>$L$45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2:S54"/>
  <sheetViews>
    <sheetView topLeftCell="C1" workbookViewId="0">
      <pane ySplit="4" topLeftCell="A5" activePane="bottomLeft" state="frozen"/>
      <selection pane="bottomLeft" activeCell="I5" sqref="I5"/>
    </sheetView>
  </sheetViews>
  <sheetFormatPr baseColWidth="10" defaultRowHeight="15"/>
  <cols>
    <col min="1" max="1" width="8" bestFit="1" customWidth="1"/>
    <col min="2" max="2" width="14.5703125" customWidth="1"/>
    <col min="3" max="3" width="15.7109375" bestFit="1" customWidth="1"/>
    <col min="4" max="4" width="9" bestFit="1" customWidth="1"/>
    <col min="5" max="5" width="5.5703125" customWidth="1"/>
    <col min="6" max="6" width="3.85546875" customWidth="1"/>
    <col min="7" max="7" width="4.140625" bestFit="1" customWidth="1"/>
    <col min="8" max="8" width="9" customWidth="1"/>
    <col min="9" max="9" width="8.7109375" customWidth="1"/>
    <col min="10" max="10" width="7.28515625" customWidth="1"/>
    <col min="11" max="11" width="6.42578125" customWidth="1"/>
    <col min="12" max="12" width="4.42578125" customWidth="1"/>
    <col min="13" max="13" width="4.5703125" customWidth="1"/>
    <col min="14" max="14" width="4" customWidth="1"/>
    <col min="15" max="15" width="6.42578125" customWidth="1"/>
    <col min="16" max="16" width="7" customWidth="1"/>
    <col min="17" max="17" width="4.140625" customWidth="1"/>
    <col min="18" max="18" width="6.5703125" customWidth="1"/>
    <col min="19" max="19" width="4.85546875" customWidth="1"/>
  </cols>
  <sheetData>
    <row r="2" spans="1:19" ht="21.75" thickBot="1">
      <c r="B2" s="59" t="s">
        <v>86</v>
      </c>
      <c r="C2" s="64">
        <v>43607</v>
      </c>
      <c r="D2" s="60"/>
      <c r="E2" s="60"/>
      <c r="F2" s="60"/>
      <c r="G2" s="60"/>
      <c r="H2" s="60"/>
      <c r="I2" s="60"/>
      <c r="J2" s="62"/>
      <c r="K2" s="60"/>
      <c r="L2" s="60"/>
      <c r="M2" s="60" t="s">
        <v>203</v>
      </c>
      <c r="N2" s="60"/>
      <c r="R2" s="61">
        <v>14</v>
      </c>
    </row>
    <row r="3" spans="1:19" ht="21.75" thickBot="1">
      <c r="C3" s="60"/>
      <c r="D3" s="60"/>
      <c r="F3" s="199" t="s">
        <v>6</v>
      </c>
      <c r="G3" s="200"/>
      <c r="P3" s="17"/>
      <c r="Q3" s="97"/>
      <c r="R3" s="97"/>
      <c r="S3" s="97"/>
    </row>
    <row r="4" spans="1:19" s="1" customFormat="1" ht="36" thickBot="1">
      <c r="A4" s="8" t="s">
        <v>25</v>
      </c>
      <c r="B4" s="8" t="s">
        <v>10</v>
      </c>
      <c r="C4" s="8" t="s">
        <v>0</v>
      </c>
      <c r="D4" s="8" t="s">
        <v>1</v>
      </c>
      <c r="E4" s="8" t="s">
        <v>11</v>
      </c>
      <c r="F4" s="8" t="s">
        <v>2</v>
      </c>
      <c r="G4" s="8" t="s">
        <v>3</v>
      </c>
      <c r="H4" s="8" t="s">
        <v>12</v>
      </c>
      <c r="I4" s="63" t="s">
        <v>71</v>
      </c>
      <c r="J4" s="101" t="s">
        <v>4</v>
      </c>
      <c r="K4" s="88" t="s">
        <v>70</v>
      </c>
      <c r="L4" s="66" t="s">
        <v>5</v>
      </c>
      <c r="M4" s="65" t="s">
        <v>7</v>
      </c>
      <c r="N4" s="67" t="s">
        <v>62</v>
      </c>
      <c r="O4" s="69" t="s">
        <v>61</v>
      </c>
      <c r="P4" s="71" t="s">
        <v>63</v>
      </c>
      <c r="Q4" s="76" t="s">
        <v>30</v>
      </c>
      <c r="R4" s="78" t="s">
        <v>68</v>
      </c>
      <c r="S4" s="77" t="s">
        <v>69</v>
      </c>
    </row>
    <row r="5" spans="1:19" ht="12" customHeight="1">
      <c r="A5" s="122" t="s">
        <v>303</v>
      </c>
      <c r="B5" s="52" t="str">
        <f>VLOOKUP(A5,[1]!Tableau_cotisants,2,FALSE)</f>
        <v>BOYELDIEU/COUREAUD</v>
      </c>
      <c r="C5" s="52" t="str">
        <f>VLOOKUP(A5,[1]!Tableau_cotisants,3,FALSE)</f>
        <v>COUREAUD</v>
      </c>
      <c r="D5" s="52" t="str">
        <f>VLOOKUP(A5,[1]!Tableau_cotisants,4,FALSE)</f>
        <v>Émilie</v>
      </c>
      <c r="E5" s="53">
        <f>VLOOKUP(A5,[1]!Tableau_cotisants,5,FALSE)</f>
        <v>0</v>
      </c>
      <c r="F5" s="52">
        <f>VLOOKUP(A5,[1]!Tableau_cotisants,6,FALSE)</f>
        <v>1</v>
      </c>
      <c r="G5" s="52">
        <f>VLOOKUP(A5,[1]!Tableau_cotisants,7,FALSE)</f>
        <v>0</v>
      </c>
      <c r="H5" s="54">
        <f>VLOOKUP(A5,[1]!Tableau_cotisants,8,FALSE)</f>
        <v>34856</v>
      </c>
      <c r="I5" s="54" t="str">
        <f t="shared" ref="I5" si="0">DATEDIF(H5,Date_du_jour,"y") &amp; " an(s) " &amp; DATEDIF(H5,$C$2,"ym") &amp; " mois et " &amp; DATEDIF(H5,$C$2,"md") &amp; " jour(s)"</f>
        <v>23 an(s) 11 mois et 16 jour(s)</v>
      </c>
      <c r="J5" s="52" t="str">
        <f>VLOOKUP(A5,[1]!Tableau_cotisants,10,FALSE)</f>
        <v>Salignac-sur-Charente</v>
      </c>
      <c r="K5" s="53" t="str">
        <f>VLOOKUP(A5,[1]!Tableau_cotisants,11,FALSE)</f>
        <v>Hors_Charente</v>
      </c>
      <c r="L5" s="6">
        <v>1</v>
      </c>
      <c r="M5" s="5"/>
      <c r="N5" s="27">
        <v>1</v>
      </c>
      <c r="O5" s="26"/>
      <c r="P5" s="74"/>
      <c r="Q5" s="55"/>
      <c r="R5" s="55"/>
      <c r="S5" s="55"/>
    </row>
    <row r="6" spans="1:19" ht="12" customHeight="1">
      <c r="A6" s="122" t="s">
        <v>301</v>
      </c>
      <c r="B6" s="52" t="str">
        <f>VLOOKUP(A6,[1]!Tableau_cotisants,2,FALSE)</f>
        <v>BOYELDIEU/COUREAUD</v>
      </c>
      <c r="C6" s="52" t="str">
        <f>VLOOKUP(A6,[1]!Tableau_cotisants,3,FALSE)</f>
        <v>LEYMAT (enfant gardé)</v>
      </c>
      <c r="D6" s="52" t="str">
        <f>VLOOKUP(A6,[1]!Tableau_cotisants,4,FALSE)</f>
        <v>Eden</v>
      </c>
      <c r="E6" s="53">
        <f>VLOOKUP(A6,[1]!Tableau_cotisants,5,FALSE)</f>
        <v>0</v>
      </c>
      <c r="F6" s="52">
        <f>VLOOKUP(A6,[1]!Tableau_cotisants,6,FALSE)</f>
        <v>1</v>
      </c>
      <c r="G6" s="52">
        <f>VLOOKUP(A6,[1]!Tableau_cotisants,7,FALSE)</f>
        <v>0</v>
      </c>
      <c r="H6" s="54">
        <f>VLOOKUP(A6,[1]!Tableau_cotisants,8,FALSE)</f>
        <v>42552</v>
      </c>
      <c r="I6" s="54" t="str">
        <f t="shared" ref="I6" si="1">DATEDIF(H6,Date_du_jour,"y") &amp; " an(s) " &amp; DATEDIF(H6,$C$2,"ym") &amp; " mois et " &amp; DATEDIF(H6,$C$2,"md") &amp; " jour(s)"</f>
        <v>2 an(s) 10 mois et 21 jour(s)</v>
      </c>
      <c r="J6" s="52" t="str">
        <f>VLOOKUP(A6,[1]!Tableau_cotisants,10,FALSE)</f>
        <v>Salignac-sur-Charente</v>
      </c>
      <c r="K6" s="53" t="str">
        <f>VLOOKUP(A6,[1]!Tableau_cotisants,11,FALSE)</f>
        <v>Hors_Charente</v>
      </c>
      <c r="L6" s="6">
        <v>1</v>
      </c>
      <c r="M6" s="5"/>
      <c r="N6" s="27">
        <v>1</v>
      </c>
      <c r="O6" s="26"/>
      <c r="P6" s="74"/>
      <c r="Q6" s="55"/>
      <c r="R6" s="55"/>
      <c r="S6" s="55"/>
    </row>
    <row r="7" spans="1:19" ht="12" customHeight="1">
      <c r="A7" s="122" t="s">
        <v>302</v>
      </c>
      <c r="B7" s="52" t="str">
        <f>VLOOKUP(A7,[1]!Tableau_cotisants,2,FALSE)</f>
        <v>BOYELDIEU/COUREAUD</v>
      </c>
      <c r="C7" s="52" t="str">
        <f>VLOOKUP(A7,[1]!Tableau_cotisants,3,FALSE)</f>
        <v>LEYMAT (enfant gardé)</v>
      </c>
      <c r="D7" s="52" t="str">
        <f>VLOOKUP(A7,[1]!Tableau_cotisants,4,FALSE)</f>
        <v>Ethan</v>
      </c>
      <c r="E7" s="53">
        <f>VLOOKUP(A7,[1]!Tableau_cotisants,5,FALSE)</f>
        <v>0</v>
      </c>
      <c r="F7" s="52">
        <f>VLOOKUP(A7,[1]!Tableau_cotisants,6,FALSE)</f>
        <v>0</v>
      </c>
      <c r="G7" s="52">
        <f>VLOOKUP(A7,[1]!Tableau_cotisants,7,FALSE)</f>
        <v>1</v>
      </c>
      <c r="H7" s="54">
        <f>VLOOKUP(A7,[1]!Tableau_cotisants,8,FALSE)</f>
        <v>43009</v>
      </c>
      <c r="I7" s="54" t="str">
        <f t="shared" ref="I7:I8" si="2">DATEDIF(H7,Date_du_jour,"y") &amp; " an(s) " &amp; DATEDIF(H7,$C$2,"ym") &amp; " mois et " &amp; DATEDIF(H7,$C$2,"md") &amp; " jour(s)"</f>
        <v>1 an(s) 7 mois et 21 jour(s)</v>
      </c>
      <c r="J7" s="52" t="str">
        <f>VLOOKUP(A7,[1]!Tableau_cotisants,10,FALSE)</f>
        <v>Salignac-sur-Charente</v>
      </c>
      <c r="K7" s="53" t="str">
        <f>VLOOKUP(A7,[1]!Tableau_cotisants,11,FALSE)</f>
        <v>Hors_Charente</v>
      </c>
      <c r="L7" s="6">
        <v>1</v>
      </c>
      <c r="M7" s="5"/>
      <c r="N7" s="27">
        <v>1</v>
      </c>
      <c r="O7" s="26"/>
      <c r="P7" s="74"/>
      <c r="Q7" s="55"/>
      <c r="R7" s="55"/>
      <c r="S7" s="55"/>
    </row>
    <row r="8" spans="1:19" ht="12" customHeight="1">
      <c r="A8" s="108" t="s">
        <v>205</v>
      </c>
      <c r="B8" s="52" t="str">
        <f>VLOOKUP(A8,[1]!Tableau_cotisants,2,FALSE)</f>
        <v>RENAUD/TALIERCO</v>
      </c>
      <c r="C8" s="52" t="str">
        <f>VLOOKUP(A8,[1]!Tableau_cotisants,3,FALSE)</f>
        <v>TALIERCIO</v>
      </c>
      <c r="D8" s="52" t="str">
        <f>VLOOKUP(A8,[1]!Tableau_cotisants,4,FALSE)</f>
        <v>Marie Line</v>
      </c>
      <c r="E8" s="53">
        <f>VLOOKUP(A8,[1]!Tableau_cotisants,5,FALSE)</f>
        <v>0</v>
      </c>
      <c r="F8" s="52">
        <f>VLOOKUP(A8,[1]!Tableau_cotisants,6,FALSE)</f>
        <v>1</v>
      </c>
      <c r="G8" s="52">
        <f>VLOOKUP(A8,[1]!Tableau_cotisants,7,FALSE)</f>
        <v>0</v>
      </c>
      <c r="H8" s="54">
        <f>VLOOKUP(A8,[1]!Tableau_cotisants,8,FALSE)</f>
        <v>21821</v>
      </c>
      <c r="I8" s="54" t="str">
        <f t="shared" si="2"/>
        <v>59 an(s) 7 mois et 24 jour(s)</v>
      </c>
      <c r="J8" s="52" t="str">
        <f>VLOOKUP(A8,[1]!Tableau_cotisants,10,FALSE)</f>
        <v>Cognac</v>
      </c>
      <c r="K8" s="53" t="str">
        <f>VLOOKUP(A8,[1]!Tableau_cotisants,11,FALSE)</f>
        <v>Cognac</v>
      </c>
      <c r="L8" s="6">
        <v>1</v>
      </c>
      <c r="M8" s="5"/>
      <c r="N8" s="27"/>
      <c r="O8" s="26"/>
      <c r="P8" s="74">
        <v>1</v>
      </c>
      <c r="Q8" s="55"/>
      <c r="R8" s="55"/>
      <c r="S8" s="55"/>
    </row>
    <row r="9" spans="1:19" ht="12" customHeight="1">
      <c r="A9" s="108" t="s">
        <v>206</v>
      </c>
      <c r="B9" s="52" t="str">
        <f>VLOOKUP(A9,[1]!Tableau_cotisants,2,FALSE)</f>
        <v>RENAUD/TALIERCO</v>
      </c>
      <c r="C9" s="52" t="str">
        <f>VLOOKUP(A9,[1]!Tableau_cotisants,3,FALSE)</f>
        <v>RENAUD</v>
      </c>
      <c r="D9" s="52" t="str">
        <f>VLOOKUP(A9,[1]!Tableau_cotisants,4,FALSE)</f>
        <v>Jules</v>
      </c>
      <c r="E9" s="53">
        <f>VLOOKUP(A9,[1]!Tableau_cotisants,5,FALSE)</f>
        <v>0</v>
      </c>
      <c r="F9" s="52">
        <f>VLOOKUP(A9,[1]!Tableau_cotisants,6,FALSE)</f>
        <v>0</v>
      </c>
      <c r="G9" s="52">
        <f>VLOOKUP(A9,[1]!Tableau_cotisants,7,FALSE)</f>
        <v>1</v>
      </c>
      <c r="H9" s="54">
        <f>VLOOKUP(A9,[1]!Tableau_cotisants,8,FALSE)</f>
        <v>42480</v>
      </c>
      <c r="I9" s="54" t="str">
        <f t="shared" ref="I9" si="3">DATEDIF(H9,Date_du_jour,"y") &amp; " an(s) " &amp; DATEDIF(H9,$C$2,"ym") &amp; " mois et " &amp; DATEDIF(H9,$C$2,"md") &amp; " jour(s)"</f>
        <v>3 an(s) 1 mois et 2 jour(s)</v>
      </c>
      <c r="J9" s="52" t="str">
        <f>VLOOKUP(A9,[1]!Tableau_cotisants,10,FALSE)</f>
        <v>Cognac</v>
      </c>
      <c r="K9" s="53" t="str">
        <f>VLOOKUP(A9,[1]!Tableau_cotisants,11,FALSE)</f>
        <v>Cognac</v>
      </c>
      <c r="L9" s="6">
        <v>1</v>
      </c>
      <c r="M9" s="5"/>
      <c r="N9" s="27"/>
      <c r="O9" s="26"/>
      <c r="P9" s="74">
        <v>1</v>
      </c>
      <c r="Q9" s="55"/>
      <c r="R9" s="55"/>
      <c r="S9" s="55"/>
    </row>
    <row r="10" spans="1:19" ht="12" customHeight="1">
      <c r="A10" s="121"/>
      <c r="B10" s="52"/>
      <c r="C10" s="52"/>
      <c r="D10" s="52"/>
      <c r="E10" s="53"/>
      <c r="F10" s="52"/>
      <c r="G10" s="52"/>
      <c r="H10" s="54"/>
      <c r="I10" s="54"/>
      <c r="J10" s="52"/>
      <c r="K10" s="53"/>
      <c r="L10" s="6"/>
      <c r="M10" s="5"/>
      <c r="N10" s="27"/>
      <c r="O10" s="26"/>
      <c r="P10" s="74"/>
      <c r="Q10" s="55"/>
      <c r="R10" s="55"/>
      <c r="S10" s="55"/>
    </row>
    <row r="11" spans="1:19" ht="12" customHeight="1">
      <c r="A11" s="121"/>
      <c r="B11" s="52"/>
      <c r="C11" s="52"/>
      <c r="D11" s="52"/>
      <c r="E11" s="53"/>
      <c r="F11" s="52"/>
      <c r="G11" s="52"/>
      <c r="H11" s="54"/>
      <c r="I11" s="54"/>
      <c r="J11" s="52"/>
      <c r="K11" s="53"/>
      <c r="L11" s="6"/>
      <c r="M11" s="5"/>
      <c r="N11" s="27"/>
      <c r="O11" s="26"/>
      <c r="P11" s="74"/>
      <c r="Q11" s="55"/>
      <c r="R11" s="55"/>
      <c r="S11" s="55"/>
    </row>
    <row r="12" spans="1:19" ht="12" customHeight="1">
      <c r="A12" s="121"/>
      <c r="B12" s="52"/>
      <c r="C12" s="52"/>
      <c r="D12" s="52"/>
      <c r="E12" s="53"/>
      <c r="F12" s="52"/>
      <c r="G12" s="52"/>
      <c r="H12" s="54"/>
      <c r="I12" s="54"/>
      <c r="J12" s="52"/>
      <c r="K12" s="53"/>
      <c r="L12" s="6"/>
      <c r="M12" s="5"/>
      <c r="N12" s="27"/>
      <c r="O12" s="26"/>
      <c r="P12" s="74"/>
      <c r="Q12" s="55"/>
      <c r="R12" s="55"/>
      <c r="S12" s="55"/>
    </row>
    <row r="13" spans="1:19" ht="12" customHeight="1">
      <c r="A13" s="121"/>
      <c r="B13" s="52"/>
      <c r="C13" s="52"/>
      <c r="D13" s="52"/>
      <c r="E13" s="53"/>
      <c r="F13" s="52"/>
      <c r="G13" s="52"/>
      <c r="H13" s="54"/>
      <c r="I13" s="54"/>
      <c r="J13" s="52"/>
      <c r="K13" s="53"/>
      <c r="L13" s="6"/>
      <c r="M13" s="5"/>
      <c r="N13" s="27"/>
      <c r="O13" s="26"/>
      <c r="P13" s="74"/>
      <c r="Q13" s="55"/>
      <c r="R13" s="55"/>
      <c r="S13" s="55"/>
    </row>
    <row r="14" spans="1:19" ht="12" customHeight="1">
      <c r="A14" s="113"/>
      <c r="B14" s="52"/>
      <c r="C14" s="52"/>
      <c r="D14" s="52"/>
      <c r="E14" s="53"/>
      <c r="F14" s="52"/>
      <c r="G14" s="52"/>
      <c r="H14" s="54"/>
      <c r="I14" s="54"/>
      <c r="J14" s="52"/>
      <c r="K14" s="53"/>
      <c r="L14" s="6"/>
      <c r="M14" s="5"/>
      <c r="N14" s="27"/>
      <c r="O14" s="26"/>
      <c r="P14" s="74"/>
      <c r="Q14" s="55"/>
      <c r="R14" s="55"/>
      <c r="S14" s="55"/>
    </row>
    <row r="15" spans="1:19" ht="12" customHeight="1">
      <c r="A15" s="113"/>
      <c r="B15" s="52"/>
      <c r="C15" s="52"/>
      <c r="D15" s="52"/>
      <c r="E15" s="53"/>
      <c r="F15" s="52"/>
      <c r="G15" s="52"/>
      <c r="H15" s="54"/>
      <c r="I15" s="54"/>
      <c r="J15" s="52"/>
      <c r="K15" s="53"/>
      <c r="L15" s="6"/>
      <c r="M15" s="5"/>
      <c r="N15" s="27"/>
      <c r="O15" s="26"/>
      <c r="P15" s="74"/>
      <c r="Q15" s="55"/>
      <c r="R15" s="55"/>
      <c r="S15" s="55"/>
    </row>
    <row r="16" spans="1:19" ht="12" customHeight="1">
      <c r="A16" s="113"/>
      <c r="B16" s="52"/>
      <c r="C16" s="52"/>
      <c r="D16" s="52"/>
      <c r="E16" s="53"/>
      <c r="F16" s="52"/>
      <c r="G16" s="52"/>
      <c r="H16" s="54"/>
      <c r="I16" s="54"/>
      <c r="J16" s="52"/>
      <c r="K16" s="53"/>
      <c r="L16" s="6"/>
      <c r="M16" s="5"/>
      <c r="N16" s="27"/>
      <c r="O16" s="26"/>
      <c r="P16" s="74"/>
      <c r="Q16" s="55"/>
      <c r="R16" s="55"/>
      <c r="S16" s="55"/>
    </row>
    <row r="17" spans="1:19" ht="12" customHeight="1">
      <c r="A17" s="113"/>
      <c r="B17" s="52"/>
      <c r="C17" s="52"/>
      <c r="D17" s="52"/>
      <c r="E17" s="53"/>
      <c r="F17" s="52"/>
      <c r="G17" s="52"/>
      <c r="H17" s="54"/>
      <c r="I17" s="54"/>
      <c r="J17" s="52"/>
      <c r="K17" s="53"/>
      <c r="L17" s="6"/>
      <c r="M17" s="5"/>
      <c r="N17" s="27"/>
      <c r="O17" s="26"/>
      <c r="P17" s="74"/>
      <c r="Q17" s="55"/>
      <c r="R17" s="55"/>
      <c r="S17" s="55"/>
    </row>
    <row r="18" spans="1:19" ht="12" customHeight="1">
      <c r="A18" s="113"/>
      <c r="B18" s="52"/>
      <c r="C18" s="52"/>
      <c r="D18" s="52"/>
      <c r="E18" s="53"/>
      <c r="F18" s="52"/>
      <c r="G18" s="52"/>
      <c r="H18" s="54"/>
      <c r="I18" s="54"/>
      <c r="J18" s="52"/>
      <c r="K18" s="53"/>
      <c r="L18" s="6"/>
      <c r="M18" s="5"/>
      <c r="N18" s="27"/>
      <c r="O18" s="26"/>
      <c r="P18" s="74"/>
      <c r="Q18" s="55"/>
      <c r="R18" s="55"/>
      <c r="S18" s="55"/>
    </row>
    <row r="19" spans="1:19" ht="12" customHeight="1">
      <c r="A19" s="113"/>
      <c r="B19" s="52"/>
      <c r="C19" s="52"/>
      <c r="D19" s="52"/>
      <c r="E19" s="53"/>
      <c r="F19" s="52"/>
      <c r="G19" s="52"/>
      <c r="H19" s="54"/>
      <c r="I19" s="54"/>
      <c r="J19" s="52"/>
      <c r="K19" s="53"/>
      <c r="L19" s="6"/>
      <c r="M19" s="5"/>
      <c r="N19" s="27"/>
      <c r="O19" s="26"/>
      <c r="P19" s="74"/>
      <c r="Q19" s="55"/>
      <c r="R19" s="55"/>
      <c r="S19" s="55"/>
    </row>
    <row r="20" spans="1:19" ht="12" customHeight="1">
      <c r="A20" s="164"/>
      <c r="B20" s="52"/>
      <c r="C20" s="52"/>
      <c r="D20" s="52"/>
      <c r="E20" s="53"/>
      <c r="F20" s="52"/>
      <c r="G20" s="52"/>
      <c r="H20" s="54"/>
      <c r="I20" s="54"/>
      <c r="J20" s="52"/>
      <c r="K20" s="53"/>
      <c r="L20" s="6"/>
      <c r="M20" s="5"/>
      <c r="N20" s="27"/>
      <c r="O20" s="26"/>
      <c r="P20" s="74"/>
      <c r="Q20" s="55"/>
      <c r="R20" s="55"/>
      <c r="S20" s="55"/>
    </row>
    <row r="21" spans="1:19" ht="12" customHeight="1">
      <c r="A21" s="164"/>
      <c r="B21" s="52"/>
      <c r="C21" s="52"/>
      <c r="D21" s="52"/>
      <c r="E21" s="53"/>
      <c r="F21" s="52"/>
      <c r="G21" s="52"/>
      <c r="H21" s="54"/>
      <c r="I21" s="54"/>
      <c r="J21" s="52"/>
      <c r="K21" s="53"/>
      <c r="L21" s="6"/>
      <c r="M21" s="5"/>
      <c r="N21" s="27"/>
      <c r="O21" s="26"/>
      <c r="P21" s="74"/>
      <c r="Q21" s="55"/>
      <c r="R21" s="55"/>
      <c r="S21" s="55"/>
    </row>
    <row r="22" spans="1:19" ht="12" customHeight="1">
      <c r="A22" s="164"/>
      <c r="B22" s="52"/>
      <c r="C22" s="52"/>
      <c r="D22" s="52"/>
      <c r="E22" s="53"/>
      <c r="F22" s="52"/>
      <c r="G22" s="52"/>
      <c r="H22" s="54"/>
      <c r="I22" s="54"/>
      <c r="J22" s="52"/>
      <c r="K22" s="53"/>
      <c r="L22" s="6"/>
      <c r="M22" s="5"/>
      <c r="N22" s="27"/>
      <c r="O22" s="26"/>
      <c r="P22" s="74"/>
      <c r="Q22" s="55"/>
      <c r="R22" s="55"/>
      <c r="S22" s="55"/>
    </row>
    <row r="23" spans="1:19" ht="12" customHeight="1">
      <c r="A23" s="164"/>
      <c r="B23" s="52"/>
      <c r="C23" s="52"/>
      <c r="D23" s="52"/>
      <c r="E23" s="53"/>
      <c r="F23" s="52"/>
      <c r="G23" s="52"/>
      <c r="H23" s="54"/>
      <c r="I23" s="54"/>
      <c r="J23" s="52"/>
      <c r="K23" s="53"/>
      <c r="L23" s="6"/>
      <c r="M23" s="5"/>
      <c r="N23" s="27"/>
      <c r="O23" s="26"/>
      <c r="P23" s="74"/>
      <c r="Q23" s="55"/>
      <c r="R23" s="55"/>
      <c r="S23" s="55"/>
    </row>
    <row r="24" spans="1:19" ht="12" customHeight="1">
      <c r="A24" s="164"/>
      <c r="B24" s="52"/>
      <c r="C24" s="52"/>
      <c r="D24" s="52"/>
      <c r="E24" s="53"/>
      <c r="F24" s="52"/>
      <c r="G24" s="52"/>
      <c r="H24" s="54"/>
      <c r="I24" s="54"/>
      <c r="J24" s="52"/>
      <c r="K24" s="53"/>
      <c r="L24" s="6"/>
      <c r="M24" s="5"/>
      <c r="N24" s="27"/>
      <c r="O24" s="26"/>
      <c r="P24" s="74"/>
      <c r="Q24" s="55"/>
      <c r="R24" s="55"/>
      <c r="S24" s="55"/>
    </row>
    <row r="25" spans="1:19" ht="12" customHeight="1">
      <c r="A25" s="164"/>
      <c r="B25" s="125" t="s">
        <v>304</v>
      </c>
      <c r="C25" s="112"/>
      <c r="D25" s="112"/>
      <c r="E25" s="53"/>
      <c r="F25" s="52"/>
      <c r="G25" s="52"/>
      <c r="H25" s="54"/>
      <c r="I25" s="54"/>
      <c r="J25" s="52"/>
      <c r="K25" s="53"/>
      <c r="L25" s="6"/>
      <c r="M25" s="5"/>
      <c r="N25" s="27"/>
      <c r="O25" s="26"/>
      <c r="P25" s="74"/>
      <c r="Q25" s="55"/>
      <c r="R25" s="55"/>
      <c r="S25" s="55"/>
    </row>
    <row r="26" spans="1:19" ht="12" customHeight="1">
      <c r="A26" s="113"/>
      <c r="B26" s="52"/>
      <c r="C26" s="52"/>
      <c r="D26" s="52"/>
      <c r="E26" s="53"/>
      <c r="F26" s="52"/>
      <c r="G26" s="52"/>
      <c r="H26" s="54"/>
      <c r="I26" s="54"/>
      <c r="J26" s="52"/>
      <c r="K26" s="53"/>
      <c r="L26" s="6"/>
      <c r="M26" s="5"/>
      <c r="N26" s="27"/>
      <c r="O26" s="26"/>
      <c r="P26" s="74"/>
      <c r="Q26" s="55"/>
      <c r="R26" s="55"/>
      <c r="S26" s="55"/>
    </row>
    <row r="27" spans="1:19" ht="12" customHeight="1">
      <c r="A27" s="153"/>
      <c r="B27" s="56"/>
      <c r="C27" s="56"/>
      <c r="D27" s="56"/>
      <c r="E27" s="57"/>
      <c r="F27" s="56"/>
      <c r="G27" s="56"/>
      <c r="H27" s="58"/>
      <c r="I27" s="58"/>
      <c r="J27" s="56"/>
      <c r="K27" s="57"/>
      <c r="L27" s="6"/>
      <c r="M27" s="5"/>
      <c r="N27" s="27"/>
      <c r="O27" s="26"/>
      <c r="P27" s="74"/>
      <c r="Q27" s="55"/>
      <c r="R27" s="55"/>
      <c r="S27" s="55"/>
    </row>
    <row r="28" spans="1:19" ht="12" customHeight="1">
      <c r="A28" s="153"/>
      <c r="B28" s="56"/>
      <c r="C28" s="56"/>
      <c r="D28" s="56"/>
      <c r="E28" s="57"/>
      <c r="F28" s="56"/>
      <c r="G28" s="56"/>
      <c r="H28" s="58"/>
      <c r="I28" s="58"/>
      <c r="J28" s="56"/>
      <c r="K28" s="57"/>
      <c r="L28" s="6"/>
      <c r="M28" s="5"/>
      <c r="N28" s="27"/>
      <c r="O28" s="26"/>
      <c r="P28" s="74"/>
      <c r="Q28" s="55"/>
      <c r="R28" s="55"/>
      <c r="S28" s="55"/>
    </row>
    <row r="29" spans="1:19" ht="12" customHeight="1">
      <c r="A29" s="111" t="s">
        <v>297</v>
      </c>
      <c r="B29" s="56" t="str">
        <f>VLOOKUP(A29,[1]!Tableau_cotisants,2,FALSE)</f>
        <v>GAZEAUD/SOWINSKI</v>
      </c>
      <c r="C29" s="56" t="str">
        <f>VLOOKUP(A29,[1]!Tableau_cotisants,3,FALSE)</f>
        <v>SOWINSKI</v>
      </c>
      <c r="D29" s="56" t="str">
        <f>VLOOKUP(A29,[1]!Tableau_cotisants,4,FALSE)</f>
        <v>Valérie</v>
      </c>
      <c r="E29" s="57">
        <f>VLOOKUP(A29,[1]!Tableau_cotisants,5,FALSE)</f>
        <v>0</v>
      </c>
      <c r="F29" s="56">
        <f>VLOOKUP(A29,[1]!Tableau_cotisants,6,FALSE)</f>
        <v>1</v>
      </c>
      <c r="G29" s="56">
        <f>VLOOKUP(A29,[1]!Tableau_cotisants,7,FALSE)</f>
        <v>0</v>
      </c>
      <c r="H29" s="58">
        <f>VLOOKUP(A29,[1]!Tableau_cotisants,8,FALSE)</f>
        <v>29805</v>
      </c>
      <c r="I29" s="58" t="str">
        <f t="shared" ref="I29:I30" si="4">DATEDIF(H29,Date_du_jour,"y") &amp; " an(s) " &amp; DATEDIF(H29,$C$2,"ym") &amp; " mois et " &amp; DATEDIF(H29,$C$2,"md") &amp; " jour(s)"</f>
        <v>37 an(s) 9 mois et 15 jour(s)</v>
      </c>
      <c r="J29" s="56" t="str">
        <f>VLOOKUP(A29,[1]!Tableau_cotisants,10,FALSE)</f>
        <v>SEGONZAC</v>
      </c>
      <c r="K29" s="57" t="str">
        <f>VLOOKUP(A29,[1]!Tableau_cotisants,11,FALSE)</f>
        <v>Champagne</v>
      </c>
      <c r="L29" s="6"/>
      <c r="M29" s="5">
        <v>1</v>
      </c>
      <c r="N29" s="27">
        <v>1</v>
      </c>
      <c r="O29" s="26"/>
      <c r="P29" s="74"/>
      <c r="Q29" s="55"/>
      <c r="R29" s="55"/>
      <c r="S29" s="55"/>
    </row>
    <row r="30" spans="1:19" ht="12" customHeight="1">
      <c r="A30" s="111" t="s">
        <v>298</v>
      </c>
      <c r="B30" s="56" t="str">
        <f>VLOOKUP(A30,[1]!Tableau_cotisants,2,FALSE)</f>
        <v>GAZEAUD/SOWINSKI</v>
      </c>
      <c r="C30" s="56" t="str">
        <f>VLOOKUP(A30,[1]!Tableau_cotisants,3,FALSE)</f>
        <v>GAZEAUD</v>
      </c>
      <c r="D30" s="56" t="str">
        <f>VLOOKUP(A30,[1]!Tableau_cotisants,4,FALSE)</f>
        <v>Agnés</v>
      </c>
      <c r="E30" s="57">
        <f>VLOOKUP(A30,[1]!Tableau_cotisants,5,FALSE)</f>
        <v>0</v>
      </c>
      <c r="F30" s="56">
        <f>VLOOKUP(A30,[1]!Tableau_cotisants,6,FALSE)</f>
        <v>1</v>
      </c>
      <c r="G30" s="56">
        <f>VLOOKUP(A30,[1]!Tableau_cotisants,7,FALSE)</f>
        <v>0</v>
      </c>
      <c r="H30" s="58">
        <f>VLOOKUP(A30,[1]!Tableau_cotisants,8,FALSE)</f>
        <v>39965</v>
      </c>
      <c r="I30" s="58" t="str">
        <f t="shared" si="4"/>
        <v>9 an(s) 11 mois et 21 jour(s)</v>
      </c>
      <c r="J30" s="56" t="str">
        <f>VLOOKUP(A30,[1]!Tableau_cotisants,10,FALSE)</f>
        <v>SEGONZAC</v>
      </c>
      <c r="K30" s="57" t="str">
        <f>VLOOKUP(A30,[1]!Tableau_cotisants,11,FALSE)</f>
        <v>Champagne</v>
      </c>
      <c r="L30" s="6"/>
      <c r="M30" s="5">
        <v>1</v>
      </c>
      <c r="N30" s="27">
        <v>1</v>
      </c>
      <c r="O30" s="26"/>
      <c r="P30" s="74"/>
      <c r="Q30" s="55"/>
      <c r="R30" s="55"/>
      <c r="S30" s="55"/>
    </row>
    <row r="31" spans="1:19" ht="12" customHeight="1">
      <c r="A31" s="111" t="s">
        <v>299</v>
      </c>
      <c r="B31" s="56" t="str">
        <f>VLOOKUP(A31,[1]!Tableau_cotisants,2,FALSE)</f>
        <v>GAZEAUD/SOWINSKI</v>
      </c>
      <c r="C31" s="56" t="str">
        <f>VLOOKUP(A31,[1]!Tableau_cotisants,3,FALSE)</f>
        <v>GAZEAUD</v>
      </c>
      <c r="D31" s="56" t="str">
        <f>VLOOKUP(A31,[1]!Tableau_cotisants,4,FALSE)</f>
        <v>Perrine</v>
      </c>
      <c r="E31" s="57">
        <f>VLOOKUP(A31,[1]!Tableau_cotisants,5,FALSE)</f>
        <v>0</v>
      </c>
      <c r="F31" s="56">
        <f>VLOOKUP(A31,[1]!Tableau_cotisants,6,FALSE)</f>
        <v>1</v>
      </c>
      <c r="G31" s="56">
        <f>VLOOKUP(A31,[1]!Tableau_cotisants,7,FALSE)</f>
        <v>0</v>
      </c>
      <c r="H31" s="58">
        <f>VLOOKUP(A31,[1]!Tableau_cotisants,8,FALSE)</f>
        <v>40707</v>
      </c>
      <c r="I31" s="58" t="str">
        <f t="shared" ref="I31:I32" si="5">DATEDIF(H31,Date_du_jour,"y") &amp; " an(s) " &amp; DATEDIF(H31,$C$2,"ym") &amp; " mois et " &amp; DATEDIF(H31,$C$2,"md") &amp; " jour(s)"</f>
        <v>7 an(s) 11 mois et 9 jour(s)</v>
      </c>
      <c r="J31" s="56" t="str">
        <f>VLOOKUP(A31,[1]!Tableau_cotisants,10,FALSE)</f>
        <v>SEGONZAC</v>
      </c>
      <c r="K31" s="57" t="str">
        <f>VLOOKUP(A31,[1]!Tableau_cotisants,11,FALSE)</f>
        <v>Champagne</v>
      </c>
      <c r="L31" s="6"/>
      <c r="M31" s="5">
        <v>1</v>
      </c>
      <c r="N31" s="27">
        <v>1</v>
      </c>
      <c r="O31" s="26"/>
      <c r="P31" s="74"/>
      <c r="Q31" s="55"/>
      <c r="R31" s="55"/>
      <c r="S31" s="55"/>
    </row>
    <row r="32" spans="1:19" ht="12" customHeight="1">
      <c r="A32" s="111" t="s">
        <v>300</v>
      </c>
      <c r="B32" s="56" t="str">
        <f>VLOOKUP(A32,[1]!Tableau_cotisants,2,FALSE)</f>
        <v>GAZEAUD/SOWINSKI</v>
      </c>
      <c r="C32" s="56" t="str">
        <f>VLOOKUP(A32,[1]!Tableau_cotisants,3,FALSE)</f>
        <v>GAZEAUD</v>
      </c>
      <c r="D32" s="56" t="str">
        <f>VLOOKUP(A32,[1]!Tableau_cotisants,4,FALSE)</f>
        <v>Léonore</v>
      </c>
      <c r="E32" s="57">
        <f>VLOOKUP(A32,[1]!Tableau_cotisants,5,FALSE)</f>
        <v>0</v>
      </c>
      <c r="F32" s="56">
        <f>VLOOKUP(A32,[1]!Tableau_cotisants,6,FALSE)</f>
        <v>1</v>
      </c>
      <c r="G32" s="56">
        <f>VLOOKUP(A32,[1]!Tableau_cotisants,7,FALSE)</f>
        <v>0</v>
      </c>
      <c r="H32" s="58">
        <f>VLOOKUP(A32,[1]!Tableau_cotisants,8,FALSE)</f>
        <v>41810</v>
      </c>
      <c r="I32" s="58" t="str">
        <f t="shared" si="5"/>
        <v>4 an(s) 11 mois et 2 jour(s)</v>
      </c>
      <c r="J32" s="56" t="str">
        <f>VLOOKUP(A32,[1]!Tableau_cotisants,10,FALSE)</f>
        <v>SEGONZAC</v>
      </c>
      <c r="K32" s="57" t="str">
        <f>VLOOKUP(A32,[1]!Tableau_cotisants,11,FALSE)</f>
        <v>Champagne</v>
      </c>
      <c r="L32" s="6"/>
      <c r="M32" s="5">
        <v>1</v>
      </c>
      <c r="N32" s="27">
        <v>1</v>
      </c>
      <c r="O32" s="26"/>
      <c r="P32" s="74"/>
      <c r="Q32" s="55"/>
      <c r="R32" s="55"/>
      <c r="S32" s="55"/>
    </row>
    <row r="33" spans="1:19" ht="12" customHeight="1">
      <c r="A33" s="111" t="s">
        <v>263</v>
      </c>
      <c r="B33" s="56" t="str">
        <f>VLOOKUP(A33,[1]!Tableau_cotisants,2,FALSE)</f>
        <v>DEFARGE</v>
      </c>
      <c r="C33" s="56" t="str">
        <f>VLOOKUP(A33,[1]!Tableau_cotisants,3,FALSE)</f>
        <v>DEFARGE</v>
      </c>
      <c r="D33" s="56" t="str">
        <f>VLOOKUP(A33,[1]!Tableau_cotisants,4,FALSE)</f>
        <v>Sonia</v>
      </c>
      <c r="E33" s="57">
        <f>VLOOKUP(A33,[1]!Tableau_cotisants,5,FALSE)</f>
        <v>0</v>
      </c>
      <c r="F33" s="56">
        <f>VLOOKUP(A33,[1]!Tableau_cotisants,6,FALSE)</f>
        <v>1</v>
      </c>
      <c r="G33" s="56">
        <f>VLOOKUP(A33,[1]!Tableau_cotisants,7,FALSE)</f>
        <v>0</v>
      </c>
      <c r="H33" s="58">
        <f>VLOOKUP(A33,[1]!Tableau_cotisants,8,FALSE)</f>
        <v>27411</v>
      </c>
      <c r="I33" s="58" t="str">
        <f t="shared" ref="I33:I42" si="6">DATEDIF(H33,Date_du_jour,"y") &amp; " an(s) " &amp; DATEDIF(H33,$C$2,"ym") &amp; " mois et " &amp; DATEDIF(H33,$C$2,"md") &amp; " jour(s)"</f>
        <v>44 an(s) 4 mois et 5 jour(s)</v>
      </c>
      <c r="J33" s="56" t="str">
        <f>VLOOKUP(A33,[1]!Tableau_cotisants,10,FALSE)</f>
        <v>Cognac</v>
      </c>
      <c r="K33" s="57" t="str">
        <f>VLOOKUP(A33,[1]!Tableau_cotisants,11,FALSE)</f>
        <v>Cognac</v>
      </c>
      <c r="L33" s="6"/>
      <c r="M33" s="5">
        <v>1</v>
      </c>
      <c r="N33" s="27"/>
      <c r="O33" s="26"/>
      <c r="P33" s="74">
        <v>1</v>
      </c>
      <c r="Q33" s="55"/>
      <c r="R33" s="55"/>
      <c r="S33" s="55"/>
    </row>
    <row r="34" spans="1:19" ht="12" customHeight="1">
      <c r="A34" s="111" t="s">
        <v>216</v>
      </c>
      <c r="B34" s="56" t="str">
        <f>VLOOKUP(A34,[1]!Tableau_cotisants,2,FALSE)</f>
        <v>DEFARGE</v>
      </c>
      <c r="C34" s="56" t="str">
        <f>VLOOKUP(A34,[1]!Tableau_cotisants,3,FALSE)</f>
        <v>DEFARGE</v>
      </c>
      <c r="D34" s="56" t="str">
        <f>VLOOKUP(A34,[1]!Tableau_cotisants,4,FALSE)</f>
        <v>Maxime</v>
      </c>
      <c r="E34" s="57">
        <f>VLOOKUP(A34,[1]!Tableau_cotisants,5,FALSE)</f>
        <v>0</v>
      </c>
      <c r="F34" s="56">
        <f>VLOOKUP(A34,[1]!Tableau_cotisants,6,FALSE)</f>
        <v>0</v>
      </c>
      <c r="G34" s="56">
        <f>VLOOKUP(A34,[1]!Tableau_cotisants,7,FALSE)</f>
        <v>1</v>
      </c>
      <c r="H34" s="58">
        <f>VLOOKUP(A34,[1]!Tableau_cotisants,8,FALSE)</f>
        <v>39328</v>
      </c>
      <c r="I34" s="58" t="str">
        <f t="shared" si="6"/>
        <v>11 an(s) 8 mois et 19 jour(s)</v>
      </c>
      <c r="J34" s="56" t="str">
        <f>VLOOKUP(A34,[1]!Tableau_cotisants,10,FALSE)</f>
        <v>Cognac</v>
      </c>
      <c r="K34" s="57" t="str">
        <f>VLOOKUP(A34,[1]!Tableau_cotisants,11,FALSE)</f>
        <v>Cognac</v>
      </c>
      <c r="L34" s="6"/>
      <c r="M34" s="5">
        <v>1</v>
      </c>
      <c r="N34" s="27"/>
      <c r="O34" s="26"/>
      <c r="P34" s="74">
        <v>1</v>
      </c>
      <c r="Q34" s="55"/>
      <c r="R34" s="55"/>
      <c r="S34" s="55"/>
    </row>
    <row r="35" spans="1:19" ht="12" customHeight="1">
      <c r="A35" s="111" t="s">
        <v>217</v>
      </c>
      <c r="B35" s="56" t="str">
        <f>VLOOKUP(A35,[1]!Tableau_cotisants,2,FALSE)</f>
        <v>DEFARGE</v>
      </c>
      <c r="C35" s="56" t="str">
        <f>VLOOKUP(A35,[1]!Tableau_cotisants,3,FALSE)</f>
        <v>DEFARGE</v>
      </c>
      <c r="D35" s="56" t="str">
        <f>VLOOKUP(A35,[1]!Tableau_cotisants,4,FALSE)</f>
        <v>Coraline</v>
      </c>
      <c r="E35" s="57">
        <f>VLOOKUP(A35,[1]!Tableau_cotisants,5,FALSE)</f>
        <v>0</v>
      </c>
      <c r="F35" s="56">
        <f>VLOOKUP(A35,[1]!Tableau_cotisants,6,FALSE)</f>
        <v>1</v>
      </c>
      <c r="G35" s="56">
        <f>VLOOKUP(A35,[1]!Tableau_cotisants,7,FALSE)</f>
        <v>0</v>
      </c>
      <c r="H35" s="58">
        <f>VLOOKUP(A35,[1]!Tableau_cotisants,8,FALSE)</f>
        <v>41450</v>
      </c>
      <c r="I35" s="58" t="str">
        <f t="shared" si="6"/>
        <v>5 an(s) 10 mois et 27 jour(s)</v>
      </c>
      <c r="J35" s="56" t="str">
        <f>VLOOKUP(A35,[1]!Tableau_cotisants,10,FALSE)</f>
        <v>Cognac</v>
      </c>
      <c r="K35" s="57" t="str">
        <f>VLOOKUP(A35,[1]!Tableau_cotisants,11,FALSE)</f>
        <v>Cognac</v>
      </c>
      <c r="L35" s="6"/>
      <c r="M35" s="5">
        <v>1</v>
      </c>
      <c r="N35" s="27"/>
      <c r="O35" s="26"/>
      <c r="P35" s="74">
        <v>1</v>
      </c>
      <c r="Q35" s="55"/>
      <c r="R35" s="55"/>
      <c r="S35" s="55"/>
    </row>
    <row r="36" spans="1:19" ht="12" customHeight="1">
      <c r="A36" s="111" t="s">
        <v>218</v>
      </c>
      <c r="B36" s="56" t="str">
        <f>VLOOKUP(A36,[1]!Tableau_cotisants,2,FALSE)</f>
        <v>DEFARGE</v>
      </c>
      <c r="C36" s="56" t="str">
        <f>VLOOKUP(A36,[1]!Tableau_cotisants,3,FALSE)</f>
        <v>DEFARGE</v>
      </c>
      <c r="D36" s="56" t="str">
        <f>VLOOKUP(A36,[1]!Tableau_cotisants,4,FALSE)</f>
        <v>Robin</v>
      </c>
      <c r="E36" s="57">
        <f>VLOOKUP(A36,[1]!Tableau_cotisants,5,FALSE)</f>
        <v>0</v>
      </c>
      <c r="F36" s="56">
        <f>VLOOKUP(A36,[1]!Tableau_cotisants,6,FALSE)</f>
        <v>0</v>
      </c>
      <c r="G36" s="56">
        <f>VLOOKUP(A36,[1]!Tableau_cotisants,7,FALSE)</f>
        <v>1</v>
      </c>
      <c r="H36" s="58">
        <f>VLOOKUP(A36,[1]!Tableau_cotisants,8,FALSE)</f>
        <v>42172</v>
      </c>
      <c r="I36" s="58" t="str">
        <f t="shared" si="6"/>
        <v>3 an(s) 11 mois et 5 jour(s)</v>
      </c>
      <c r="J36" s="56" t="str">
        <f>VLOOKUP(A36,[1]!Tableau_cotisants,10,FALSE)</f>
        <v>Cognac</v>
      </c>
      <c r="K36" s="57" t="str">
        <f>VLOOKUP(A36,[1]!Tableau_cotisants,11,FALSE)</f>
        <v>Cognac</v>
      </c>
      <c r="L36" s="6"/>
      <c r="M36" s="5">
        <v>1</v>
      </c>
      <c r="N36" s="27"/>
      <c r="O36" s="26"/>
      <c r="P36" s="74">
        <v>1</v>
      </c>
      <c r="Q36" s="55"/>
      <c r="R36" s="55"/>
      <c r="S36" s="55"/>
    </row>
    <row r="37" spans="1:19" ht="12" customHeight="1">
      <c r="A37" s="122" t="s">
        <v>134</v>
      </c>
      <c r="B37" s="56" t="str">
        <f>VLOOKUP(A37,[1]!Tableau_cotisants,2,FALSE)</f>
        <v>RATIE/LONJARD</v>
      </c>
      <c r="C37" s="56" t="str">
        <f>VLOOKUP(A37,[1]!Tableau_cotisants,3,FALSE)</f>
        <v>LONJARD</v>
      </c>
      <c r="D37" s="56" t="str">
        <f>VLOOKUP(A37,[1]!Tableau_cotisants,4,FALSE)</f>
        <v>Nathalie</v>
      </c>
      <c r="E37" s="57">
        <f>VLOOKUP(A37,[1]!Tableau_cotisants,5,FALSE)</f>
        <v>0</v>
      </c>
      <c r="F37" s="56">
        <f>VLOOKUP(A37,[1]!Tableau_cotisants,6,FALSE)</f>
        <v>1</v>
      </c>
      <c r="G37" s="56">
        <f>VLOOKUP(A37,[1]!Tableau_cotisants,7,FALSE)</f>
        <v>0</v>
      </c>
      <c r="H37" s="58">
        <f>VLOOKUP(A37,[1]!Tableau_cotisants,8,FALSE)</f>
        <v>23531</v>
      </c>
      <c r="I37" s="58" t="str">
        <f t="shared" si="6"/>
        <v>54 an(s) 11 mois et 19 jour(s)</v>
      </c>
      <c r="J37" s="56" t="str">
        <f>VLOOKUP(A37,[1]!Tableau_cotisants,10,FALSE)</f>
        <v>SEGONZAC</v>
      </c>
      <c r="K37" s="57" t="str">
        <f>VLOOKUP(A37,[1]!Tableau_cotisants,11,FALSE)</f>
        <v>Champagne</v>
      </c>
      <c r="L37" s="6"/>
      <c r="M37" s="5">
        <v>1</v>
      </c>
      <c r="N37" s="27"/>
      <c r="O37" s="26">
        <v>1</v>
      </c>
      <c r="P37" s="74"/>
      <c r="Q37" s="55"/>
      <c r="R37" s="55"/>
      <c r="S37" s="55"/>
    </row>
    <row r="38" spans="1:19" ht="12" customHeight="1">
      <c r="A38" s="110" t="s">
        <v>158</v>
      </c>
      <c r="B38" s="56" t="str">
        <f>VLOOKUP(A38,[1]!Tableau_cotisants,2,FALSE)</f>
        <v>MENON</v>
      </c>
      <c r="C38" s="56" t="str">
        <f>VLOOKUP(A38,[1]!Tableau_cotisants,3,FALSE)</f>
        <v>MENON</v>
      </c>
      <c r="D38" s="56" t="str">
        <f>VLOOKUP(A38,[1]!Tableau_cotisants,4,FALSE)</f>
        <v>Caroline</v>
      </c>
      <c r="E38" s="57">
        <f>VLOOKUP(A38,[1]!Tableau_cotisants,5,FALSE)</f>
        <v>0</v>
      </c>
      <c r="F38" s="56">
        <f>VLOOKUP(A38,[1]!Tableau_cotisants,6,FALSE)</f>
        <v>1</v>
      </c>
      <c r="G38" s="56">
        <f>VLOOKUP(A38,[1]!Tableau_cotisants,7,FALSE)</f>
        <v>0</v>
      </c>
      <c r="H38" s="58">
        <f>VLOOKUP(A38,[1]!Tableau_cotisants,8,FALSE)</f>
        <v>29713</v>
      </c>
      <c r="I38" s="58" t="str">
        <f t="shared" si="6"/>
        <v>38 an(s) 0 mois et 15 jour(s)</v>
      </c>
      <c r="J38" s="56" t="str">
        <f>VLOOKUP(A38,[1]!Tableau_cotisants,10,FALSE)</f>
        <v>Genté</v>
      </c>
      <c r="K38" s="57" t="str">
        <f>VLOOKUP(A38,[1]!Tableau_cotisants,11,FALSE)</f>
        <v>Champagne</v>
      </c>
      <c r="L38" s="6"/>
      <c r="M38" s="5">
        <v>1</v>
      </c>
      <c r="N38" s="27"/>
      <c r="O38" s="26">
        <v>1</v>
      </c>
      <c r="P38" s="74"/>
      <c r="Q38" s="55"/>
      <c r="R38" s="55"/>
      <c r="S38" s="55"/>
    </row>
    <row r="39" spans="1:19" ht="12" customHeight="1">
      <c r="A39" s="110" t="s">
        <v>159</v>
      </c>
      <c r="B39" s="56" t="str">
        <f>VLOOKUP(A39,[1]!Tableau_cotisants,2,FALSE)</f>
        <v>MENON</v>
      </c>
      <c r="C39" s="56" t="str">
        <f>VLOOKUP(A39,[1]!Tableau_cotisants,3,FALSE)</f>
        <v>MENON</v>
      </c>
      <c r="D39" s="56" t="str">
        <f>VLOOKUP(A39,[1]!Tableau_cotisants,4,FALSE)</f>
        <v>Victor</v>
      </c>
      <c r="E39" s="57">
        <f>VLOOKUP(A39,[1]!Tableau_cotisants,5,FALSE)</f>
        <v>0</v>
      </c>
      <c r="F39" s="56">
        <f>VLOOKUP(A39,[1]!Tableau_cotisants,6,FALSE)</f>
        <v>0</v>
      </c>
      <c r="G39" s="56">
        <f>VLOOKUP(A39,[1]!Tableau_cotisants,7,FALSE)</f>
        <v>1</v>
      </c>
      <c r="H39" s="58">
        <f>VLOOKUP(A39,[1]!Tableau_cotisants,8,FALSE)</f>
        <v>40687</v>
      </c>
      <c r="I39" s="58" t="str">
        <f t="shared" si="6"/>
        <v>7 an(s) 11 mois et 28 jour(s)</v>
      </c>
      <c r="J39" s="56" t="str">
        <f>VLOOKUP(A39,[1]!Tableau_cotisants,10,FALSE)</f>
        <v>Genté</v>
      </c>
      <c r="K39" s="57" t="str">
        <f>VLOOKUP(A39,[1]!Tableau_cotisants,11,FALSE)</f>
        <v>Champagne</v>
      </c>
      <c r="L39" s="6"/>
      <c r="M39" s="5">
        <v>1</v>
      </c>
      <c r="N39" s="27"/>
      <c r="O39" s="26">
        <v>1</v>
      </c>
      <c r="P39" s="74"/>
      <c r="Q39" s="55"/>
      <c r="R39" s="55"/>
      <c r="S39" s="55"/>
    </row>
    <row r="40" spans="1:19" ht="12" customHeight="1">
      <c r="A40" s="117" t="s">
        <v>125</v>
      </c>
      <c r="B40" s="56" t="str">
        <f>VLOOKUP(A40,[1]!Tableau_cotisants,2,FALSE)</f>
        <v>SANSAUD/MOREAU</v>
      </c>
      <c r="C40" s="56" t="str">
        <f>VLOOKUP(A40,[1]!Tableau_cotisants,3,FALSE)</f>
        <v>MOREAU</v>
      </c>
      <c r="D40" s="56" t="str">
        <f>VLOOKUP(A40,[1]!Tableau_cotisants,4,FALSE)</f>
        <v>Emmanuelle</v>
      </c>
      <c r="E40" s="57">
        <f>VLOOKUP(A40,[1]!Tableau_cotisants,5,FALSE)</f>
        <v>0</v>
      </c>
      <c r="F40" s="56">
        <f>VLOOKUP(A40,[1]!Tableau_cotisants,6,FALSE)</f>
        <v>1</v>
      </c>
      <c r="G40" s="56">
        <f>VLOOKUP(A40,[1]!Tableau_cotisants,7,FALSE)</f>
        <v>0</v>
      </c>
      <c r="H40" s="58">
        <f>VLOOKUP(A40,[1]!Tableau_cotisants,8,FALSE)</f>
        <v>29187</v>
      </c>
      <c r="I40" s="58" t="str">
        <f t="shared" si="6"/>
        <v>39 an(s) 5 mois et 24 jour(s)</v>
      </c>
      <c r="J40" s="56" t="str">
        <f>VLOOKUP(A40,[1]!Tableau_cotisants,10,FALSE)</f>
        <v>SEGONZAC</v>
      </c>
      <c r="K40" s="57" t="str">
        <f>VLOOKUP(A40,[1]!Tableau_cotisants,11,FALSE)</f>
        <v>Champagne</v>
      </c>
      <c r="L40" s="6"/>
      <c r="M40" s="5">
        <v>1</v>
      </c>
      <c r="N40" s="27"/>
      <c r="O40" s="26"/>
      <c r="P40" s="74">
        <v>1</v>
      </c>
      <c r="Q40" s="55"/>
      <c r="R40" s="55"/>
      <c r="S40" s="55"/>
    </row>
    <row r="41" spans="1:19" ht="12" customHeight="1">
      <c r="A41" s="117" t="s">
        <v>126</v>
      </c>
      <c r="B41" s="56" t="str">
        <f>VLOOKUP(A41,[1]!Tableau_cotisants,2,FALSE)</f>
        <v>SANSAUD/MOREAU</v>
      </c>
      <c r="C41" s="56" t="str">
        <f>VLOOKUP(A41,[1]!Tableau_cotisants,3,FALSE)</f>
        <v>SANSAUD</v>
      </c>
      <c r="D41" s="56" t="str">
        <f>VLOOKUP(A41,[1]!Tableau_cotisants,4,FALSE)</f>
        <v>Ethan</v>
      </c>
      <c r="E41" s="57">
        <f>VLOOKUP(A41,[1]!Tableau_cotisants,5,FALSE)</f>
        <v>0</v>
      </c>
      <c r="F41" s="56">
        <f>VLOOKUP(A41,[1]!Tableau_cotisants,6,FALSE)</f>
        <v>0</v>
      </c>
      <c r="G41" s="56">
        <f>VLOOKUP(A41,[1]!Tableau_cotisants,7,FALSE)</f>
        <v>1</v>
      </c>
      <c r="H41" s="58">
        <f>VLOOKUP(A41,[1]!Tableau_cotisants,8,FALSE)</f>
        <v>41015</v>
      </c>
      <c r="I41" s="58" t="str">
        <f t="shared" si="6"/>
        <v>7 an(s) 1 mois et 6 jour(s)</v>
      </c>
      <c r="J41" s="56" t="str">
        <f>VLOOKUP(A41,[1]!Tableau_cotisants,10,FALSE)</f>
        <v>SEGONZAC</v>
      </c>
      <c r="K41" s="57" t="str">
        <f>VLOOKUP(A41,[1]!Tableau_cotisants,11,FALSE)</f>
        <v>Champagne</v>
      </c>
      <c r="L41" s="6"/>
      <c r="M41" s="5">
        <v>1</v>
      </c>
      <c r="N41" s="27"/>
      <c r="O41" s="26"/>
      <c r="P41" s="74">
        <v>1</v>
      </c>
      <c r="Q41" s="55"/>
      <c r="R41" s="55"/>
      <c r="S41" s="55"/>
    </row>
    <row r="42" spans="1:19" ht="12" customHeight="1">
      <c r="A42" s="117" t="s">
        <v>127</v>
      </c>
      <c r="B42" s="56" t="str">
        <f>VLOOKUP(A42,[1]!Tableau_cotisants,2,FALSE)</f>
        <v>SANSAUD/MOREAU</v>
      </c>
      <c r="C42" s="56" t="str">
        <f>VLOOKUP(A42,[1]!Tableau_cotisants,3,FALSE)</f>
        <v>SANSAUD</v>
      </c>
      <c r="D42" s="56" t="str">
        <f>VLOOKUP(A42,[1]!Tableau_cotisants,4,FALSE)</f>
        <v>Axel</v>
      </c>
      <c r="E42" s="57">
        <f>VLOOKUP(A42,[1]!Tableau_cotisants,5,FALSE)</f>
        <v>0</v>
      </c>
      <c r="F42" s="56">
        <f>VLOOKUP(A42,[1]!Tableau_cotisants,6,FALSE)</f>
        <v>0</v>
      </c>
      <c r="G42" s="56">
        <f>VLOOKUP(A42,[1]!Tableau_cotisants,7,FALSE)</f>
        <v>1</v>
      </c>
      <c r="H42" s="58">
        <f>VLOOKUP(A42,[1]!Tableau_cotisants,8,FALSE)</f>
        <v>42407</v>
      </c>
      <c r="I42" s="58" t="str">
        <f t="shared" si="6"/>
        <v>3 an(s) 3 mois et 15 jour(s)</v>
      </c>
      <c r="J42" s="56" t="str">
        <f>VLOOKUP(A42,[1]!Tableau_cotisants,10,FALSE)</f>
        <v>SEGONZAC</v>
      </c>
      <c r="K42" s="57" t="str">
        <f>VLOOKUP(A42,[1]!Tableau_cotisants,11,FALSE)</f>
        <v>Champagne</v>
      </c>
      <c r="L42" s="6"/>
      <c r="M42" s="5">
        <v>1</v>
      </c>
      <c r="N42" s="27"/>
      <c r="O42" s="26"/>
      <c r="P42" s="74">
        <v>1</v>
      </c>
      <c r="Q42" s="55"/>
      <c r="R42" s="55"/>
      <c r="S42" s="55"/>
    </row>
    <row r="43" spans="1:19" ht="12" customHeight="1">
      <c r="A43" s="153"/>
      <c r="B43" s="56"/>
      <c r="C43" s="56"/>
      <c r="D43" s="56"/>
      <c r="E43" s="57"/>
      <c r="F43" s="56"/>
      <c r="G43" s="56"/>
      <c r="H43" s="58"/>
      <c r="I43" s="58"/>
      <c r="J43" s="56"/>
      <c r="K43" s="57"/>
      <c r="L43" s="6"/>
      <c r="M43" s="5"/>
      <c r="N43" s="27"/>
      <c r="O43" s="26"/>
      <c r="P43" s="74"/>
      <c r="Q43" s="55"/>
      <c r="R43" s="55"/>
      <c r="S43" s="55"/>
    </row>
    <row r="44" spans="1:19" ht="12" customHeight="1" thickBot="1">
      <c r="A44" s="153"/>
      <c r="B44" s="56"/>
      <c r="C44" s="56"/>
      <c r="D44" s="56"/>
      <c r="E44" s="57"/>
      <c r="F44" s="56"/>
      <c r="G44" s="56"/>
      <c r="H44" s="58"/>
      <c r="I44" s="58"/>
      <c r="J44" s="56"/>
      <c r="K44" s="57"/>
      <c r="L44" s="6"/>
      <c r="M44" s="5"/>
      <c r="N44" s="27"/>
      <c r="O44" s="26"/>
      <c r="P44" s="74"/>
      <c r="Q44" s="55"/>
      <c r="R44" s="55"/>
      <c r="S44" s="55"/>
    </row>
    <row r="45" spans="1:19" ht="19.5" thickBot="1">
      <c r="A45" s="153"/>
      <c r="B45" s="4"/>
      <c r="C45" s="4"/>
      <c r="D45" s="4"/>
      <c r="E45" s="4">
        <f>SUM(E5:E44)</f>
        <v>0</v>
      </c>
      <c r="F45" s="4">
        <f>SUM(F5:F44)</f>
        <v>12</v>
      </c>
      <c r="G45" s="4">
        <f>SUM(G5:G44)</f>
        <v>7</v>
      </c>
      <c r="H45" s="4"/>
      <c r="I45" s="4"/>
      <c r="J45" s="4"/>
      <c r="K45" s="18">
        <f>SUM(K8:K44)</f>
        <v>0</v>
      </c>
      <c r="L45" s="93">
        <f t="shared" ref="L45:S45" si="7">SUM(L5:L44)</f>
        <v>5</v>
      </c>
      <c r="M45" s="19">
        <f t="shared" si="7"/>
        <v>14</v>
      </c>
      <c r="N45" s="20">
        <f t="shared" si="7"/>
        <v>7</v>
      </c>
      <c r="O45" s="28">
        <f t="shared" si="7"/>
        <v>3</v>
      </c>
      <c r="P45" s="72">
        <f t="shared" si="7"/>
        <v>9</v>
      </c>
      <c r="Q45" s="79">
        <f t="shared" si="7"/>
        <v>0</v>
      </c>
      <c r="R45" s="80">
        <f t="shared" si="7"/>
        <v>0</v>
      </c>
      <c r="S45" s="81">
        <f t="shared" si="7"/>
        <v>0</v>
      </c>
    </row>
    <row r="46" spans="1:19" ht="24" thickBot="1">
      <c r="B46" t="s">
        <v>28</v>
      </c>
      <c r="C46" s="98"/>
      <c r="F46" s="201">
        <f>F45+G45</f>
        <v>19</v>
      </c>
      <c r="G46" s="201"/>
      <c r="L46" s="201">
        <f>L45+M45</f>
        <v>19</v>
      </c>
      <c r="M46" s="201"/>
      <c r="N46" s="202">
        <f>N45+O45+P45</f>
        <v>19</v>
      </c>
      <c r="O46" s="202"/>
      <c r="P46" s="202"/>
      <c r="Q46" s="166"/>
      <c r="R46" s="166"/>
      <c r="S46" s="166"/>
    </row>
    <row r="47" spans="1:19" ht="15.75" thickBot="1">
      <c r="B47" t="s">
        <v>75</v>
      </c>
      <c r="L47" s="22">
        <f>L45+'15 mai 2019'!L46</f>
        <v>174</v>
      </c>
      <c r="M47" s="23">
        <f>M45+'15 mai 2019'!M46</f>
        <v>150</v>
      </c>
      <c r="N47" s="24">
        <f>N45+'15 mai 2019'!N46</f>
        <v>168</v>
      </c>
      <c r="O47" s="25">
        <f>O45+'15 mai 2019'!O46</f>
        <v>30</v>
      </c>
      <c r="P47" s="84">
        <f>P45+'15 mai 2019'!P46</f>
        <v>126</v>
      </c>
      <c r="Q47" s="82">
        <f>Q45+'15 mai 2019'!Q46</f>
        <v>14</v>
      </c>
      <c r="R47" s="90">
        <f>R45+'15 mai 2019'!R46</f>
        <v>2</v>
      </c>
      <c r="S47" s="83">
        <f>S45+'15 mai 2019'!S46</f>
        <v>13</v>
      </c>
    </row>
    <row r="48" spans="1:19" ht="33" thickBot="1">
      <c r="L48" s="203">
        <f>L46+'15 mai 2019'!L47:M47</f>
        <v>324</v>
      </c>
      <c r="M48" s="204"/>
      <c r="N48" s="205">
        <f>N46+'15 mai 2019'!N47:P47</f>
        <v>324</v>
      </c>
      <c r="O48" s="206"/>
      <c r="P48" s="207"/>
    </row>
    <row r="49" spans="1:6">
      <c r="B49" t="s">
        <v>181</v>
      </c>
      <c r="C49" s="142" t="s">
        <v>185</v>
      </c>
      <c r="D49" t="s">
        <v>181</v>
      </c>
      <c r="E49" s="208" t="s">
        <v>182</v>
      </c>
      <c r="F49" s="209"/>
    </row>
    <row r="50" spans="1:6" ht="45">
      <c r="A50" s="140" t="s">
        <v>183</v>
      </c>
      <c r="B50" s="138">
        <v>1</v>
      </c>
      <c r="C50" s="139">
        <f>B50+'15 mai 2019'!C49</f>
        <v>13</v>
      </c>
      <c r="D50" s="138">
        <v>4</v>
      </c>
      <c r="E50" s="195">
        <f>D50+'15 mai 2019'!E49:F49</f>
        <v>88</v>
      </c>
      <c r="F50" s="196"/>
    </row>
    <row r="51" spans="1:6" ht="32.25">
      <c r="A51" s="141" t="s">
        <v>184</v>
      </c>
      <c r="B51" s="138"/>
      <c r="C51" s="139">
        <f>B51+'15 mai 2019'!C50</f>
        <v>13</v>
      </c>
      <c r="D51" s="138"/>
      <c r="E51" s="195">
        <f>D51+'15 mai 2019'!E50:F50</f>
        <v>89</v>
      </c>
      <c r="F51" s="196"/>
    </row>
    <row r="52" spans="1:6">
      <c r="B52" s="166">
        <f>B51+B50</f>
        <v>1</v>
      </c>
      <c r="C52" s="166">
        <f>C51+C50</f>
        <v>26</v>
      </c>
      <c r="D52" s="166">
        <f>D51+D50</f>
        <v>4</v>
      </c>
      <c r="E52" s="210">
        <f>E51+E50</f>
        <v>177</v>
      </c>
      <c r="F52" s="210"/>
    </row>
    <row r="54" spans="1:6">
      <c r="D54" t="s">
        <v>262</v>
      </c>
    </row>
  </sheetData>
  <mergeCells count="10">
    <mergeCell ref="L46:M46"/>
    <mergeCell ref="N46:P46"/>
    <mergeCell ref="L48:M48"/>
    <mergeCell ref="N48:P48"/>
    <mergeCell ref="E49:F49"/>
    <mergeCell ref="E50:F50"/>
    <mergeCell ref="E51:F51"/>
    <mergeCell ref="E52:F52"/>
    <mergeCell ref="F3:G3"/>
    <mergeCell ref="F46:G46"/>
  </mergeCells>
  <conditionalFormatting sqref="N48">
    <cfRule type="cellIs" dxfId="25" priority="4" operator="equal">
      <formula>$N$47+$O$47</formula>
    </cfRule>
  </conditionalFormatting>
  <conditionalFormatting sqref="N48">
    <cfRule type="cellIs" dxfId="24" priority="3" operator="equal">
      <formula>$N$53+$O$53</formula>
    </cfRule>
  </conditionalFormatting>
  <conditionalFormatting sqref="F46:G46 N46">
    <cfRule type="cellIs" dxfId="23" priority="1" operator="notEqual">
      <formula>$L$46</formula>
    </cfRule>
    <cfRule type="cellIs" dxfId="22" priority="2" operator="equal">
      <formula>$L$46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8"/>
  <dimension ref="A1:AI335"/>
  <sheetViews>
    <sheetView tabSelected="1" zoomScale="85" zoomScaleNormal="85" workbookViewId="0">
      <pane ySplit="3" topLeftCell="A187" activePane="bottomLeft" state="frozen"/>
      <selection pane="bottomLeft" activeCell="E192" sqref="E192"/>
    </sheetView>
  </sheetViews>
  <sheetFormatPr baseColWidth="10" defaultRowHeight="15"/>
  <cols>
    <col min="1" max="1" width="7.5703125" customWidth="1"/>
    <col min="2" max="2" width="12.140625" customWidth="1"/>
    <col min="3" max="3" width="7.5703125" bestFit="1" customWidth="1"/>
    <col min="4" max="4" width="23.85546875" customWidth="1"/>
    <col min="5" max="5" width="19.85546875" bestFit="1" customWidth="1"/>
    <col min="6" max="6" width="10" bestFit="1" customWidth="1"/>
    <col min="7" max="7" width="4.140625" customWidth="1"/>
    <col min="8" max="9" width="7.5703125" customWidth="1"/>
    <col min="10" max="11" width="10.42578125" customWidth="1"/>
    <col min="12" max="12" width="14.28515625" customWidth="1"/>
    <col min="13" max="13" width="11.85546875" bestFit="1" customWidth="1"/>
    <col min="14" max="14" width="7.7109375" bestFit="1" customWidth="1"/>
    <col min="15" max="15" width="7.42578125" customWidth="1"/>
    <col min="16" max="16" width="5.5703125" customWidth="1"/>
    <col min="17" max="18" width="5.7109375" customWidth="1"/>
    <col min="19" max="19" width="3.85546875" customWidth="1"/>
    <col min="20" max="20" width="4.28515625" customWidth="1"/>
    <col min="21" max="21" width="3.85546875" customWidth="1"/>
    <col min="22" max="22" width="6.42578125" bestFit="1" customWidth="1"/>
  </cols>
  <sheetData>
    <row r="1" spans="1:35" ht="27" thickBot="1">
      <c r="D1" s="211" t="s">
        <v>87</v>
      </c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169"/>
      <c r="S1" s="51"/>
      <c r="T1" s="41"/>
      <c r="U1" s="41"/>
      <c r="V1" s="91"/>
      <c r="X1" t="s">
        <v>27</v>
      </c>
      <c r="AB1" t="s">
        <v>33</v>
      </c>
      <c r="AD1" s="30">
        <v>14</v>
      </c>
    </row>
    <row r="2" spans="1:35" ht="19.5" thickBot="1">
      <c r="H2" s="212" t="s">
        <v>6</v>
      </c>
      <c r="I2" s="213"/>
      <c r="X2" t="s">
        <v>31</v>
      </c>
      <c r="Y2" s="16">
        <v>43647</v>
      </c>
    </row>
    <row r="3" spans="1:35" ht="67.5" thickBot="1">
      <c r="A3" s="42" t="s">
        <v>51</v>
      </c>
      <c r="B3" s="46" t="s">
        <v>8</v>
      </c>
      <c r="C3" s="46" t="s">
        <v>25</v>
      </c>
      <c r="D3" s="47" t="s">
        <v>10</v>
      </c>
      <c r="E3" s="47" t="s">
        <v>0</v>
      </c>
      <c r="F3" s="47" t="s">
        <v>1</v>
      </c>
      <c r="G3" s="47" t="s">
        <v>11</v>
      </c>
      <c r="H3" s="47" t="s">
        <v>2</v>
      </c>
      <c r="I3" s="47" t="s">
        <v>3</v>
      </c>
      <c r="J3" s="47" t="s">
        <v>12</v>
      </c>
      <c r="K3" s="42" t="s">
        <v>26</v>
      </c>
      <c r="L3" s="42" t="s">
        <v>4</v>
      </c>
      <c r="M3" s="42" t="s">
        <v>9</v>
      </c>
      <c r="N3" s="42" t="s">
        <v>5</v>
      </c>
      <c r="O3" s="42" t="s">
        <v>53</v>
      </c>
      <c r="P3" s="70" t="s">
        <v>64</v>
      </c>
      <c r="Q3" s="70" t="s">
        <v>61</v>
      </c>
      <c r="R3" s="73" t="s">
        <v>65</v>
      </c>
      <c r="S3" s="75" t="s">
        <v>29</v>
      </c>
      <c r="T3" s="43" t="s">
        <v>52</v>
      </c>
      <c r="U3" s="89" t="s">
        <v>60</v>
      </c>
      <c r="V3" s="92" t="s">
        <v>74</v>
      </c>
      <c r="X3" s="45" t="s">
        <v>32</v>
      </c>
    </row>
    <row r="4" spans="1:35" ht="15.75" thickBot="1">
      <c r="A4" s="172"/>
      <c r="B4" s="171"/>
      <c r="C4" s="103" t="s">
        <v>94</v>
      </c>
      <c r="D4" s="52" t="str">
        <f>VLOOKUP(C4,[1]!Tableau_cotisants,2,FALSE)</f>
        <v>COZIC</v>
      </c>
      <c r="E4" s="52" t="str">
        <f>VLOOKUP(C4,[1]!Tableau_cotisants,3,FALSE)</f>
        <v>COZIC</v>
      </c>
      <c r="F4" s="52" t="str">
        <f>VLOOKUP(C4,[1]!Tableau_cotisants,4,FALSE)</f>
        <v>Jennifer</v>
      </c>
      <c r="G4" s="53">
        <f>VLOOKUP(C4,[1]!Tableau_cotisants,5,FALSE)</f>
        <v>1</v>
      </c>
      <c r="H4" s="52">
        <f>VLOOKUP(C4,[1]!Tableau_cotisants,6,FALSE)</f>
        <v>1</v>
      </c>
      <c r="I4" s="52">
        <f>VLOOKUP(C4,[1]!Tableau_cotisants,7,FALSE)</f>
        <v>0</v>
      </c>
      <c r="J4" s="54">
        <f>VLOOKUP(C4,[1]!Tableau_cotisants,8,FALSE)</f>
        <v>30554</v>
      </c>
      <c r="K4" s="54" t="str">
        <f t="shared" ref="K4:K67" si="0">DATEDIF(J4,Date_de_reference,"y") &amp; " an(s) " &amp; DATEDIF(J4,Date_de_reference,"ym") &amp; " mois et " &amp; DATEDIF(J4,Date_de_reference,"md") &amp; " jour(s)"</f>
        <v>35 an(s) 10 mois et 5 jour(s)</v>
      </c>
      <c r="L4" s="52" t="str">
        <f>VLOOKUP(C4,[1]!Tableau_cotisants,10,FALSE)</f>
        <v>Chateaubernard</v>
      </c>
      <c r="M4" s="53" t="str">
        <f>VLOOKUP(C4,[1]!Tableau_cotisants,11,FALSE)</f>
        <v>Cognac</v>
      </c>
      <c r="N4" s="53">
        <v>1</v>
      </c>
      <c r="O4" s="57"/>
      <c r="P4" s="68">
        <v>1</v>
      </c>
      <c r="Q4" s="86"/>
      <c r="R4" s="87"/>
      <c r="S4" s="55"/>
      <c r="T4" s="55"/>
      <c r="U4" s="55"/>
      <c r="V4" s="168">
        <f t="shared" ref="V4:V67" si="1">N4+O4</f>
        <v>1</v>
      </c>
      <c r="X4" s="214" t="s">
        <v>88</v>
      </c>
      <c r="Y4" s="215"/>
      <c r="Z4" s="215"/>
      <c r="AA4" s="215"/>
      <c r="AB4" s="215"/>
      <c r="AC4" s="215"/>
      <c r="AD4" s="215"/>
      <c r="AE4" s="215"/>
      <c r="AF4" s="9"/>
      <c r="AG4" s="9"/>
      <c r="AH4" s="9"/>
    </row>
    <row r="5" spans="1:35" ht="17.25" thickTop="1" thickBot="1">
      <c r="A5" s="172"/>
      <c r="B5" s="171"/>
      <c r="C5" s="103" t="s">
        <v>94</v>
      </c>
      <c r="D5" s="52" t="str">
        <f>VLOOKUP(C5,[1]!Tableau_cotisants,2,FALSE)</f>
        <v>COZIC</v>
      </c>
      <c r="E5" s="52" t="str">
        <f>VLOOKUP(C5,[1]!Tableau_cotisants,3,FALSE)</f>
        <v>COZIC</v>
      </c>
      <c r="F5" s="52" t="str">
        <f>VLOOKUP(C5,[1]!Tableau_cotisants,4,FALSE)</f>
        <v>Jennifer</v>
      </c>
      <c r="G5" s="53">
        <f>VLOOKUP(C5,[1]!Tableau_cotisants,5,FALSE)</f>
        <v>1</v>
      </c>
      <c r="H5" s="52">
        <f>VLOOKUP(C5,[1]!Tableau_cotisants,6,FALSE)</f>
        <v>1</v>
      </c>
      <c r="I5" s="52">
        <f>VLOOKUP(C5,[1]!Tableau_cotisants,7,FALSE)</f>
        <v>0</v>
      </c>
      <c r="J5" s="54">
        <f>VLOOKUP(C5,[1]!Tableau_cotisants,8,FALSE)</f>
        <v>30554</v>
      </c>
      <c r="K5" s="54" t="str">
        <f t="shared" si="0"/>
        <v>35 an(s) 10 mois et 5 jour(s)</v>
      </c>
      <c r="L5" s="52" t="str">
        <f>VLOOKUP(C5,[1]!Tableau_cotisants,10,FALSE)</f>
        <v>Chateaubernard</v>
      </c>
      <c r="M5" s="53" t="str">
        <f>VLOOKUP(C5,[1]!Tableau_cotisants,11,FALSE)</f>
        <v>Cognac</v>
      </c>
      <c r="N5" s="6">
        <v>1</v>
      </c>
      <c r="O5" s="5"/>
      <c r="P5" s="27"/>
      <c r="Q5" s="192"/>
      <c r="R5" s="194">
        <v>1</v>
      </c>
      <c r="S5" s="55"/>
      <c r="T5" s="55"/>
      <c r="U5" s="55"/>
      <c r="V5" s="168">
        <f t="shared" si="1"/>
        <v>1</v>
      </c>
      <c r="AA5" s="12" t="s">
        <v>17</v>
      </c>
      <c r="AB5" s="12" t="s">
        <v>15</v>
      </c>
      <c r="AC5" s="13" t="s">
        <v>16</v>
      </c>
      <c r="AD5" s="12" t="s">
        <v>13</v>
      </c>
      <c r="AE5" s="13" t="s">
        <v>18</v>
      </c>
      <c r="AF5" s="14" t="s">
        <v>19</v>
      </c>
      <c r="AG5" s="14" t="s">
        <v>84</v>
      </c>
      <c r="AH5" s="11" t="s">
        <v>22</v>
      </c>
    </row>
    <row r="6" spans="1:35" ht="16.5" thickTop="1" thickBot="1">
      <c r="A6" s="7"/>
      <c r="B6" s="7"/>
      <c r="C6" s="103" t="s">
        <v>94</v>
      </c>
      <c r="D6" s="52" t="str">
        <f>VLOOKUP(C6,[1]!Tableau_cotisants,2,FALSE)</f>
        <v>COZIC</v>
      </c>
      <c r="E6" s="52" t="str">
        <f>VLOOKUP(C6,[1]!Tableau_cotisants,3,FALSE)</f>
        <v>COZIC</v>
      </c>
      <c r="F6" s="52" t="str">
        <f>VLOOKUP(C6,[1]!Tableau_cotisants,4,FALSE)</f>
        <v>Jennifer</v>
      </c>
      <c r="G6" s="53">
        <f>VLOOKUP(C6,[1]!Tableau_cotisants,5,FALSE)</f>
        <v>1</v>
      </c>
      <c r="H6" s="52">
        <f>VLOOKUP(C6,[1]!Tableau_cotisants,6,FALSE)</f>
        <v>1</v>
      </c>
      <c r="I6" s="52">
        <f>VLOOKUP(C6,[1]!Tableau_cotisants,7,FALSE)</f>
        <v>0</v>
      </c>
      <c r="J6" s="54">
        <f>VLOOKUP(C6,[1]!Tableau_cotisants,8,FALSE)</f>
        <v>30554</v>
      </c>
      <c r="K6" s="54" t="str">
        <f t="shared" si="0"/>
        <v>35 an(s) 10 mois et 5 jour(s)</v>
      </c>
      <c r="L6" s="52" t="str">
        <f>VLOOKUP(C6,[1]!Tableau_cotisants,10,FALSE)</f>
        <v>Chateaubernard</v>
      </c>
      <c r="M6" s="53" t="str">
        <f>VLOOKUP(C6,[1]!Tableau_cotisants,11,FALSE)</f>
        <v>Cognac</v>
      </c>
      <c r="N6" s="6">
        <v>1</v>
      </c>
      <c r="O6" s="5"/>
      <c r="P6" s="27"/>
      <c r="Q6" s="192"/>
      <c r="R6" s="194">
        <v>1</v>
      </c>
      <c r="S6" s="55"/>
      <c r="T6" s="55"/>
      <c r="U6" s="55"/>
      <c r="V6" s="168">
        <f t="shared" si="1"/>
        <v>1</v>
      </c>
      <c r="X6" s="216" t="s">
        <v>14</v>
      </c>
      <c r="Y6" s="217"/>
      <c r="Z6" s="218"/>
      <c r="AA6" s="10">
        <f>COUNTIF(TERRITOIRE,"Chateauneuf")</f>
        <v>4</v>
      </c>
      <c r="AB6" s="10">
        <f>COUNTIF(TERRITOIRE,"Champagne")</f>
        <v>161</v>
      </c>
      <c r="AC6" s="10">
        <f>COUNTIF(TERRITOIRE,"Cognac")</f>
        <v>110</v>
      </c>
      <c r="AD6" s="10">
        <f>COUNTIF(TERRITOIRE,"Jarnac")</f>
        <v>37</v>
      </c>
      <c r="AE6" s="10">
        <f>COUNTIF(TERRITOIRE,"Hors_CDA")</f>
        <v>6</v>
      </c>
      <c r="AF6" s="10">
        <f>COUNTIF(TERRITOIRE,"Hors_Charente")</f>
        <v>5</v>
      </c>
      <c r="AG6" s="10">
        <f>COUNTIF(TERRITOIRE,"Inconnu")</f>
        <v>0</v>
      </c>
      <c r="AH6" s="107">
        <f>AA6+AB6+AC6+AD6+AE6+AF6+AG6</f>
        <v>323</v>
      </c>
    </row>
    <row r="7" spans="1:35" ht="16.5" thickTop="1" thickBot="1">
      <c r="A7" s="7"/>
      <c r="B7" s="7"/>
      <c r="C7" s="174" t="s">
        <v>94</v>
      </c>
      <c r="D7" s="52" t="str">
        <f>VLOOKUP(C7,[1]!Tableau_cotisants,2,FALSE)</f>
        <v>COZIC</v>
      </c>
      <c r="E7" s="52" t="str">
        <f>VLOOKUP(C7,[1]!Tableau_cotisants,3,FALSE)</f>
        <v>COZIC</v>
      </c>
      <c r="F7" s="52" t="str">
        <f>VLOOKUP(C7,[1]!Tableau_cotisants,4,FALSE)</f>
        <v>Jennifer</v>
      </c>
      <c r="G7" s="53">
        <f>VLOOKUP(C7,[1]!Tableau_cotisants,5,FALSE)</f>
        <v>1</v>
      </c>
      <c r="H7" s="52">
        <f>VLOOKUP(C7,[1]!Tableau_cotisants,6,FALSE)</f>
        <v>1</v>
      </c>
      <c r="I7" s="52">
        <f>VLOOKUP(C7,[1]!Tableau_cotisants,7,FALSE)</f>
        <v>0</v>
      </c>
      <c r="J7" s="54">
        <f>VLOOKUP(C7,[1]!Tableau_cotisants,8,FALSE)</f>
        <v>30554</v>
      </c>
      <c r="K7" s="54" t="str">
        <f t="shared" si="0"/>
        <v>35 an(s) 10 mois et 5 jour(s)</v>
      </c>
      <c r="L7" s="52" t="str">
        <f>VLOOKUP(C7,[1]!Tableau_cotisants,10,FALSE)</f>
        <v>Chateaubernard</v>
      </c>
      <c r="M7" s="53" t="str">
        <f>VLOOKUP(C7,[1]!Tableau_cotisants,11,FALSE)</f>
        <v>Cognac</v>
      </c>
      <c r="N7" s="6">
        <v>1</v>
      </c>
      <c r="O7" s="5"/>
      <c r="P7" s="27"/>
      <c r="Q7" s="192"/>
      <c r="R7" s="194">
        <v>1</v>
      </c>
      <c r="S7" s="55"/>
      <c r="T7" s="55"/>
      <c r="U7" s="55"/>
      <c r="V7" s="168">
        <f t="shared" si="1"/>
        <v>1</v>
      </c>
      <c r="X7" s="220" t="s">
        <v>20</v>
      </c>
      <c r="Y7" s="221"/>
      <c r="Z7" s="222"/>
      <c r="AA7" s="10">
        <f>SUMIF(TERRITOIRE,"Chateauneuf",matin)</f>
        <v>0</v>
      </c>
      <c r="AB7" s="10">
        <f>SUMIF(TERRITOIRE,"Champagne",matin)</f>
        <v>64</v>
      </c>
      <c r="AC7" s="10">
        <f>SUMIF(TERRITOIRE,"Cognac",matin)</f>
        <v>96</v>
      </c>
      <c r="AD7" s="10">
        <f>SUMIF(TERRITOIRE,"Jarnac",matin)</f>
        <v>11</v>
      </c>
      <c r="AE7" s="10">
        <f>SUMIF(TERRITOIRE,"hors_CDA",matin)</f>
        <v>0</v>
      </c>
      <c r="AF7" s="10">
        <f>SUMIF(TERRITOIRE,"Hors_Charente",matin)</f>
        <v>3</v>
      </c>
      <c r="AG7" s="10">
        <f>SUMIF(TERRITOIRE,"Inconnu",matin)</f>
        <v>0</v>
      </c>
      <c r="AH7" s="107">
        <f>AA7+AB7+AC7+AD7+AE7+AF7+AG7</f>
        <v>174</v>
      </c>
      <c r="AI7" s="35">
        <f>AH7/AH9</f>
        <v>0.53703703703703709</v>
      </c>
    </row>
    <row r="8" spans="1:35" ht="15.75" thickBot="1">
      <c r="A8" s="7"/>
      <c r="B8" s="7"/>
      <c r="C8" s="103" t="s">
        <v>94</v>
      </c>
      <c r="D8" s="52" t="str">
        <f>VLOOKUP(C8,[1]!Tableau_cotisants,2,FALSE)</f>
        <v>COZIC</v>
      </c>
      <c r="E8" s="52" t="str">
        <f>VLOOKUP(C8,[1]!Tableau_cotisants,3,FALSE)</f>
        <v>COZIC</v>
      </c>
      <c r="F8" s="52" t="str">
        <f>VLOOKUP(C8,[1]!Tableau_cotisants,4,FALSE)</f>
        <v>Jennifer</v>
      </c>
      <c r="G8" s="53">
        <f>VLOOKUP(C8,[1]!Tableau_cotisants,5,FALSE)</f>
        <v>1</v>
      </c>
      <c r="H8" s="52">
        <f>VLOOKUP(C8,[1]!Tableau_cotisants,6,FALSE)</f>
        <v>1</v>
      </c>
      <c r="I8" s="52">
        <f>VLOOKUP(C8,[1]!Tableau_cotisants,7,FALSE)</f>
        <v>0</v>
      </c>
      <c r="J8" s="54">
        <f>VLOOKUP(C8,[1]!Tableau_cotisants,8,FALSE)</f>
        <v>30554</v>
      </c>
      <c r="K8" s="54" t="str">
        <f t="shared" si="0"/>
        <v>35 an(s) 10 mois et 5 jour(s)</v>
      </c>
      <c r="L8" s="52" t="str">
        <f>VLOOKUP(C8,[1]!Tableau_cotisants,10,FALSE)</f>
        <v>Chateaubernard</v>
      </c>
      <c r="M8" s="53" t="str">
        <f>VLOOKUP(C8,[1]!Tableau_cotisants,11,FALSE)</f>
        <v>Cognac</v>
      </c>
      <c r="N8" s="6">
        <v>1</v>
      </c>
      <c r="O8" s="5"/>
      <c r="P8" s="27">
        <v>1</v>
      </c>
      <c r="Q8" s="192"/>
      <c r="R8" s="194"/>
      <c r="S8" s="55"/>
      <c r="T8" s="55"/>
      <c r="U8" s="55"/>
      <c r="V8" s="168">
        <f t="shared" si="1"/>
        <v>1</v>
      </c>
      <c r="X8" s="223" t="s">
        <v>21</v>
      </c>
      <c r="Y8" s="224"/>
      <c r="Z8" s="225"/>
      <c r="AA8" s="10">
        <f>SUMIF(TERRITOIRE,"Chateauneuf",Apres_midi)</f>
        <v>4</v>
      </c>
      <c r="AB8" s="10">
        <f>SUMIF(TERRITOIRE,"Champagne",Apres_midi)</f>
        <v>97</v>
      </c>
      <c r="AC8" s="10">
        <f>SUMIF(TERRITOIRE,"Cognac",Apres_midi)</f>
        <v>14</v>
      </c>
      <c r="AD8" s="10">
        <f>SUMIF(TERRITOIRE,"Jarnac",Apres_midi)</f>
        <v>27</v>
      </c>
      <c r="AE8" s="10">
        <f>SUMIF(TERRITOIRE,"Hors_CDA",Apres_midi)</f>
        <v>6</v>
      </c>
      <c r="AF8" s="10">
        <f>SUMIF(TERRITOIRE,"Hors_Charente",Apres_midi)</f>
        <v>2</v>
      </c>
      <c r="AG8" s="10">
        <f>SUMIF(TERRITOIRE,"Inconnu",Apres_midi)</f>
        <v>0</v>
      </c>
      <c r="AH8" s="107">
        <f>AA8+AB8+AC8+AD8+AE8+AF8+AG8</f>
        <v>150</v>
      </c>
      <c r="AI8" s="35">
        <f>AH8/AH9</f>
        <v>0.46296296296296297</v>
      </c>
    </row>
    <row r="9" spans="1:35" ht="16.5" thickTop="1" thickBot="1">
      <c r="A9" s="7"/>
      <c r="B9" s="7"/>
      <c r="C9" s="175" t="s">
        <v>94</v>
      </c>
      <c r="D9" s="52" t="str">
        <f>VLOOKUP(C9,[1]!Tableau_cotisants,2,FALSE)</f>
        <v>COZIC</v>
      </c>
      <c r="E9" s="52" t="str">
        <f>VLOOKUP(C9,[1]!Tableau_cotisants,3,FALSE)</f>
        <v>COZIC</v>
      </c>
      <c r="F9" s="52" t="str">
        <f>VLOOKUP(C9,[1]!Tableau_cotisants,4,FALSE)</f>
        <v>Jennifer</v>
      </c>
      <c r="G9" s="53">
        <f>VLOOKUP(C9,[1]!Tableau_cotisants,5,FALSE)</f>
        <v>1</v>
      </c>
      <c r="H9" s="52">
        <f>VLOOKUP(C9,[1]!Tableau_cotisants,6,FALSE)</f>
        <v>1</v>
      </c>
      <c r="I9" s="52">
        <f>VLOOKUP(C9,[1]!Tableau_cotisants,7,FALSE)</f>
        <v>0</v>
      </c>
      <c r="J9" s="54">
        <f>VLOOKUP(C9,[1]!Tableau_cotisants,8,FALSE)</f>
        <v>30554</v>
      </c>
      <c r="K9" s="54" t="str">
        <f t="shared" si="0"/>
        <v>35 an(s) 10 mois et 5 jour(s)</v>
      </c>
      <c r="L9" s="52" t="str">
        <f>VLOOKUP(C9,[1]!Tableau_cotisants,10,FALSE)</f>
        <v>Chateaubernard</v>
      </c>
      <c r="M9" s="53" t="str">
        <f>VLOOKUP(C9,[1]!Tableau_cotisants,11,FALSE)</f>
        <v>Cognac</v>
      </c>
      <c r="N9" s="6">
        <v>1</v>
      </c>
      <c r="O9" s="5"/>
      <c r="P9" s="27"/>
      <c r="Q9" s="192"/>
      <c r="R9" s="194">
        <v>1</v>
      </c>
      <c r="S9" s="55"/>
      <c r="T9" s="55"/>
      <c r="U9" s="55"/>
      <c r="V9" s="168">
        <f t="shared" si="1"/>
        <v>1</v>
      </c>
      <c r="X9" s="223" t="s">
        <v>89</v>
      </c>
      <c r="Y9" s="224"/>
      <c r="Z9" s="225"/>
      <c r="AA9" s="10">
        <f t="shared" ref="AA9:AF9" si="2">AA7+AA8</f>
        <v>4</v>
      </c>
      <c r="AB9" s="10">
        <f t="shared" si="2"/>
        <v>161</v>
      </c>
      <c r="AC9" s="10">
        <f t="shared" si="2"/>
        <v>110</v>
      </c>
      <c r="AD9" s="10">
        <f t="shared" si="2"/>
        <v>38</v>
      </c>
      <c r="AE9" s="10">
        <f t="shared" si="2"/>
        <v>6</v>
      </c>
      <c r="AF9" s="10">
        <f t="shared" si="2"/>
        <v>5</v>
      </c>
      <c r="AG9" s="10">
        <f>AG7+AG8</f>
        <v>0</v>
      </c>
      <c r="AH9" s="107">
        <f>AA9+AB9+AC9+AD9+AE9+AF9+AG9</f>
        <v>324</v>
      </c>
      <c r="AI9" s="35"/>
    </row>
    <row r="10" spans="1:35" ht="15.75" customHeight="1" thickTop="1" thickBot="1">
      <c r="A10" s="7"/>
      <c r="B10" s="7"/>
      <c r="C10" s="175" t="s">
        <v>94</v>
      </c>
      <c r="D10" s="52" t="str">
        <f>VLOOKUP(C10,[1]!Tableau_cotisants,2,FALSE)</f>
        <v>COZIC</v>
      </c>
      <c r="E10" s="52" t="str">
        <f>VLOOKUP(C10,[1]!Tableau_cotisants,3,FALSE)</f>
        <v>COZIC</v>
      </c>
      <c r="F10" s="52" t="str">
        <f>VLOOKUP(C10,[1]!Tableau_cotisants,4,FALSE)</f>
        <v>Jennifer</v>
      </c>
      <c r="G10" s="53">
        <f>VLOOKUP(C10,[1]!Tableau_cotisants,5,FALSE)</f>
        <v>1</v>
      </c>
      <c r="H10" s="52">
        <f>VLOOKUP(C10,[1]!Tableau_cotisants,6,FALSE)</f>
        <v>1</v>
      </c>
      <c r="I10" s="52">
        <f>VLOOKUP(C10,[1]!Tableau_cotisants,7,FALSE)</f>
        <v>0</v>
      </c>
      <c r="J10" s="54">
        <f>VLOOKUP(C10,[1]!Tableau_cotisants,8,FALSE)</f>
        <v>30554</v>
      </c>
      <c r="K10" s="54" t="str">
        <f t="shared" si="0"/>
        <v>35 an(s) 10 mois et 5 jour(s)</v>
      </c>
      <c r="L10" s="52" t="str">
        <f>VLOOKUP(C10,[1]!Tableau_cotisants,10,FALSE)</f>
        <v>Chateaubernard</v>
      </c>
      <c r="M10" s="53" t="str">
        <f>VLOOKUP(C10,[1]!Tableau_cotisants,11,FALSE)</f>
        <v>Cognac</v>
      </c>
      <c r="N10" s="6">
        <v>1</v>
      </c>
      <c r="O10" s="5"/>
      <c r="P10" s="27"/>
      <c r="Q10" s="192"/>
      <c r="R10" s="194">
        <v>1</v>
      </c>
      <c r="S10" s="55"/>
      <c r="T10" s="55"/>
      <c r="U10" s="55"/>
      <c r="V10" s="168">
        <f t="shared" si="1"/>
        <v>1</v>
      </c>
      <c r="X10" s="223" t="s">
        <v>23</v>
      </c>
      <c r="Y10" s="224"/>
      <c r="Z10" s="225"/>
      <c r="AA10" s="10">
        <f>COUNTIF(TERRITOIRE_FAMILLE,"Chateauneuf")</f>
        <v>0</v>
      </c>
      <c r="AB10" s="10">
        <f>COUNTIF(TERRITOIRE_FAMILLE,"Champagne")</f>
        <v>0</v>
      </c>
      <c r="AC10" s="10">
        <f>COUNTIF(TERRITOIRE_FAMILLE,"Cognac")</f>
        <v>0</v>
      </c>
      <c r="AD10" s="10">
        <f>COUNTIF(TERRITOIRE_FAMILLE,"Jarnac")</f>
        <v>0</v>
      </c>
      <c r="AE10" s="10">
        <f>COUNTIF(TERRITOIRE_FAMILLE,"Hors_CDA")</f>
        <v>0</v>
      </c>
      <c r="AF10" s="10">
        <f>COUNTIF(TERRITOIRE_FAMILLE,"Hors_Charente")</f>
        <v>0</v>
      </c>
      <c r="AG10" s="10">
        <f>COUNTIF(TERRITOIRE_FAMILLE,"Inconnu")</f>
        <v>0</v>
      </c>
      <c r="AH10" s="107">
        <f>AA10+AB10+AC10+AD10+AE10+AF10+AG10</f>
        <v>0</v>
      </c>
      <c r="AI10" s="39">
        <f>AH9/AD1</f>
        <v>23.142857142857142</v>
      </c>
    </row>
    <row r="11" spans="1:35" ht="15.75" thickTop="1">
      <c r="A11" s="172"/>
      <c r="B11" s="171"/>
      <c r="C11" s="103" t="s">
        <v>97</v>
      </c>
      <c r="D11" s="52" t="str">
        <f>VLOOKUP(C11,[1]!Tableau_cotisants,2,FALSE)</f>
        <v>COZIC</v>
      </c>
      <c r="E11" s="52" t="str">
        <f>VLOOKUP(C11,[1]!Tableau_cotisants,3,FALSE)</f>
        <v>TARDIEU</v>
      </c>
      <c r="F11" s="52" t="str">
        <f>VLOOKUP(C11,[1]!Tableau_cotisants,4,FALSE)</f>
        <v>Gustave</v>
      </c>
      <c r="G11" s="53">
        <f>VLOOKUP(C11,[1]!Tableau_cotisants,5,FALSE)</f>
        <v>1</v>
      </c>
      <c r="H11" s="52">
        <f>VLOOKUP(C11,[1]!Tableau_cotisants,6,FALSE)</f>
        <v>0</v>
      </c>
      <c r="I11" s="52">
        <f>VLOOKUP(C11,[1]!Tableau_cotisants,7,FALSE)</f>
        <v>1</v>
      </c>
      <c r="J11" s="54">
        <f>VLOOKUP(C11,[1]!Tableau_cotisants,8,FALSE)</f>
        <v>42917</v>
      </c>
      <c r="K11" s="54" t="str">
        <f t="shared" si="0"/>
        <v>2 an(s) 0 mois et 0 jour(s)</v>
      </c>
      <c r="L11" s="52" t="str">
        <f>VLOOKUP(C11,[1]!Tableau_cotisants,10,FALSE)</f>
        <v>Chateaubernard</v>
      </c>
      <c r="M11" s="53" t="str">
        <f>VLOOKUP(C11,[1]!Tableau_cotisants,11,FALSE)</f>
        <v>Cognac</v>
      </c>
      <c r="N11" s="85">
        <v>1</v>
      </c>
      <c r="O11" s="57"/>
      <c r="P11" s="68"/>
      <c r="Q11" s="86"/>
      <c r="R11" s="87">
        <v>1</v>
      </c>
      <c r="S11" s="55"/>
      <c r="T11" s="55"/>
      <c r="U11" s="55"/>
      <c r="V11" s="168">
        <f t="shared" si="1"/>
        <v>1</v>
      </c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40" t="s">
        <v>50</v>
      </c>
    </row>
    <row r="12" spans="1:35">
      <c r="A12" s="172"/>
      <c r="B12" s="171"/>
      <c r="C12" s="103" t="s">
        <v>97</v>
      </c>
      <c r="D12" s="52" t="str">
        <f>VLOOKUP(C12,[1]!Tableau_cotisants,2,FALSE)</f>
        <v>COZIC</v>
      </c>
      <c r="E12" s="52" t="str">
        <f>VLOOKUP(C12,[1]!Tableau_cotisants,3,FALSE)</f>
        <v>TARDIEU</v>
      </c>
      <c r="F12" s="52" t="str">
        <f>VLOOKUP(C12,[1]!Tableau_cotisants,4,FALSE)</f>
        <v>Gustave</v>
      </c>
      <c r="G12" s="53">
        <f>VLOOKUP(C12,[1]!Tableau_cotisants,5,FALSE)</f>
        <v>1</v>
      </c>
      <c r="H12" s="52">
        <f>VLOOKUP(C12,[1]!Tableau_cotisants,6,FALSE)</f>
        <v>0</v>
      </c>
      <c r="I12" s="52">
        <f>VLOOKUP(C12,[1]!Tableau_cotisants,7,FALSE)</f>
        <v>1</v>
      </c>
      <c r="J12" s="54">
        <f>VLOOKUP(C12,[1]!Tableau_cotisants,8,FALSE)</f>
        <v>42917</v>
      </c>
      <c r="K12" s="54" t="str">
        <f t="shared" si="0"/>
        <v>2 an(s) 0 mois et 0 jour(s)</v>
      </c>
      <c r="L12" s="52" t="str">
        <f>VLOOKUP(C12,[1]!Tableau_cotisants,10,FALSE)</f>
        <v>Chateaubernard</v>
      </c>
      <c r="M12" s="53" t="str">
        <f>VLOOKUP(C12,[1]!Tableau_cotisants,11,FALSE)</f>
        <v>Cognac</v>
      </c>
      <c r="N12" s="6">
        <v>1</v>
      </c>
      <c r="O12" s="5"/>
      <c r="P12" s="27"/>
      <c r="Q12" s="192"/>
      <c r="R12" s="194">
        <v>1</v>
      </c>
      <c r="S12" s="55"/>
      <c r="T12" s="55"/>
      <c r="U12" s="55"/>
      <c r="V12" s="168">
        <f t="shared" si="1"/>
        <v>1</v>
      </c>
      <c r="AI12" s="40"/>
    </row>
    <row r="13" spans="1:35">
      <c r="A13" s="7"/>
      <c r="B13" s="7"/>
      <c r="C13" s="174" t="s">
        <v>97</v>
      </c>
      <c r="D13" s="52" t="str">
        <f>VLOOKUP(C13,[1]!Tableau_cotisants,2,FALSE)</f>
        <v>COZIC</v>
      </c>
      <c r="E13" s="52" t="str">
        <f>VLOOKUP(C13,[1]!Tableau_cotisants,3,FALSE)</f>
        <v>TARDIEU</v>
      </c>
      <c r="F13" s="52" t="str">
        <f>VLOOKUP(C13,[1]!Tableau_cotisants,4,FALSE)</f>
        <v>Gustave</v>
      </c>
      <c r="G13" s="53">
        <f>VLOOKUP(C13,[1]!Tableau_cotisants,5,FALSE)</f>
        <v>1</v>
      </c>
      <c r="H13" s="52">
        <f>VLOOKUP(C13,[1]!Tableau_cotisants,6,FALSE)</f>
        <v>0</v>
      </c>
      <c r="I13" s="52">
        <f>VLOOKUP(C13,[1]!Tableau_cotisants,7,FALSE)</f>
        <v>1</v>
      </c>
      <c r="J13" s="54">
        <f>VLOOKUP(C13,[1]!Tableau_cotisants,8,FALSE)</f>
        <v>42917</v>
      </c>
      <c r="K13" s="54" t="str">
        <f t="shared" si="0"/>
        <v>2 an(s) 0 mois et 0 jour(s)</v>
      </c>
      <c r="L13" s="52" t="str">
        <f>VLOOKUP(C13,[1]!Tableau_cotisants,10,FALSE)</f>
        <v>Chateaubernard</v>
      </c>
      <c r="M13" s="53" t="str">
        <f>VLOOKUP(C13,[1]!Tableau_cotisants,11,FALSE)</f>
        <v>Cognac</v>
      </c>
      <c r="N13" s="6">
        <v>1</v>
      </c>
      <c r="O13" s="5"/>
      <c r="P13" s="27"/>
      <c r="Q13" s="192"/>
      <c r="R13" s="194">
        <v>1</v>
      </c>
      <c r="S13" s="55"/>
      <c r="T13" s="55"/>
      <c r="U13" s="55"/>
      <c r="V13" s="168">
        <f t="shared" si="1"/>
        <v>1</v>
      </c>
      <c r="Y13" s="29" t="s">
        <v>34</v>
      </c>
    </row>
    <row r="14" spans="1:35" ht="15.75" thickBot="1">
      <c r="A14" s="7"/>
      <c r="B14" s="7"/>
      <c r="C14" s="174" t="s">
        <v>97</v>
      </c>
      <c r="D14" s="52" t="str">
        <f>VLOOKUP(C14,[1]!Tableau_cotisants,2,FALSE)</f>
        <v>COZIC</v>
      </c>
      <c r="E14" s="52" t="str">
        <f>VLOOKUP(C14,[1]!Tableau_cotisants,3,FALSE)</f>
        <v>TARDIEU</v>
      </c>
      <c r="F14" s="52" t="str">
        <f>VLOOKUP(C14,[1]!Tableau_cotisants,4,FALSE)</f>
        <v>Gustave</v>
      </c>
      <c r="G14" s="53">
        <f>VLOOKUP(C14,[1]!Tableau_cotisants,5,FALSE)</f>
        <v>1</v>
      </c>
      <c r="H14" s="52">
        <f>VLOOKUP(C14,[1]!Tableau_cotisants,6,FALSE)</f>
        <v>0</v>
      </c>
      <c r="I14" s="52">
        <f>VLOOKUP(C14,[1]!Tableau_cotisants,7,FALSE)</f>
        <v>1</v>
      </c>
      <c r="J14" s="54">
        <f>VLOOKUP(C14,[1]!Tableau_cotisants,8,FALSE)</f>
        <v>42917</v>
      </c>
      <c r="K14" s="54" t="str">
        <f t="shared" si="0"/>
        <v>2 an(s) 0 mois et 0 jour(s)</v>
      </c>
      <c r="L14" s="52" t="str">
        <f>VLOOKUP(C14,[1]!Tableau_cotisants,10,FALSE)</f>
        <v>Chateaubernard</v>
      </c>
      <c r="M14" s="53" t="str">
        <f>VLOOKUP(C14,[1]!Tableau_cotisants,11,FALSE)</f>
        <v>Cognac</v>
      </c>
      <c r="N14" s="6">
        <v>1</v>
      </c>
      <c r="O14" s="5"/>
      <c r="P14" s="27"/>
      <c r="Q14" s="192"/>
      <c r="R14" s="194">
        <v>1</v>
      </c>
      <c r="S14" s="55"/>
      <c r="T14" s="55"/>
      <c r="U14" s="55"/>
      <c r="V14" s="168">
        <f t="shared" si="1"/>
        <v>1</v>
      </c>
      <c r="Y14" s="95"/>
    </row>
    <row r="15" spans="1:35" ht="16.5" thickTop="1" thickBot="1">
      <c r="A15" s="7"/>
      <c r="B15" s="7"/>
      <c r="C15" s="174" t="s">
        <v>97</v>
      </c>
      <c r="D15" s="52" t="str">
        <f>VLOOKUP(C15,[1]!Tableau_cotisants,2,FALSE)</f>
        <v>COZIC</v>
      </c>
      <c r="E15" s="52" t="str">
        <f>VLOOKUP(C15,[1]!Tableau_cotisants,3,FALSE)</f>
        <v>TARDIEU</v>
      </c>
      <c r="F15" s="52" t="str">
        <f>VLOOKUP(C15,[1]!Tableau_cotisants,4,FALSE)</f>
        <v>Gustave</v>
      </c>
      <c r="G15" s="53">
        <f>VLOOKUP(C15,[1]!Tableau_cotisants,5,FALSE)</f>
        <v>1</v>
      </c>
      <c r="H15" s="52">
        <f>VLOOKUP(C15,[1]!Tableau_cotisants,6,FALSE)</f>
        <v>0</v>
      </c>
      <c r="I15" s="52">
        <f>VLOOKUP(C15,[1]!Tableau_cotisants,7,FALSE)</f>
        <v>1</v>
      </c>
      <c r="J15" s="54">
        <f>VLOOKUP(C15,[1]!Tableau_cotisants,8,FALSE)</f>
        <v>42917</v>
      </c>
      <c r="K15" s="54" t="str">
        <f t="shared" si="0"/>
        <v>2 an(s) 0 mois et 0 jour(s)</v>
      </c>
      <c r="L15" s="52" t="str">
        <f>VLOOKUP(C15,[1]!Tableau_cotisants,10,FALSE)</f>
        <v>Chateaubernard</v>
      </c>
      <c r="M15" s="53" t="str">
        <f>VLOOKUP(C15,[1]!Tableau_cotisants,11,FALSE)</f>
        <v>Cognac</v>
      </c>
      <c r="N15" s="6">
        <v>1</v>
      </c>
      <c r="O15" s="5"/>
      <c r="P15" s="27">
        <v>1</v>
      </c>
      <c r="Q15" s="192"/>
      <c r="R15" s="194"/>
      <c r="S15" s="55"/>
      <c r="T15" s="55"/>
      <c r="U15" s="55"/>
      <c r="V15" s="168">
        <f t="shared" si="1"/>
        <v>1</v>
      </c>
      <c r="X15" s="216" t="s">
        <v>24</v>
      </c>
      <c r="Y15" s="217"/>
      <c r="Z15" s="218"/>
      <c r="AA15" s="10" t="e">
        <f>SUMPRODUCT((TERRITOIRE_FAMILLE="Chateauneuf")*(ASSMAT=1))</f>
        <v>#N/A</v>
      </c>
      <c r="AB15" s="10" t="e">
        <f>SUMPRODUCT((TERRITOIRE_FAMILLE="Champagne")*(ASSMAT=1))</f>
        <v>#N/A</v>
      </c>
      <c r="AC15" s="10" t="e">
        <f>SUMPRODUCT((TERRITOIRE_FAMILLE="Cognac")*(ASSMAT=1))</f>
        <v>#N/A</v>
      </c>
      <c r="AD15" s="10" t="e">
        <f>SUMPRODUCT((TERRITOIRE_FAMILLE="Jarnac")*(ASSMAT=1))</f>
        <v>#N/A</v>
      </c>
      <c r="AE15" s="10" t="e">
        <f>SUMPRODUCT((TERRITOIRE_FAMILLE="Hors_CDA")*(ASSMAT=1))</f>
        <v>#N/A</v>
      </c>
      <c r="AF15" s="10" t="e">
        <f>SUMPRODUCT((TERRITOIRE_FAMILLE="Hors_Charente")*(ASSMAT=1))</f>
        <v>#N/A</v>
      </c>
      <c r="AG15" s="10" t="e">
        <f>SUMPRODUCT((TERRITOIRE_FAMILLE="Inconnu")*(ASSMAT=1))</f>
        <v>#N/A</v>
      </c>
      <c r="AH15" s="29" t="e">
        <f>AA15+AB15+AC15+AD15+AE15+AF15+AG15</f>
        <v>#N/A</v>
      </c>
    </row>
    <row r="16" spans="1:35" ht="16.5" thickTop="1" thickBot="1">
      <c r="A16" s="7"/>
      <c r="B16" s="7"/>
      <c r="C16" s="113" t="s">
        <v>97</v>
      </c>
      <c r="D16" s="52" t="str">
        <f>VLOOKUP(C16,[1]!Tableau_cotisants,2,FALSE)</f>
        <v>COZIC</v>
      </c>
      <c r="E16" s="52" t="str">
        <f>VLOOKUP(C16,[1]!Tableau_cotisants,3,FALSE)</f>
        <v>TARDIEU</v>
      </c>
      <c r="F16" s="52" t="str">
        <f>VLOOKUP(C16,[1]!Tableau_cotisants,4,FALSE)</f>
        <v>Gustave</v>
      </c>
      <c r="G16" s="53">
        <f>VLOOKUP(C16,[1]!Tableau_cotisants,5,FALSE)</f>
        <v>1</v>
      </c>
      <c r="H16" s="52">
        <f>VLOOKUP(C16,[1]!Tableau_cotisants,6,FALSE)</f>
        <v>0</v>
      </c>
      <c r="I16" s="52">
        <f>VLOOKUP(C16,[1]!Tableau_cotisants,7,FALSE)</f>
        <v>1</v>
      </c>
      <c r="J16" s="54">
        <f>VLOOKUP(C16,[1]!Tableau_cotisants,8,FALSE)</f>
        <v>42917</v>
      </c>
      <c r="K16" s="54" t="str">
        <f t="shared" si="0"/>
        <v>2 an(s) 0 mois et 0 jour(s)</v>
      </c>
      <c r="L16" s="52" t="str">
        <f>VLOOKUP(C16,[1]!Tableau_cotisants,10,FALSE)</f>
        <v>Chateaubernard</v>
      </c>
      <c r="M16" s="53" t="str">
        <f>VLOOKUP(C16,[1]!Tableau_cotisants,11,FALSE)</f>
        <v>Cognac</v>
      </c>
      <c r="N16" s="6">
        <v>1</v>
      </c>
      <c r="O16" s="5"/>
      <c r="P16" s="27"/>
      <c r="Q16" s="192"/>
      <c r="R16" s="194">
        <v>1</v>
      </c>
      <c r="S16" s="55"/>
      <c r="T16" s="55"/>
      <c r="U16" s="55"/>
      <c r="V16" s="168">
        <f t="shared" si="1"/>
        <v>1</v>
      </c>
      <c r="X16" s="216" t="s">
        <v>35</v>
      </c>
      <c r="Y16" s="217"/>
      <c r="Z16" s="218"/>
      <c r="AA16" s="10">
        <f>SUMPRODUCT((TERRITOIRE="Chateauneuf")*(ASSMAT=1))</f>
        <v>0</v>
      </c>
      <c r="AB16" s="10">
        <f>SUMPRODUCT((TERRITOIRE="Champagne")*(ASSMAT=1))</f>
        <v>28</v>
      </c>
      <c r="AC16" s="10">
        <f>SUMPRODUCT((TERRITOIRE="Cognac")*(ASSMAT=1))</f>
        <v>83</v>
      </c>
      <c r="AD16" s="10">
        <f>SUMPRODUCT((TERRITOIRE="Jarnac")*(ASSMAT=1))</f>
        <v>0</v>
      </c>
      <c r="AE16" s="10">
        <f>SUMPRODUCT((TERRITOIRE="Hors_CDA")*(ASSMAT=1))</f>
        <v>0</v>
      </c>
      <c r="AF16" s="10">
        <f>SUMPRODUCT((TERRITOIRE="Hors_Charente")*(ASSMAT=1))</f>
        <v>0</v>
      </c>
      <c r="AG16" s="10">
        <f>SUMPRODUCT((TERRITOIRE="Inconnu")*(ASSMAT=1))</f>
        <v>0</v>
      </c>
      <c r="AH16" s="107">
        <f>AA16+AB16+AC16+AD16+AE16+AF16+AG16</f>
        <v>111</v>
      </c>
    </row>
    <row r="17" spans="1:34" ht="16.5" thickTop="1" thickBot="1">
      <c r="A17" s="7"/>
      <c r="B17" s="7"/>
      <c r="C17" s="113" t="s">
        <v>97</v>
      </c>
      <c r="D17" s="52" t="str">
        <f>VLOOKUP(C17,[1]!Tableau_cotisants,2,FALSE)</f>
        <v>COZIC</v>
      </c>
      <c r="E17" s="52" t="str">
        <f>VLOOKUP(C17,[1]!Tableau_cotisants,3,FALSE)</f>
        <v>TARDIEU</v>
      </c>
      <c r="F17" s="52" t="str">
        <f>VLOOKUP(C17,[1]!Tableau_cotisants,4,FALSE)</f>
        <v>Gustave</v>
      </c>
      <c r="G17" s="53">
        <f>VLOOKUP(C17,[1]!Tableau_cotisants,5,FALSE)</f>
        <v>1</v>
      </c>
      <c r="H17" s="52">
        <f>VLOOKUP(C17,[1]!Tableau_cotisants,6,FALSE)</f>
        <v>0</v>
      </c>
      <c r="I17" s="52">
        <f>VLOOKUP(C17,[1]!Tableau_cotisants,7,FALSE)</f>
        <v>1</v>
      </c>
      <c r="J17" s="54">
        <f>VLOOKUP(C17,[1]!Tableau_cotisants,8,FALSE)</f>
        <v>42917</v>
      </c>
      <c r="K17" s="54" t="str">
        <f t="shared" si="0"/>
        <v>2 an(s) 0 mois et 0 jour(s)</v>
      </c>
      <c r="L17" s="52" t="str">
        <f>VLOOKUP(C17,[1]!Tableau_cotisants,10,FALSE)</f>
        <v>Chateaubernard</v>
      </c>
      <c r="M17" s="53" t="str">
        <f>VLOOKUP(C17,[1]!Tableau_cotisants,11,FALSE)</f>
        <v>Cognac</v>
      </c>
      <c r="N17" s="6">
        <v>1</v>
      </c>
      <c r="O17" s="5"/>
      <c r="P17" s="27"/>
      <c r="Q17" s="192"/>
      <c r="R17" s="194">
        <v>1</v>
      </c>
      <c r="S17" s="55"/>
      <c r="T17" s="55"/>
      <c r="U17" s="55"/>
      <c r="V17" s="168">
        <f t="shared" si="1"/>
        <v>1</v>
      </c>
      <c r="X17" s="216" t="s">
        <v>36</v>
      </c>
      <c r="Y17" s="217"/>
      <c r="Z17" s="218"/>
      <c r="AA17" s="10">
        <f>SUMIFS(matin,ASSMAT,1,TERRITOIRE,"Chateauneuf")</f>
        <v>0</v>
      </c>
      <c r="AB17" s="10">
        <f>SUMIFS(matin,ASSMAT,1,TERRITOIRE,"Champagne")</f>
        <v>23</v>
      </c>
      <c r="AC17" s="10">
        <f>SUMIFS(matin,ASSMAT,1,TERRITOIRE,"Cognac")</f>
        <v>83</v>
      </c>
      <c r="AD17" s="10">
        <f>SUMIFS(matin,ASSMAT,1,TERRITOIRE,"Jarnac")</f>
        <v>0</v>
      </c>
      <c r="AE17" s="10">
        <f>SUMIFS(matin,ASSMAT,1,TERRITOIRE,"Hors_CDA")</f>
        <v>0</v>
      </c>
      <c r="AF17" s="10">
        <f>SUMIFS(matin,ASSMAT,1,TERRITOIRE,"Hors_Charente")</f>
        <v>0</v>
      </c>
      <c r="AG17" s="10">
        <f>SUMIFS(matin,ASSMAT,1,TERRITOIRE,"Inconnu")</f>
        <v>0</v>
      </c>
      <c r="AH17" s="107">
        <f>AA17+AB17+AC17+AD17+AE17+AF17+AG17</f>
        <v>106</v>
      </c>
    </row>
    <row r="18" spans="1:34" ht="16.5" thickTop="1" thickBot="1">
      <c r="A18" s="7"/>
      <c r="B18" s="7"/>
      <c r="C18" s="174" t="s">
        <v>195</v>
      </c>
      <c r="D18" s="52" t="str">
        <f>VLOOKUP(C18,[1]!Tableau_cotisants,2,FALSE)</f>
        <v>COZIC</v>
      </c>
      <c r="E18" s="52" t="str">
        <f>VLOOKUP(C18,[1]!Tableau_cotisants,3,FALSE)</f>
        <v xml:space="preserve">VEZIN </v>
      </c>
      <c r="F18" s="52" t="str">
        <f>VLOOKUP(C18,[1]!Tableau_cotisants,4,FALSE)</f>
        <v>Paulin</v>
      </c>
      <c r="G18" s="53">
        <f>VLOOKUP(C18,[1]!Tableau_cotisants,5,FALSE)</f>
        <v>1</v>
      </c>
      <c r="H18" s="52">
        <f>VLOOKUP(C18,[1]!Tableau_cotisants,6,FALSE)</f>
        <v>0</v>
      </c>
      <c r="I18" s="52">
        <f>VLOOKUP(C18,[1]!Tableau_cotisants,7,FALSE)</f>
        <v>1</v>
      </c>
      <c r="J18" s="54">
        <f>VLOOKUP(C18,[1]!Tableau_cotisants,8,FALSE)</f>
        <v>43055</v>
      </c>
      <c r="K18" s="54" t="str">
        <f t="shared" si="0"/>
        <v>1 an(s) 7 mois et 15 jour(s)</v>
      </c>
      <c r="L18" s="52" t="str">
        <f>VLOOKUP(C18,[1]!Tableau_cotisants,10,FALSE)</f>
        <v>Chateaubernard</v>
      </c>
      <c r="M18" s="53" t="str">
        <f>VLOOKUP(C18,[1]!Tableau_cotisants,11,FALSE)</f>
        <v>Cognac</v>
      </c>
      <c r="N18" s="6">
        <v>1</v>
      </c>
      <c r="O18" s="5"/>
      <c r="P18" s="27"/>
      <c r="Q18" s="192"/>
      <c r="R18" s="194">
        <v>1</v>
      </c>
      <c r="S18" s="55"/>
      <c r="T18" s="55"/>
      <c r="U18" s="55"/>
      <c r="V18" s="168">
        <f t="shared" si="1"/>
        <v>1</v>
      </c>
      <c r="X18" s="228" t="s">
        <v>37</v>
      </c>
      <c r="Y18" s="229"/>
      <c r="Z18" s="230"/>
      <c r="AA18" s="10">
        <f>SUMIFS(Apres_midi,ASSMAT,1,TERRITOIRE,"Chateauneuf")</f>
        <v>0</v>
      </c>
      <c r="AB18" s="10">
        <f>SUMIFS(Apres_midi,ASSMAT,1,TERRITOIRE,"Champagne")</f>
        <v>5</v>
      </c>
      <c r="AC18" s="10">
        <f>SUMIFS(Apres_midi,ASSMAT,1,TERRITOIRE,"Cognac")</f>
        <v>0</v>
      </c>
      <c r="AD18" s="10">
        <f>SUMIFS(Apres_midi,ASSMAT,1,TERRITOIRE,"Jarnac")</f>
        <v>0</v>
      </c>
      <c r="AE18" s="10">
        <f>SUMIFS(Apres_midi,ASSMAT,1,TERRITOIRE,"Hors_CDA")</f>
        <v>0</v>
      </c>
      <c r="AF18" s="10">
        <f>SUMIFS(Apres_midi,ASSMAT,1,TERRITOIRE,"Hors_Charente")</f>
        <v>0</v>
      </c>
      <c r="AG18" s="10">
        <f>SUMIFS(Apres_midi,ASSMAT,1,TERRITOIRE,"Inconnu")</f>
        <v>0</v>
      </c>
      <c r="AH18" s="107">
        <f>AA18+AB18+AC18+AD18+AE18+AF18+AG18</f>
        <v>5</v>
      </c>
    </row>
    <row r="19" spans="1:34" ht="16.5" thickTop="1" thickBot="1">
      <c r="A19" s="7"/>
      <c r="B19" s="7"/>
      <c r="C19" s="174" t="s">
        <v>195</v>
      </c>
      <c r="D19" s="52" t="str">
        <f>VLOOKUP(C19,[1]!Tableau_cotisants,2,FALSE)</f>
        <v>COZIC</v>
      </c>
      <c r="E19" s="52" t="str">
        <f>VLOOKUP(C19,[1]!Tableau_cotisants,3,FALSE)</f>
        <v xml:space="preserve">VEZIN </v>
      </c>
      <c r="F19" s="52" t="str">
        <f>VLOOKUP(C19,[1]!Tableau_cotisants,4,FALSE)</f>
        <v>Paulin</v>
      </c>
      <c r="G19" s="53">
        <f>VLOOKUP(C19,[1]!Tableau_cotisants,5,FALSE)</f>
        <v>1</v>
      </c>
      <c r="H19" s="52">
        <f>VLOOKUP(C19,[1]!Tableau_cotisants,6,FALSE)</f>
        <v>0</v>
      </c>
      <c r="I19" s="52">
        <f>VLOOKUP(C19,[1]!Tableau_cotisants,7,FALSE)</f>
        <v>1</v>
      </c>
      <c r="J19" s="54">
        <f>VLOOKUP(C19,[1]!Tableau_cotisants,8,FALSE)</f>
        <v>43055</v>
      </c>
      <c r="K19" s="54" t="str">
        <f t="shared" si="0"/>
        <v>1 an(s) 7 mois et 15 jour(s)</v>
      </c>
      <c r="L19" s="52" t="str">
        <f>VLOOKUP(C19,[1]!Tableau_cotisants,10,FALSE)</f>
        <v>Chateaubernard</v>
      </c>
      <c r="M19" s="53" t="str">
        <f>VLOOKUP(C19,[1]!Tableau_cotisants,11,FALSE)</f>
        <v>Cognac</v>
      </c>
      <c r="N19" s="6">
        <v>1</v>
      </c>
      <c r="O19" s="5"/>
      <c r="P19" s="27"/>
      <c r="Q19" s="192"/>
      <c r="R19" s="194">
        <v>1</v>
      </c>
      <c r="S19" s="55"/>
      <c r="T19" s="55"/>
      <c r="U19" s="55"/>
      <c r="V19" s="168">
        <f t="shared" si="1"/>
        <v>1</v>
      </c>
      <c r="X19" s="228" t="s">
        <v>89</v>
      </c>
      <c r="Y19" s="229"/>
      <c r="Z19" s="230"/>
      <c r="AA19" s="10">
        <f t="shared" ref="AA19:AF19" si="3">AA17+AA18</f>
        <v>0</v>
      </c>
      <c r="AB19" s="10">
        <f t="shared" si="3"/>
        <v>28</v>
      </c>
      <c r="AC19" s="10">
        <f t="shared" si="3"/>
        <v>83</v>
      </c>
      <c r="AD19" s="10">
        <f t="shared" si="3"/>
        <v>0</v>
      </c>
      <c r="AE19" s="10">
        <f t="shared" si="3"/>
        <v>0</v>
      </c>
      <c r="AF19" s="10">
        <f t="shared" si="3"/>
        <v>0</v>
      </c>
      <c r="AG19" s="10">
        <f>AG17+AG18</f>
        <v>0</v>
      </c>
      <c r="AH19" s="107">
        <f>AA19+AB19+AC19+AD19+AE19+AF19+AG19</f>
        <v>111</v>
      </c>
    </row>
    <row r="20" spans="1:34">
      <c r="A20" s="7"/>
      <c r="B20" s="7"/>
      <c r="C20" s="174" t="s">
        <v>195</v>
      </c>
      <c r="D20" s="52" t="str">
        <f>VLOOKUP(C20,[1]!Tableau_cotisants,2,FALSE)</f>
        <v>COZIC</v>
      </c>
      <c r="E20" s="52" t="str">
        <f>VLOOKUP(C20,[1]!Tableau_cotisants,3,FALSE)</f>
        <v xml:space="preserve">VEZIN </v>
      </c>
      <c r="F20" s="52" t="str">
        <f>VLOOKUP(C20,[1]!Tableau_cotisants,4,FALSE)</f>
        <v>Paulin</v>
      </c>
      <c r="G20" s="53">
        <f>VLOOKUP(C20,[1]!Tableau_cotisants,5,FALSE)</f>
        <v>1</v>
      </c>
      <c r="H20" s="52">
        <f>VLOOKUP(C20,[1]!Tableau_cotisants,6,FALSE)</f>
        <v>0</v>
      </c>
      <c r="I20" s="52">
        <f>VLOOKUP(C20,[1]!Tableau_cotisants,7,FALSE)</f>
        <v>1</v>
      </c>
      <c r="J20" s="54">
        <f>VLOOKUP(C20,[1]!Tableau_cotisants,8,FALSE)</f>
        <v>43055</v>
      </c>
      <c r="K20" s="54" t="str">
        <f t="shared" si="0"/>
        <v>1 an(s) 7 mois et 15 jour(s)</v>
      </c>
      <c r="L20" s="52" t="str">
        <f>VLOOKUP(C20,[1]!Tableau_cotisants,10,FALSE)</f>
        <v>Chateaubernard</v>
      </c>
      <c r="M20" s="53" t="str">
        <f>VLOOKUP(C20,[1]!Tableau_cotisants,11,FALSE)</f>
        <v>Cognac</v>
      </c>
      <c r="N20" s="6">
        <v>1</v>
      </c>
      <c r="O20" s="5"/>
      <c r="P20" s="27">
        <v>1</v>
      </c>
      <c r="Q20" s="192"/>
      <c r="R20" s="194"/>
      <c r="S20" s="55"/>
      <c r="T20" s="55"/>
      <c r="U20" s="55"/>
      <c r="V20" s="168">
        <f t="shared" si="1"/>
        <v>1</v>
      </c>
    </row>
    <row r="21" spans="1:34">
      <c r="A21" s="7"/>
      <c r="B21" s="7"/>
      <c r="C21" s="113" t="s">
        <v>195</v>
      </c>
      <c r="D21" s="52" t="str">
        <f>VLOOKUP(C21,[1]!Tableau_cotisants,2,FALSE)</f>
        <v>COZIC</v>
      </c>
      <c r="E21" s="52" t="str">
        <f>VLOOKUP(C21,[1]!Tableau_cotisants,3,FALSE)</f>
        <v xml:space="preserve">VEZIN </v>
      </c>
      <c r="F21" s="52" t="str">
        <f>VLOOKUP(C21,[1]!Tableau_cotisants,4,FALSE)</f>
        <v>Paulin</v>
      </c>
      <c r="G21" s="53">
        <f>VLOOKUP(C21,[1]!Tableau_cotisants,5,FALSE)</f>
        <v>1</v>
      </c>
      <c r="H21" s="52">
        <f>VLOOKUP(C21,[1]!Tableau_cotisants,6,FALSE)</f>
        <v>0</v>
      </c>
      <c r="I21" s="52">
        <f>VLOOKUP(C21,[1]!Tableau_cotisants,7,FALSE)</f>
        <v>1</v>
      </c>
      <c r="J21" s="54">
        <f>VLOOKUP(C21,[1]!Tableau_cotisants,8,FALSE)</f>
        <v>43055</v>
      </c>
      <c r="K21" s="54" t="str">
        <f t="shared" si="0"/>
        <v>1 an(s) 7 mois et 15 jour(s)</v>
      </c>
      <c r="L21" s="52" t="str">
        <f>VLOOKUP(C21,[1]!Tableau_cotisants,10,FALSE)</f>
        <v>Chateaubernard</v>
      </c>
      <c r="M21" s="53" t="str">
        <f>VLOOKUP(C21,[1]!Tableau_cotisants,11,FALSE)</f>
        <v>Cognac</v>
      </c>
      <c r="N21" s="6">
        <v>1</v>
      </c>
      <c r="O21" s="5"/>
      <c r="P21" s="27"/>
      <c r="Q21" s="192"/>
      <c r="R21" s="194">
        <v>1</v>
      </c>
      <c r="S21" s="55"/>
      <c r="T21" s="55"/>
      <c r="U21" s="55"/>
      <c r="V21" s="168">
        <f t="shared" si="1"/>
        <v>1</v>
      </c>
    </row>
    <row r="22" spans="1:34">
      <c r="A22" s="7"/>
      <c r="B22" s="7"/>
      <c r="C22" s="113" t="s">
        <v>195</v>
      </c>
      <c r="D22" s="52" t="str">
        <f>VLOOKUP(C22,[1]!Tableau_cotisants,2,FALSE)</f>
        <v>COZIC</v>
      </c>
      <c r="E22" s="52" t="str">
        <f>VLOOKUP(C22,[1]!Tableau_cotisants,3,FALSE)</f>
        <v xml:space="preserve">VEZIN </v>
      </c>
      <c r="F22" s="52" t="str">
        <f>VLOOKUP(C22,[1]!Tableau_cotisants,4,FALSE)</f>
        <v>Paulin</v>
      </c>
      <c r="G22" s="53">
        <f>VLOOKUP(C22,[1]!Tableau_cotisants,5,FALSE)</f>
        <v>1</v>
      </c>
      <c r="H22" s="52">
        <f>VLOOKUP(C22,[1]!Tableau_cotisants,6,FALSE)</f>
        <v>0</v>
      </c>
      <c r="I22" s="52">
        <f>VLOOKUP(C22,[1]!Tableau_cotisants,7,FALSE)</f>
        <v>1</v>
      </c>
      <c r="J22" s="54">
        <f>VLOOKUP(C22,[1]!Tableau_cotisants,8,FALSE)</f>
        <v>43055</v>
      </c>
      <c r="K22" s="54" t="str">
        <f t="shared" si="0"/>
        <v>1 an(s) 7 mois et 15 jour(s)</v>
      </c>
      <c r="L22" s="52" t="str">
        <f>VLOOKUP(C22,[1]!Tableau_cotisants,10,FALSE)</f>
        <v>Chateaubernard</v>
      </c>
      <c r="M22" s="53" t="str">
        <f>VLOOKUP(C22,[1]!Tableau_cotisants,11,FALSE)</f>
        <v>Cognac</v>
      </c>
      <c r="N22" s="6">
        <v>1</v>
      </c>
      <c r="O22" s="5"/>
      <c r="P22" s="27"/>
      <c r="Q22" s="192"/>
      <c r="R22" s="194">
        <v>1</v>
      </c>
      <c r="S22" s="55"/>
      <c r="T22" s="55"/>
      <c r="U22" s="55"/>
      <c r="V22" s="168">
        <f t="shared" si="1"/>
        <v>1</v>
      </c>
      <c r="Y22" s="31" t="s">
        <v>38</v>
      </c>
      <c r="Z22" s="31" t="s">
        <v>39</v>
      </c>
      <c r="AA22" s="31" t="s">
        <v>40</v>
      </c>
      <c r="AD22" s="219" t="s">
        <v>41</v>
      </c>
      <c r="AE22" s="219"/>
    </row>
    <row r="23" spans="1:34">
      <c r="A23" s="172"/>
      <c r="B23" s="171"/>
      <c r="C23" s="174" t="s">
        <v>98</v>
      </c>
      <c r="D23" s="52" t="str">
        <f>VLOOKUP(C23,[1]!Tableau_cotisants,2,FALSE)</f>
        <v>COZIC</v>
      </c>
      <c r="E23" s="52" t="str">
        <f>VLOOKUP(C23,[1]!Tableau_cotisants,3,FALSE)</f>
        <v>BARAUD</v>
      </c>
      <c r="F23" s="52" t="str">
        <f>VLOOKUP(C23,[1]!Tableau_cotisants,4,FALSE)</f>
        <v>Théo</v>
      </c>
      <c r="G23" s="53">
        <f>VLOOKUP(C23,[1]!Tableau_cotisants,5,FALSE)</f>
        <v>1</v>
      </c>
      <c r="H23" s="52">
        <f>VLOOKUP(C23,[1]!Tableau_cotisants,6,FALSE)</f>
        <v>0</v>
      </c>
      <c r="I23" s="52">
        <f>VLOOKUP(C23,[1]!Tableau_cotisants,7,FALSE)</f>
        <v>1</v>
      </c>
      <c r="J23" s="54">
        <f>VLOOKUP(C23,[1]!Tableau_cotisants,8,FALSE)</f>
        <v>43016</v>
      </c>
      <c r="K23" s="54" t="str">
        <f t="shared" si="0"/>
        <v>1 an(s) 8 mois et 23 jour(s)</v>
      </c>
      <c r="L23" s="52" t="str">
        <f>VLOOKUP(C23,[1]!Tableau_cotisants,10,FALSE)</f>
        <v>Chateaubernard</v>
      </c>
      <c r="M23" s="53" t="str">
        <f>VLOOKUP(C23,[1]!Tableau_cotisants,11,FALSE)</f>
        <v>Cognac</v>
      </c>
      <c r="N23" s="85">
        <v>1</v>
      </c>
      <c r="O23" s="57"/>
      <c r="P23" s="68"/>
      <c r="Q23" s="86"/>
      <c r="R23" s="87">
        <v>1</v>
      </c>
      <c r="S23" s="55"/>
      <c r="T23" s="55"/>
      <c r="U23" s="55"/>
      <c r="V23" s="168">
        <f t="shared" si="1"/>
        <v>1</v>
      </c>
      <c r="X23" s="32" t="s">
        <v>42</v>
      </c>
      <c r="Y23" s="3">
        <f>SUMPRODUCT((DATEDIF(DATE_NAISSANCE,Date_de_reference,"y")&lt;4)*(masculin&gt;0))</f>
        <v>87</v>
      </c>
      <c r="Z23" s="3">
        <f>SUMPRODUCT((DATEDIF(DATE_NAISSANCE,Date_de_reference,"y")&lt;4)*(Feminin&gt;0))</f>
        <v>22</v>
      </c>
      <c r="AA23" s="3">
        <f t="shared" ref="AA23:AA28" si="4">Y23+Z23</f>
        <v>109</v>
      </c>
      <c r="AB23" s="33">
        <f t="shared" ref="AB23:AB28" si="5">AA23/$AA$29</f>
        <v>0.33746130030959753</v>
      </c>
      <c r="AD23" s="34" t="s">
        <v>43</v>
      </c>
      <c r="AE23" s="34" t="s">
        <v>44</v>
      </c>
      <c r="AH23" s="94"/>
    </row>
    <row r="24" spans="1:34">
      <c r="A24" s="172"/>
      <c r="B24" s="171"/>
      <c r="C24" s="174" t="s">
        <v>98</v>
      </c>
      <c r="D24" s="52" t="str">
        <f>VLOOKUP(C24,[1]!Tableau_cotisants,2,FALSE)</f>
        <v>COZIC</v>
      </c>
      <c r="E24" s="52" t="str">
        <f>VLOOKUP(C24,[1]!Tableau_cotisants,3,FALSE)</f>
        <v>BARAUD</v>
      </c>
      <c r="F24" s="52" t="str">
        <f>VLOOKUP(C24,[1]!Tableau_cotisants,4,FALSE)</f>
        <v>Théo</v>
      </c>
      <c r="G24" s="53">
        <f>VLOOKUP(C24,[1]!Tableau_cotisants,5,FALSE)</f>
        <v>1</v>
      </c>
      <c r="H24" s="52">
        <f>VLOOKUP(C24,[1]!Tableau_cotisants,6,FALSE)</f>
        <v>0</v>
      </c>
      <c r="I24" s="52">
        <f>VLOOKUP(C24,[1]!Tableau_cotisants,7,FALSE)</f>
        <v>1</v>
      </c>
      <c r="J24" s="54">
        <f>VLOOKUP(C24,[1]!Tableau_cotisants,8,FALSE)</f>
        <v>43016</v>
      </c>
      <c r="K24" s="54" t="str">
        <f t="shared" si="0"/>
        <v>1 an(s) 8 mois et 23 jour(s)</v>
      </c>
      <c r="L24" s="52" t="str">
        <f>VLOOKUP(C24,[1]!Tableau_cotisants,10,FALSE)</f>
        <v>Chateaubernard</v>
      </c>
      <c r="M24" s="53" t="str">
        <f>VLOOKUP(C24,[1]!Tableau_cotisants,11,FALSE)</f>
        <v>Cognac</v>
      </c>
      <c r="N24" s="6">
        <v>1</v>
      </c>
      <c r="O24" s="5"/>
      <c r="P24" s="27"/>
      <c r="Q24" s="192"/>
      <c r="R24" s="194">
        <v>1</v>
      </c>
      <c r="S24" s="55"/>
      <c r="T24" s="55"/>
      <c r="U24" s="55"/>
      <c r="V24" s="168">
        <f t="shared" si="1"/>
        <v>1</v>
      </c>
      <c r="X24" s="32" t="s">
        <v>45</v>
      </c>
      <c r="Y24" s="3">
        <f>SUMPRODUCT((DATEDIF(DATE_NAISSANCE,Date_de_reference,"y")&gt;3)*(DATEDIF(DATE_NAISSANCE,Date_de_reference,"y")&lt;7)*(masculin&gt;0))</f>
        <v>19</v>
      </c>
      <c r="Z24" s="3">
        <f>SUMPRODUCT((DATEDIF(DATE_NAISSANCE,Date_de_reference,"y")&gt;3)*(DATEDIF(DATE_NAISSANCE,Date_de_reference,"y")&lt;7)*(Feminin&gt;0))</f>
        <v>25</v>
      </c>
      <c r="AA24" s="3">
        <f t="shared" si="4"/>
        <v>44</v>
      </c>
      <c r="AB24" s="33">
        <f t="shared" si="5"/>
        <v>0.13622291021671826</v>
      </c>
      <c r="AD24" s="2">
        <f>COUNTIF(adherent,"oui")</f>
        <v>0</v>
      </c>
      <c r="AE24" s="2">
        <f>COUNTIF(adherent,"non")</f>
        <v>0</v>
      </c>
      <c r="AF24" s="29">
        <f>AD24+AE24</f>
        <v>0</v>
      </c>
    </row>
    <row r="25" spans="1:34">
      <c r="A25" s="7"/>
      <c r="B25" s="7"/>
      <c r="C25" s="174" t="s">
        <v>98</v>
      </c>
      <c r="D25" s="52" t="str">
        <f>VLOOKUP(C25,[1]!Tableau_cotisants,2,FALSE)</f>
        <v>COZIC</v>
      </c>
      <c r="E25" s="52" t="str">
        <f>VLOOKUP(C25,[1]!Tableau_cotisants,3,FALSE)</f>
        <v>BARAUD</v>
      </c>
      <c r="F25" s="52" t="str">
        <f>VLOOKUP(C25,[1]!Tableau_cotisants,4,FALSE)</f>
        <v>Théo</v>
      </c>
      <c r="G25" s="53">
        <f>VLOOKUP(C25,[1]!Tableau_cotisants,5,FALSE)</f>
        <v>1</v>
      </c>
      <c r="H25" s="52">
        <f>VLOOKUP(C25,[1]!Tableau_cotisants,6,FALSE)</f>
        <v>0</v>
      </c>
      <c r="I25" s="52">
        <f>VLOOKUP(C25,[1]!Tableau_cotisants,7,FALSE)</f>
        <v>1</v>
      </c>
      <c r="J25" s="54">
        <f>VLOOKUP(C25,[1]!Tableau_cotisants,8,FALSE)</f>
        <v>43016</v>
      </c>
      <c r="K25" s="54" t="str">
        <f t="shared" si="0"/>
        <v>1 an(s) 8 mois et 23 jour(s)</v>
      </c>
      <c r="L25" s="52" t="str">
        <f>VLOOKUP(C25,[1]!Tableau_cotisants,10,FALSE)</f>
        <v>Chateaubernard</v>
      </c>
      <c r="M25" s="53" t="str">
        <f>VLOOKUP(C25,[1]!Tableau_cotisants,11,FALSE)</f>
        <v>Cognac</v>
      </c>
      <c r="N25" s="6">
        <v>1</v>
      </c>
      <c r="O25" s="5"/>
      <c r="P25" s="27"/>
      <c r="Q25" s="192"/>
      <c r="R25" s="194">
        <v>1</v>
      </c>
      <c r="S25" s="55"/>
      <c r="T25" s="55"/>
      <c r="U25" s="55"/>
      <c r="V25" s="168">
        <f t="shared" si="1"/>
        <v>1</v>
      </c>
      <c r="X25" s="32" t="s">
        <v>46</v>
      </c>
      <c r="Y25" s="3">
        <f>SUMPRODUCT((DATEDIF(DATE_NAISSANCE,Date_de_reference,"y")&gt;6)*(DATEDIF(DATE_NAISSANCE,Date_de_reference,"y")&lt;13)*(masculin&gt;0))</f>
        <v>33</v>
      </c>
      <c r="Z25" s="3">
        <f>SUMPRODUCT((DATEDIF(DATE_NAISSANCE,Date_de_reference,"y")&gt;6)*(DATEDIF(DATE_NAISSANCE,Date_de_reference,"y")&lt;13)*(Feminin&gt;0))</f>
        <v>16</v>
      </c>
      <c r="AA25" s="3">
        <f t="shared" si="4"/>
        <v>49</v>
      </c>
      <c r="AB25" s="33">
        <f t="shared" si="5"/>
        <v>0.15170278637770898</v>
      </c>
      <c r="AD25" s="33" t="e">
        <f>AD24/AF24</f>
        <v>#DIV/0!</v>
      </c>
      <c r="AE25" s="33" t="e">
        <f>AE24/AF24</f>
        <v>#DIV/0!</v>
      </c>
      <c r="AF25" s="35" t="e">
        <f>AD25+AE25</f>
        <v>#DIV/0!</v>
      </c>
    </row>
    <row r="26" spans="1:34">
      <c r="A26" s="7"/>
      <c r="B26" s="7"/>
      <c r="C26" s="174" t="s">
        <v>98</v>
      </c>
      <c r="D26" s="52" t="str">
        <f>VLOOKUP(C26,[1]!Tableau_cotisants,2,FALSE)</f>
        <v>COZIC</v>
      </c>
      <c r="E26" s="52" t="str">
        <f>VLOOKUP(C26,[1]!Tableau_cotisants,3,FALSE)</f>
        <v>BARAUD</v>
      </c>
      <c r="F26" s="52" t="str">
        <f>VLOOKUP(C26,[1]!Tableau_cotisants,4,FALSE)</f>
        <v>Théo</v>
      </c>
      <c r="G26" s="53">
        <f>VLOOKUP(C26,[1]!Tableau_cotisants,5,FALSE)</f>
        <v>1</v>
      </c>
      <c r="H26" s="52">
        <f>VLOOKUP(C26,[1]!Tableau_cotisants,6,FALSE)</f>
        <v>0</v>
      </c>
      <c r="I26" s="52">
        <f>VLOOKUP(C26,[1]!Tableau_cotisants,7,FALSE)</f>
        <v>1</v>
      </c>
      <c r="J26" s="54">
        <f>VLOOKUP(C26,[1]!Tableau_cotisants,8,FALSE)</f>
        <v>43016</v>
      </c>
      <c r="K26" s="54" t="str">
        <f t="shared" si="0"/>
        <v>1 an(s) 8 mois et 23 jour(s)</v>
      </c>
      <c r="L26" s="52" t="str">
        <f>VLOOKUP(C26,[1]!Tableau_cotisants,10,FALSE)</f>
        <v>Chateaubernard</v>
      </c>
      <c r="M26" s="53" t="str">
        <f>VLOOKUP(C26,[1]!Tableau_cotisants,11,FALSE)</f>
        <v>Cognac</v>
      </c>
      <c r="N26" s="6">
        <v>1</v>
      </c>
      <c r="O26" s="5"/>
      <c r="P26" s="27"/>
      <c r="Q26" s="192"/>
      <c r="R26" s="194">
        <v>1</v>
      </c>
      <c r="S26" s="55"/>
      <c r="T26" s="55"/>
      <c r="U26" s="55"/>
      <c r="V26" s="168">
        <f t="shared" si="1"/>
        <v>1</v>
      </c>
      <c r="X26" s="32" t="s">
        <v>47</v>
      </c>
      <c r="Y26" s="3">
        <f>SUMPRODUCT((DATEDIF(DATE_NAISSANCE,Date_de_reference,"y")&gt;12)*(DATEDIF(DATE_NAISSANCE,Date_de_reference,"y")&lt;19)*(masculin&gt;0))</f>
        <v>0</v>
      </c>
      <c r="Z26" s="3">
        <f>SUMPRODUCT((DATEDIF(DATE_NAISSANCE,Date_de_reference,"y")&gt;12)*(DATEDIF(DATE_NAISSANCE,Date_de_reference,"y")&lt;19)*(Feminin&gt;0))</f>
        <v>0</v>
      </c>
      <c r="AA26" s="3">
        <f t="shared" si="4"/>
        <v>0</v>
      </c>
      <c r="AB26" s="33">
        <f t="shared" si="5"/>
        <v>0</v>
      </c>
      <c r="AG26" s="35"/>
    </row>
    <row r="27" spans="1:34">
      <c r="A27" s="7"/>
      <c r="B27" s="7"/>
      <c r="C27" s="174" t="s">
        <v>241</v>
      </c>
      <c r="D27" s="52" t="str">
        <f>VLOOKUP(C27,[1]!Tableau_cotisants,2,FALSE)</f>
        <v>COZIC</v>
      </c>
      <c r="E27" s="52" t="str">
        <f>VLOOKUP(C27,[1]!Tableau_cotisants,3,FALSE)</f>
        <v>BARAUD</v>
      </c>
      <c r="F27" s="52" t="str">
        <f>VLOOKUP(C27,[1]!Tableau_cotisants,4,FALSE)</f>
        <v>Théo</v>
      </c>
      <c r="G27" s="53">
        <f>VLOOKUP(C27,[1]!Tableau_cotisants,5,FALSE)</f>
        <v>1</v>
      </c>
      <c r="H27" s="52">
        <f>VLOOKUP(C27,[1]!Tableau_cotisants,6,FALSE)</f>
        <v>0</v>
      </c>
      <c r="I27" s="52">
        <f>VLOOKUP(C27,[1]!Tableau_cotisants,7,FALSE)</f>
        <v>1</v>
      </c>
      <c r="J27" s="54">
        <f>VLOOKUP(C27,[1]!Tableau_cotisants,8,FALSE)</f>
        <v>43016</v>
      </c>
      <c r="K27" s="54" t="str">
        <f t="shared" si="0"/>
        <v>1 an(s) 8 mois et 23 jour(s)</v>
      </c>
      <c r="L27" s="52" t="str">
        <f>VLOOKUP(C27,[1]!Tableau_cotisants,10,FALSE)</f>
        <v>Chateaubernard</v>
      </c>
      <c r="M27" s="53" t="str">
        <f>VLOOKUP(C27,[1]!Tableau_cotisants,11,FALSE)</f>
        <v>Cognac</v>
      </c>
      <c r="N27" s="6">
        <v>1</v>
      </c>
      <c r="O27" s="5"/>
      <c r="P27" s="27">
        <v>1</v>
      </c>
      <c r="Q27" s="192"/>
      <c r="R27" s="194"/>
      <c r="S27" s="55"/>
      <c r="T27" s="55"/>
      <c r="U27" s="55"/>
      <c r="V27" s="168">
        <f t="shared" si="1"/>
        <v>1</v>
      </c>
      <c r="X27" s="32" t="s">
        <v>48</v>
      </c>
      <c r="Y27" s="3">
        <f>SUMPRODUCT((DATEDIF(DATE_NAISSANCE,Date_de_reference,"y")&gt;18)*(DATEDIF(DATE_NAISSANCE,Date_de_reference,"y")&lt;51)*(masculin&gt;0))</f>
        <v>10</v>
      </c>
      <c r="Z27" s="3">
        <f>SUMPRODUCT((DATEDIF(DATE_NAISSANCE,Date_de_reference,"y")&gt;18)*(DATEDIF(DATE_NAISSANCE,Date_de_reference,"y")&lt;51)*(Feminin&gt;0))</f>
        <v>95</v>
      </c>
      <c r="AA27" s="3">
        <f t="shared" si="4"/>
        <v>105</v>
      </c>
      <c r="AB27" s="33">
        <f t="shared" si="5"/>
        <v>0.32507739938080493</v>
      </c>
      <c r="AD27" t="s">
        <v>58</v>
      </c>
    </row>
    <row r="28" spans="1:34" ht="15.75" thickBot="1">
      <c r="A28" s="7"/>
      <c r="B28" s="7"/>
      <c r="C28" s="113" t="s">
        <v>98</v>
      </c>
      <c r="D28" s="52" t="str">
        <f>VLOOKUP(C28,[1]!Tableau_cotisants,2,FALSE)</f>
        <v>COZIC</v>
      </c>
      <c r="E28" s="52" t="str">
        <f>VLOOKUP(C28,[1]!Tableau_cotisants,3,FALSE)</f>
        <v>BARAUD</v>
      </c>
      <c r="F28" s="52" t="str">
        <f>VLOOKUP(C28,[1]!Tableau_cotisants,4,FALSE)</f>
        <v>Théo</v>
      </c>
      <c r="G28" s="53">
        <f>VLOOKUP(C28,[1]!Tableau_cotisants,5,FALSE)</f>
        <v>1</v>
      </c>
      <c r="H28" s="52">
        <f>VLOOKUP(C28,[1]!Tableau_cotisants,6,FALSE)</f>
        <v>0</v>
      </c>
      <c r="I28" s="52">
        <f>VLOOKUP(C28,[1]!Tableau_cotisants,7,FALSE)</f>
        <v>1</v>
      </c>
      <c r="J28" s="54">
        <f>VLOOKUP(C28,[1]!Tableau_cotisants,8,FALSE)</f>
        <v>43016</v>
      </c>
      <c r="K28" s="54" t="str">
        <f t="shared" si="0"/>
        <v>1 an(s) 8 mois et 23 jour(s)</v>
      </c>
      <c r="L28" s="52" t="str">
        <f>VLOOKUP(C28,[1]!Tableau_cotisants,10,FALSE)</f>
        <v>Chateaubernard</v>
      </c>
      <c r="M28" s="53" t="str">
        <f>VLOOKUP(C28,[1]!Tableau_cotisants,11,FALSE)</f>
        <v>Cognac</v>
      </c>
      <c r="N28" s="6">
        <v>1</v>
      </c>
      <c r="O28" s="5"/>
      <c r="P28" s="27"/>
      <c r="Q28" s="192"/>
      <c r="R28" s="194">
        <v>1</v>
      </c>
      <c r="S28" s="55"/>
      <c r="T28" s="55"/>
      <c r="U28" s="55"/>
      <c r="V28" s="168">
        <f t="shared" si="1"/>
        <v>1</v>
      </c>
      <c r="X28" s="32" t="s">
        <v>49</v>
      </c>
      <c r="Y28" s="3">
        <f>SUMPRODUCT((DATEDIF(DATE_NAISSANCE,Date_de_reference,"y")&gt;50)*(masculin&gt;0))</f>
        <v>0</v>
      </c>
      <c r="Z28" s="3">
        <f>SUMPRODUCT((DATEDIF(DATE_NAISSANCE,Date_de_reference,"y")&gt;50)*(Feminin&gt;0))</f>
        <v>16</v>
      </c>
      <c r="AA28" s="36">
        <f t="shared" si="4"/>
        <v>16</v>
      </c>
      <c r="AB28" s="33">
        <f t="shared" si="5"/>
        <v>4.9535603715170282E-2</v>
      </c>
      <c r="AD28" t="s">
        <v>59</v>
      </c>
    </row>
    <row r="29" spans="1:34" ht="15.75" thickBot="1">
      <c r="A29" s="7"/>
      <c r="B29" s="7"/>
      <c r="C29" s="113" t="s">
        <v>98</v>
      </c>
      <c r="D29" s="52" t="str">
        <f>VLOOKUP(C29,[1]!Tableau_cotisants,2,FALSE)</f>
        <v>COZIC</v>
      </c>
      <c r="E29" s="52" t="str">
        <f>VLOOKUP(C29,[1]!Tableau_cotisants,3,FALSE)</f>
        <v>BARAUD</v>
      </c>
      <c r="F29" s="52" t="str">
        <f>VLOOKUP(C29,[1]!Tableau_cotisants,4,FALSE)</f>
        <v>Théo</v>
      </c>
      <c r="G29" s="53">
        <f>VLOOKUP(C29,[1]!Tableau_cotisants,5,FALSE)</f>
        <v>1</v>
      </c>
      <c r="H29" s="52">
        <f>VLOOKUP(C29,[1]!Tableau_cotisants,6,FALSE)</f>
        <v>0</v>
      </c>
      <c r="I29" s="52">
        <f>VLOOKUP(C29,[1]!Tableau_cotisants,7,FALSE)</f>
        <v>1</v>
      </c>
      <c r="J29" s="54">
        <f>VLOOKUP(C29,[1]!Tableau_cotisants,8,FALSE)</f>
        <v>43016</v>
      </c>
      <c r="K29" s="54" t="str">
        <f t="shared" si="0"/>
        <v>1 an(s) 8 mois et 23 jour(s)</v>
      </c>
      <c r="L29" s="52" t="str">
        <f>VLOOKUP(C29,[1]!Tableau_cotisants,10,FALSE)</f>
        <v>Chateaubernard</v>
      </c>
      <c r="M29" s="53" t="str">
        <f>VLOOKUP(C29,[1]!Tableau_cotisants,11,FALSE)</f>
        <v>Cognac</v>
      </c>
      <c r="N29" s="6">
        <v>1</v>
      </c>
      <c r="O29" s="5"/>
      <c r="P29" s="27"/>
      <c r="Q29" s="192"/>
      <c r="R29" s="194">
        <v>1</v>
      </c>
      <c r="S29" s="55"/>
      <c r="T29" s="55"/>
      <c r="U29" s="55"/>
      <c r="V29" s="168">
        <f t="shared" si="1"/>
        <v>1</v>
      </c>
      <c r="X29" s="37" t="s">
        <v>40</v>
      </c>
      <c r="Y29" s="38">
        <f>SUM(Y23:Y28)</f>
        <v>149</v>
      </c>
      <c r="Z29" s="38">
        <f>SUM(Z23:Z28)</f>
        <v>174</v>
      </c>
      <c r="AA29" s="107">
        <f>SUM(AA23:AA28)</f>
        <v>323</v>
      </c>
      <c r="AB29" s="35">
        <f>SUM(AB23:AB28)</f>
        <v>1</v>
      </c>
    </row>
    <row r="30" spans="1:34">
      <c r="A30" s="7"/>
      <c r="B30" s="7"/>
      <c r="C30" s="113" t="s">
        <v>242</v>
      </c>
      <c r="D30" s="52" t="str">
        <f>VLOOKUP(C30,[1]!Tableau_cotisants,2,FALSE)</f>
        <v>CHAGNEAU</v>
      </c>
      <c r="E30" s="52" t="str">
        <f>VLOOKUP(C30,[1]!Tableau_cotisants,3,FALSE)</f>
        <v>CHAGNEAU</v>
      </c>
      <c r="F30" s="52" t="str">
        <f>VLOOKUP(C30,[1]!Tableau_cotisants,4,FALSE)</f>
        <v>Karine</v>
      </c>
      <c r="G30" s="53">
        <f>VLOOKUP(C30,[1]!Tableau_cotisants,5,FALSE)</f>
        <v>1</v>
      </c>
      <c r="H30" s="52">
        <f>VLOOKUP(C30,[1]!Tableau_cotisants,6,FALSE)</f>
        <v>1</v>
      </c>
      <c r="I30" s="52">
        <f>VLOOKUP(C30,[1]!Tableau_cotisants,7,FALSE)</f>
        <v>0</v>
      </c>
      <c r="J30" s="54">
        <f>VLOOKUP(C30,[1]!Tableau_cotisants,8,FALSE)</f>
        <v>29352</v>
      </c>
      <c r="K30" s="54" t="str">
        <f t="shared" si="0"/>
        <v>39 an(s) 1 mois et 20 jour(s)</v>
      </c>
      <c r="L30" s="52" t="str">
        <f>VLOOKUP(C30,[1]!Tableau_cotisants,10,FALSE)</f>
        <v>Merpins</v>
      </c>
      <c r="M30" s="53" t="str">
        <f>VLOOKUP(C30,[1]!Tableau_cotisants,11,FALSE)</f>
        <v>Cognac</v>
      </c>
      <c r="N30" s="6">
        <v>1</v>
      </c>
      <c r="O30" s="5"/>
      <c r="P30" s="27">
        <v>1</v>
      </c>
      <c r="Q30" s="192"/>
      <c r="R30" s="194"/>
      <c r="S30" s="55"/>
      <c r="T30" s="55"/>
      <c r="U30" s="55"/>
      <c r="V30" s="168">
        <f t="shared" si="1"/>
        <v>1</v>
      </c>
      <c r="Y30" s="231">
        <f>Y29+Z29</f>
        <v>323</v>
      </c>
      <c r="Z30" s="231"/>
      <c r="AA30" s="96"/>
    </row>
    <row r="31" spans="1:34">
      <c r="A31" s="7"/>
      <c r="B31" s="7"/>
      <c r="C31" s="131" t="s">
        <v>242</v>
      </c>
      <c r="D31" s="52" t="str">
        <f>VLOOKUP(C31,[1]!Tableau_cotisants,2,FALSE)</f>
        <v>CHAGNEAU</v>
      </c>
      <c r="E31" s="52" t="str">
        <f>VLOOKUP(C31,[1]!Tableau_cotisants,3,FALSE)</f>
        <v>CHAGNEAU</v>
      </c>
      <c r="F31" s="52" t="str">
        <f>VLOOKUP(C31,[1]!Tableau_cotisants,4,FALSE)</f>
        <v>Karine</v>
      </c>
      <c r="G31" s="53">
        <f>VLOOKUP(C31,[1]!Tableau_cotisants,5,FALSE)</f>
        <v>1</v>
      </c>
      <c r="H31" s="52">
        <f>VLOOKUP(C31,[1]!Tableau_cotisants,6,FALSE)</f>
        <v>1</v>
      </c>
      <c r="I31" s="52">
        <f>VLOOKUP(C31,[1]!Tableau_cotisants,7,FALSE)</f>
        <v>0</v>
      </c>
      <c r="J31" s="54">
        <f>VLOOKUP(C31,[1]!Tableau_cotisants,8,FALSE)</f>
        <v>29352</v>
      </c>
      <c r="K31" s="54" t="str">
        <f t="shared" si="0"/>
        <v>39 an(s) 1 mois et 20 jour(s)</v>
      </c>
      <c r="L31" s="52" t="str">
        <f>VLOOKUP(C31,[1]!Tableau_cotisants,10,FALSE)</f>
        <v>Merpins</v>
      </c>
      <c r="M31" s="53" t="str">
        <f>VLOOKUP(C31,[1]!Tableau_cotisants,11,FALSE)</f>
        <v>Cognac</v>
      </c>
      <c r="N31" s="6">
        <v>1</v>
      </c>
      <c r="O31" s="5"/>
      <c r="P31" s="27">
        <v>1</v>
      </c>
      <c r="Q31" s="192"/>
      <c r="R31" s="194"/>
      <c r="S31" s="55"/>
      <c r="T31" s="55"/>
      <c r="U31" s="55"/>
      <c r="V31" s="168">
        <f t="shared" si="1"/>
        <v>1</v>
      </c>
      <c r="Y31" s="33">
        <f>Y29/AA29</f>
        <v>0.46130030959752322</v>
      </c>
      <c r="Z31" s="33">
        <f>Z29/AA29</f>
        <v>0.53869969040247678</v>
      </c>
      <c r="AA31" s="35">
        <f>Y31+Z31</f>
        <v>1</v>
      </c>
    </row>
    <row r="32" spans="1:34">
      <c r="A32" s="7"/>
      <c r="B32" s="7"/>
      <c r="C32" s="113" t="s">
        <v>243</v>
      </c>
      <c r="D32" s="52" t="str">
        <f>VLOOKUP(C32,[1]!Tableau_cotisants,2,FALSE)</f>
        <v>CHAGNEAU</v>
      </c>
      <c r="E32" s="52" t="str">
        <f>VLOOKUP(C32,[1]!Tableau_cotisants,3,FALSE)</f>
        <v>SAUVION</v>
      </c>
      <c r="F32" s="52" t="str">
        <f>VLOOKUP(C32,[1]!Tableau_cotisants,4,FALSE)</f>
        <v>Emmy</v>
      </c>
      <c r="G32" s="53">
        <f>VLOOKUP(C32,[1]!Tableau_cotisants,5,FALSE)</f>
        <v>1</v>
      </c>
      <c r="H32" s="52">
        <f>VLOOKUP(C32,[1]!Tableau_cotisants,6,FALSE)</f>
        <v>1</v>
      </c>
      <c r="I32" s="52">
        <f>VLOOKUP(C32,[1]!Tableau_cotisants,7,FALSE)</f>
        <v>0</v>
      </c>
      <c r="J32" s="54">
        <f>VLOOKUP(C32,[1]!Tableau_cotisants,8,FALSE)</f>
        <v>43213</v>
      </c>
      <c r="K32" s="54" t="str">
        <f t="shared" si="0"/>
        <v>1 an(s) 2 mois et 8 jour(s)</v>
      </c>
      <c r="L32" s="52" t="str">
        <f>VLOOKUP(C32,[1]!Tableau_cotisants,10,FALSE)</f>
        <v>Merpins</v>
      </c>
      <c r="M32" s="53" t="str">
        <f>VLOOKUP(C32,[1]!Tableau_cotisants,11,FALSE)</f>
        <v>Cognac</v>
      </c>
      <c r="N32" s="6">
        <v>1</v>
      </c>
      <c r="O32" s="5"/>
      <c r="P32" s="27">
        <v>1</v>
      </c>
      <c r="Q32" s="192"/>
      <c r="R32" s="194"/>
      <c r="S32" s="55"/>
      <c r="T32" s="55"/>
      <c r="U32" s="55"/>
      <c r="V32" s="168">
        <f t="shared" si="1"/>
        <v>1</v>
      </c>
    </row>
    <row r="33" spans="1:22">
      <c r="A33" s="7"/>
      <c r="B33" s="7"/>
      <c r="C33" s="131" t="s">
        <v>243</v>
      </c>
      <c r="D33" s="52" t="str">
        <f>VLOOKUP(C33,[1]!Tableau_cotisants,2,FALSE)</f>
        <v>CHAGNEAU</v>
      </c>
      <c r="E33" s="52" t="str">
        <f>VLOOKUP(C33,[1]!Tableau_cotisants,3,FALSE)</f>
        <v>SAUVION</v>
      </c>
      <c r="F33" s="52" t="str">
        <f>VLOOKUP(C33,[1]!Tableau_cotisants,4,FALSE)</f>
        <v>Emmy</v>
      </c>
      <c r="G33" s="53">
        <f>VLOOKUP(C33,[1]!Tableau_cotisants,5,FALSE)</f>
        <v>1</v>
      </c>
      <c r="H33" s="52">
        <f>VLOOKUP(C33,[1]!Tableau_cotisants,6,FALSE)</f>
        <v>1</v>
      </c>
      <c r="I33" s="52">
        <f>VLOOKUP(C33,[1]!Tableau_cotisants,7,FALSE)</f>
        <v>0</v>
      </c>
      <c r="J33" s="54">
        <f>VLOOKUP(C33,[1]!Tableau_cotisants,8,FALSE)</f>
        <v>43213</v>
      </c>
      <c r="K33" s="54" t="str">
        <f t="shared" si="0"/>
        <v>1 an(s) 2 mois et 8 jour(s)</v>
      </c>
      <c r="L33" s="52" t="str">
        <f>VLOOKUP(C33,[1]!Tableau_cotisants,10,FALSE)</f>
        <v>Merpins</v>
      </c>
      <c r="M33" s="53" t="str">
        <f>VLOOKUP(C33,[1]!Tableau_cotisants,11,FALSE)</f>
        <v>Cognac</v>
      </c>
      <c r="N33" s="6">
        <v>1</v>
      </c>
      <c r="O33" s="5"/>
      <c r="P33" s="27">
        <v>1</v>
      </c>
      <c r="Q33" s="192"/>
      <c r="R33" s="194"/>
      <c r="S33" s="55"/>
      <c r="T33" s="55"/>
      <c r="U33" s="55"/>
      <c r="V33" s="168">
        <f t="shared" si="1"/>
        <v>1</v>
      </c>
    </row>
    <row r="34" spans="1:22">
      <c r="A34" s="7"/>
      <c r="B34" s="7"/>
      <c r="C34" s="113" t="s">
        <v>244</v>
      </c>
      <c r="D34" s="52" t="str">
        <f>VLOOKUP(C34,[1]!Tableau_cotisants,2,FALSE)</f>
        <v>CHAGNEAU</v>
      </c>
      <c r="E34" s="52" t="str">
        <f>VLOOKUP(C34,[1]!Tableau_cotisants,3,FALSE)</f>
        <v>DESBORDES</v>
      </c>
      <c r="F34" s="52" t="str">
        <f>VLOOKUP(C34,[1]!Tableau_cotisants,4,FALSE)</f>
        <v>Paula</v>
      </c>
      <c r="G34" s="53">
        <f>VLOOKUP(C34,[1]!Tableau_cotisants,5,FALSE)</f>
        <v>1</v>
      </c>
      <c r="H34" s="52">
        <f>VLOOKUP(C34,[1]!Tableau_cotisants,6,FALSE)</f>
        <v>1</v>
      </c>
      <c r="I34" s="52">
        <f>VLOOKUP(C34,[1]!Tableau_cotisants,7,FALSE)</f>
        <v>0</v>
      </c>
      <c r="J34" s="54">
        <f>VLOOKUP(C34,[1]!Tableau_cotisants,8,FALSE)</f>
        <v>43125</v>
      </c>
      <c r="K34" s="54" t="str">
        <f t="shared" si="0"/>
        <v>1 an(s) 5 mois et 6 jour(s)</v>
      </c>
      <c r="L34" s="52" t="str">
        <f>VLOOKUP(C34,[1]!Tableau_cotisants,10,FALSE)</f>
        <v>Merpins</v>
      </c>
      <c r="M34" s="53" t="str">
        <f>VLOOKUP(C34,[1]!Tableau_cotisants,11,FALSE)</f>
        <v>Cognac</v>
      </c>
      <c r="N34" s="6">
        <v>1</v>
      </c>
      <c r="O34" s="5"/>
      <c r="P34" s="27">
        <v>1</v>
      </c>
      <c r="Q34" s="192"/>
      <c r="R34" s="194"/>
      <c r="S34" s="55"/>
      <c r="T34" s="55"/>
      <c r="U34" s="55"/>
      <c r="V34" s="168">
        <f t="shared" si="1"/>
        <v>1</v>
      </c>
    </row>
    <row r="35" spans="1:22">
      <c r="A35" s="7"/>
      <c r="B35" s="7"/>
      <c r="C35" s="113" t="s">
        <v>245</v>
      </c>
      <c r="D35" s="52" t="str">
        <f>VLOOKUP(C35,[1]!Tableau_cotisants,2,FALSE)</f>
        <v>CHAGNEAU</v>
      </c>
      <c r="E35" s="52" t="str">
        <f>VLOOKUP(C35,[1]!Tableau_cotisants,3,FALSE)</f>
        <v>MEUNIER</v>
      </c>
      <c r="F35" s="52" t="str">
        <f>VLOOKUP(C35,[1]!Tableau_cotisants,4,FALSE)</f>
        <v>Hugo</v>
      </c>
      <c r="G35" s="53">
        <f>VLOOKUP(C35,[1]!Tableau_cotisants,5,FALSE)</f>
        <v>1</v>
      </c>
      <c r="H35" s="52">
        <f>VLOOKUP(C35,[1]!Tableau_cotisants,6,FALSE)</f>
        <v>0</v>
      </c>
      <c r="I35" s="52">
        <f>VLOOKUP(C35,[1]!Tableau_cotisants,7,FALSE)</f>
        <v>1</v>
      </c>
      <c r="J35" s="54">
        <f>VLOOKUP(C35,[1]!Tableau_cotisants,8,FALSE)</f>
        <v>43284</v>
      </c>
      <c r="K35" s="54" t="str">
        <f t="shared" si="0"/>
        <v>0 an(s) 11 mois et 28 jour(s)</v>
      </c>
      <c r="L35" s="52" t="str">
        <f>VLOOKUP(C35,[1]!Tableau_cotisants,10,FALSE)</f>
        <v>Merpins</v>
      </c>
      <c r="M35" s="53" t="str">
        <f>VLOOKUP(C35,[1]!Tableau_cotisants,11,FALSE)</f>
        <v>Cognac</v>
      </c>
      <c r="N35" s="6">
        <v>1</v>
      </c>
      <c r="O35" s="5"/>
      <c r="P35" s="27">
        <v>1</v>
      </c>
      <c r="Q35" s="192"/>
      <c r="R35" s="194"/>
      <c r="S35" s="55"/>
      <c r="T35" s="55"/>
      <c r="U35" s="55"/>
      <c r="V35" s="168">
        <f t="shared" si="1"/>
        <v>1</v>
      </c>
    </row>
    <row r="36" spans="1:22">
      <c r="A36" s="7"/>
      <c r="B36" s="7"/>
      <c r="C36" s="131" t="s">
        <v>245</v>
      </c>
      <c r="D36" s="52" t="str">
        <f>VLOOKUP(C36,[1]!Tableau_cotisants,2,FALSE)</f>
        <v>CHAGNEAU</v>
      </c>
      <c r="E36" s="52" t="str">
        <f>VLOOKUP(C36,[1]!Tableau_cotisants,3,FALSE)</f>
        <v>MEUNIER</v>
      </c>
      <c r="F36" s="52" t="str">
        <f>VLOOKUP(C36,[1]!Tableau_cotisants,4,FALSE)</f>
        <v>Hugo</v>
      </c>
      <c r="G36" s="53">
        <f>VLOOKUP(C36,[1]!Tableau_cotisants,5,FALSE)</f>
        <v>1</v>
      </c>
      <c r="H36" s="52">
        <f>VLOOKUP(C36,[1]!Tableau_cotisants,6,FALSE)</f>
        <v>0</v>
      </c>
      <c r="I36" s="52">
        <f>VLOOKUP(C36,[1]!Tableau_cotisants,7,FALSE)</f>
        <v>1</v>
      </c>
      <c r="J36" s="54">
        <f>VLOOKUP(C36,[1]!Tableau_cotisants,8,FALSE)</f>
        <v>43284</v>
      </c>
      <c r="K36" s="54" t="str">
        <f t="shared" si="0"/>
        <v>0 an(s) 11 mois et 28 jour(s)</v>
      </c>
      <c r="L36" s="52" t="str">
        <f>VLOOKUP(C36,[1]!Tableau_cotisants,10,FALSE)</f>
        <v>Merpins</v>
      </c>
      <c r="M36" s="53" t="str">
        <f>VLOOKUP(C36,[1]!Tableau_cotisants,11,FALSE)</f>
        <v>Cognac</v>
      </c>
      <c r="N36" s="6">
        <v>1</v>
      </c>
      <c r="O36" s="5"/>
      <c r="P36" s="27">
        <v>1</v>
      </c>
      <c r="Q36" s="192"/>
      <c r="R36" s="194"/>
      <c r="S36" s="55"/>
      <c r="T36" s="55"/>
      <c r="U36" s="55"/>
      <c r="V36" s="168">
        <f t="shared" si="1"/>
        <v>1</v>
      </c>
    </row>
    <row r="37" spans="1:22">
      <c r="A37" s="7"/>
      <c r="B37" s="7"/>
      <c r="C37" s="131" t="s">
        <v>295</v>
      </c>
      <c r="D37" s="52" t="str">
        <f>VLOOKUP(C37,[1]!Tableau_cotisants,2,FALSE)</f>
        <v>CHAGNEAU</v>
      </c>
      <c r="E37" s="52" t="str">
        <f>VLOOKUP(C37,[1]!Tableau_cotisants,3,FALSE)</f>
        <v>COUGOULE</v>
      </c>
      <c r="F37" s="52" t="str">
        <f>VLOOKUP(C37,[1]!Tableau_cotisants,4,FALSE)</f>
        <v>Louis</v>
      </c>
      <c r="G37" s="53">
        <f>VLOOKUP(C37,[1]!Tableau_cotisants,5,FALSE)</f>
        <v>1</v>
      </c>
      <c r="H37" s="52">
        <f>VLOOKUP(C37,[1]!Tableau_cotisants,6,FALSE)</f>
        <v>0</v>
      </c>
      <c r="I37" s="52">
        <f>VLOOKUP(C37,[1]!Tableau_cotisants,7,FALSE)</f>
        <v>1</v>
      </c>
      <c r="J37" s="54">
        <f>VLOOKUP(C37,[1]!Tableau_cotisants,8,FALSE)</f>
        <v>42493</v>
      </c>
      <c r="K37" s="54" t="str">
        <f t="shared" si="0"/>
        <v>3 an(s) 1 mois et 28 jour(s)</v>
      </c>
      <c r="L37" s="52" t="str">
        <f>VLOOKUP(C37,[1]!Tableau_cotisants,10,FALSE)</f>
        <v>Merpins</v>
      </c>
      <c r="M37" s="53" t="str">
        <f>VLOOKUP(C37,[1]!Tableau_cotisants,11,FALSE)</f>
        <v>Cognac</v>
      </c>
      <c r="N37" s="6">
        <v>1</v>
      </c>
      <c r="O37" s="5"/>
      <c r="P37" s="27">
        <v>1</v>
      </c>
      <c r="Q37" s="192"/>
      <c r="R37" s="194"/>
      <c r="S37" s="55"/>
      <c r="T37" s="55"/>
      <c r="U37" s="55"/>
      <c r="V37" s="168">
        <f t="shared" si="1"/>
        <v>1</v>
      </c>
    </row>
    <row r="38" spans="1:22">
      <c r="A38" s="172"/>
      <c r="B38" s="171"/>
      <c r="C38" s="174" t="s">
        <v>95</v>
      </c>
      <c r="D38" s="52" t="str">
        <f>VLOOKUP(C38,[1]!Tableau_cotisants,2,FALSE)</f>
        <v>COZIC</v>
      </c>
      <c r="E38" s="52" t="str">
        <f>VLOOKUP(C38,[1]!Tableau_cotisants,3,FALSE)</f>
        <v>FRAISSINET COZIC</v>
      </c>
      <c r="F38" s="52" t="str">
        <f>VLOOKUP(C38,[1]!Tableau_cotisants,4,FALSE)</f>
        <v>Kathleen</v>
      </c>
      <c r="G38" s="53">
        <f>VLOOKUP(C38,[1]!Tableau_cotisants,5,FALSE)</f>
        <v>1</v>
      </c>
      <c r="H38" s="52">
        <f>VLOOKUP(C38,[1]!Tableau_cotisants,6,FALSE)</f>
        <v>1</v>
      </c>
      <c r="I38" s="52">
        <f>VLOOKUP(C38,[1]!Tableau_cotisants,7,FALSE)</f>
        <v>0</v>
      </c>
      <c r="J38" s="54">
        <f>VLOOKUP(C38,[1]!Tableau_cotisants,8,FALSE)</f>
        <v>39909</v>
      </c>
      <c r="K38" s="54" t="str">
        <f t="shared" si="0"/>
        <v>10 an(s) 2 mois et 25 jour(s)</v>
      </c>
      <c r="L38" s="52" t="str">
        <f>VLOOKUP(C38,[1]!Tableau_cotisants,10,FALSE)</f>
        <v>Chateaubernard</v>
      </c>
      <c r="M38" s="53" t="str">
        <f>VLOOKUP(C38,[1]!Tableau_cotisants,11,FALSE)</f>
        <v>Cognac</v>
      </c>
      <c r="N38" s="85">
        <v>1</v>
      </c>
      <c r="O38" s="57"/>
      <c r="P38" s="68">
        <v>1</v>
      </c>
      <c r="Q38" s="86"/>
      <c r="R38" s="87"/>
      <c r="S38" s="55"/>
      <c r="T38" s="55"/>
      <c r="U38" s="55"/>
      <c r="V38" s="168">
        <f t="shared" si="1"/>
        <v>1</v>
      </c>
    </row>
    <row r="39" spans="1:22">
      <c r="A39" s="172"/>
      <c r="B39" s="171"/>
      <c r="C39" s="174" t="s">
        <v>95</v>
      </c>
      <c r="D39" s="52" t="str">
        <f>VLOOKUP(C39,[1]!Tableau_cotisants,2,FALSE)</f>
        <v>COZIC</v>
      </c>
      <c r="E39" s="52" t="str">
        <f>VLOOKUP(C39,[1]!Tableau_cotisants,3,FALSE)</f>
        <v>FRAISSINET COZIC</v>
      </c>
      <c r="F39" s="52" t="str">
        <f>VLOOKUP(C39,[1]!Tableau_cotisants,4,FALSE)</f>
        <v>Kathleen</v>
      </c>
      <c r="G39" s="53">
        <f>VLOOKUP(C39,[1]!Tableau_cotisants,5,FALSE)</f>
        <v>1</v>
      </c>
      <c r="H39" s="52">
        <f>VLOOKUP(C39,[1]!Tableau_cotisants,6,FALSE)</f>
        <v>1</v>
      </c>
      <c r="I39" s="52">
        <f>VLOOKUP(C39,[1]!Tableau_cotisants,7,FALSE)</f>
        <v>0</v>
      </c>
      <c r="J39" s="54">
        <f>VLOOKUP(C39,[1]!Tableau_cotisants,8,FALSE)</f>
        <v>39909</v>
      </c>
      <c r="K39" s="54" t="str">
        <f t="shared" si="0"/>
        <v>10 an(s) 2 mois et 25 jour(s)</v>
      </c>
      <c r="L39" s="52" t="str">
        <f>VLOOKUP(C39,[1]!Tableau_cotisants,10,FALSE)</f>
        <v>Chateaubernard</v>
      </c>
      <c r="M39" s="53" t="str">
        <f>VLOOKUP(C39,[1]!Tableau_cotisants,11,FALSE)</f>
        <v>Cognac</v>
      </c>
      <c r="N39" s="6">
        <v>1</v>
      </c>
      <c r="O39" s="5"/>
      <c r="P39" s="27"/>
      <c r="Q39" s="192"/>
      <c r="R39" s="194">
        <v>1</v>
      </c>
      <c r="S39" s="55"/>
      <c r="T39" s="55"/>
      <c r="U39" s="55"/>
      <c r="V39" s="168">
        <f t="shared" si="1"/>
        <v>1</v>
      </c>
    </row>
    <row r="40" spans="1:22">
      <c r="A40" s="7"/>
      <c r="B40" s="7"/>
      <c r="C40" s="174" t="s">
        <v>95</v>
      </c>
      <c r="D40" s="52" t="str">
        <f>VLOOKUP(C40,[1]!Tableau_cotisants,2,FALSE)</f>
        <v>COZIC</v>
      </c>
      <c r="E40" s="52" t="str">
        <f>VLOOKUP(C40,[1]!Tableau_cotisants,3,FALSE)</f>
        <v>FRAISSINET COZIC</v>
      </c>
      <c r="F40" s="52" t="str">
        <f>VLOOKUP(C40,[1]!Tableau_cotisants,4,FALSE)</f>
        <v>Kathleen</v>
      </c>
      <c r="G40" s="53">
        <f>VLOOKUP(C40,[1]!Tableau_cotisants,5,FALSE)</f>
        <v>1</v>
      </c>
      <c r="H40" s="52">
        <f>VLOOKUP(C40,[1]!Tableau_cotisants,6,FALSE)</f>
        <v>1</v>
      </c>
      <c r="I40" s="52">
        <f>VLOOKUP(C40,[1]!Tableau_cotisants,7,FALSE)</f>
        <v>0</v>
      </c>
      <c r="J40" s="54">
        <f>VLOOKUP(C40,[1]!Tableau_cotisants,8,FALSE)</f>
        <v>39909</v>
      </c>
      <c r="K40" s="54" t="str">
        <f t="shared" si="0"/>
        <v>10 an(s) 2 mois et 25 jour(s)</v>
      </c>
      <c r="L40" s="52" t="str">
        <f>VLOOKUP(C40,[1]!Tableau_cotisants,10,FALSE)</f>
        <v>Chateaubernard</v>
      </c>
      <c r="M40" s="53" t="str">
        <f>VLOOKUP(C40,[1]!Tableau_cotisants,11,FALSE)</f>
        <v>Cognac</v>
      </c>
      <c r="N40" s="6">
        <v>1</v>
      </c>
      <c r="O40" s="5"/>
      <c r="P40" s="27"/>
      <c r="Q40" s="192"/>
      <c r="R40" s="194">
        <v>1</v>
      </c>
      <c r="S40" s="55"/>
      <c r="T40" s="55"/>
      <c r="U40" s="55"/>
      <c r="V40" s="168">
        <f t="shared" si="1"/>
        <v>1</v>
      </c>
    </row>
    <row r="41" spans="1:22">
      <c r="A41" s="7"/>
      <c r="B41" s="7"/>
      <c r="C41" s="174" t="s">
        <v>95</v>
      </c>
      <c r="D41" s="52" t="str">
        <f>VLOOKUP(C41,[1]!Tableau_cotisants,2,FALSE)</f>
        <v>COZIC</v>
      </c>
      <c r="E41" s="52" t="str">
        <f>VLOOKUP(C41,[1]!Tableau_cotisants,3,FALSE)</f>
        <v>FRAISSINET COZIC</v>
      </c>
      <c r="F41" s="52" t="str">
        <f>VLOOKUP(C41,[1]!Tableau_cotisants,4,FALSE)</f>
        <v>Kathleen</v>
      </c>
      <c r="G41" s="53">
        <f>VLOOKUP(C41,[1]!Tableau_cotisants,5,FALSE)</f>
        <v>1</v>
      </c>
      <c r="H41" s="52">
        <f>VLOOKUP(C41,[1]!Tableau_cotisants,6,FALSE)</f>
        <v>1</v>
      </c>
      <c r="I41" s="52">
        <f>VLOOKUP(C41,[1]!Tableau_cotisants,7,FALSE)</f>
        <v>0</v>
      </c>
      <c r="J41" s="54">
        <f>VLOOKUP(C41,[1]!Tableau_cotisants,8,FALSE)</f>
        <v>39909</v>
      </c>
      <c r="K41" s="54" t="str">
        <f t="shared" si="0"/>
        <v>10 an(s) 2 mois et 25 jour(s)</v>
      </c>
      <c r="L41" s="52" t="str">
        <f>VLOOKUP(C41,[1]!Tableau_cotisants,10,FALSE)</f>
        <v>Chateaubernard</v>
      </c>
      <c r="M41" s="53" t="str">
        <f>VLOOKUP(C41,[1]!Tableau_cotisants,11,FALSE)</f>
        <v>Cognac</v>
      </c>
      <c r="N41" s="6">
        <v>1</v>
      </c>
      <c r="O41" s="5"/>
      <c r="P41" s="27"/>
      <c r="Q41" s="192"/>
      <c r="R41" s="194">
        <v>1</v>
      </c>
      <c r="S41" s="55"/>
      <c r="T41" s="55"/>
      <c r="U41" s="55"/>
      <c r="V41" s="168">
        <f t="shared" si="1"/>
        <v>1</v>
      </c>
    </row>
    <row r="42" spans="1:22">
      <c r="A42" s="7"/>
      <c r="B42" s="7"/>
      <c r="C42" s="174" t="s">
        <v>95</v>
      </c>
      <c r="D42" s="52" t="str">
        <f>VLOOKUP(C42,[1]!Tableau_cotisants,2,FALSE)</f>
        <v>COZIC</v>
      </c>
      <c r="E42" s="52" t="str">
        <f>VLOOKUP(C42,[1]!Tableau_cotisants,3,FALSE)</f>
        <v>FRAISSINET COZIC</v>
      </c>
      <c r="F42" s="52" t="str">
        <f>VLOOKUP(C42,[1]!Tableau_cotisants,4,FALSE)</f>
        <v>Kathleen</v>
      </c>
      <c r="G42" s="53">
        <f>VLOOKUP(C42,[1]!Tableau_cotisants,5,FALSE)</f>
        <v>1</v>
      </c>
      <c r="H42" s="52">
        <f>VLOOKUP(C42,[1]!Tableau_cotisants,6,FALSE)</f>
        <v>1</v>
      </c>
      <c r="I42" s="52">
        <f>VLOOKUP(C42,[1]!Tableau_cotisants,7,FALSE)</f>
        <v>0</v>
      </c>
      <c r="J42" s="54">
        <f>VLOOKUP(C42,[1]!Tableau_cotisants,8,FALSE)</f>
        <v>39909</v>
      </c>
      <c r="K42" s="54" t="str">
        <f t="shared" si="0"/>
        <v>10 an(s) 2 mois et 25 jour(s)</v>
      </c>
      <c r="L42" s="52" t="str">
        <f>VLOOKUP(C42,[1]!Tableau_cotisants,10,FALSE)</f>
        <v>Chateaubernard</v>
      </c>
      <c r="M42" s="53" t="str">
        <f>VLOOKUP(C42,[1]!Tableau_cotisants,11,FALSE)</f>
        <v>Cognac</v>
      </c>
      <c r="N42" s="6">
        <v>1</v>
      </c>
      <c r="O42" s="5"/>
      <c r="P42" s="27">
        <v>1</v>
      </c>
      <c r="Q42" s="192"/>
      <c r="R42" s="194"/>
      <c r="S42" s="55"/>
      <c r="T42" s="55"/>
      <c r="U42" s="55"/>
      <c r="V42" s="168">
        <f t="shared" si="1"/>
        <v>1</v>
      </c>
    </row>
    <row r="43" spans="1:22">
      <c r="A43" s="7"/>
      <c r="B43" s="7"/>
      <c r="C43" s="113" t="s">
        <v>95</v>
      </c>
      <c r="D43" s="52" t="str">
        <f>VLOOKUP(C43,[1]!Tableau_cotisants,2,FALSE)</f>
        <v>COZIC</v>
      </c>
      <c r="E43" s="52" t="str">
        <f>VLOOKUP(C43,[1]!Tableau_cotisants,3,FALSE)</f>
        <v>FRAISSINET COZIC</v>
      </c>
      <c r="F43" s="52" t="str">
        <f>VLOOKUP(C43,[1]!Tableau_cotisants,4,FALSE)</f>
        <v>Kathleen</v>
      </c>
      <c r="G43" s="53">
        <f>VLOOKUP(C43,[1]!Tableau_cotisants,5,FALSE)</f>
        <v>1</v>
      </c>
      <c r="H43" s="52">
        <f>VLOOKUP(C43,[1]!Tableau_cotisants,6,FALSE)</f>
        <v>1</v>
      </c>
      <c r="I43" s="52">
        <f>VLOOKUP(C43,[1]!Tableau_cotisants,7,FALSE)</f>
        <v>0</v>
      </c>
      <c r="J43" s="54">
        <f>VLOOKUP(C43,[1]!Tableau_cotisants,8,FALSE)</f>
        <v>39909</v>
      </c>
      <c r="K43" s="54" t="str">
        <f t="shared" si="0"/>
        <v>10 an(s) 2 mois et 25 jour(s)</v>
      </c>
      <c r="L43" s="52" t="str">
        <f>VLOOKUP(C43,[1]!Tableau_cotisants,10,FALSE)</f>
        <v>Chateaubernard</v>
      </c>
      <c r="M43" s="53" t="str">
        <f>VLOOKUP(C43,[1]!Tableau_cotisants,11,FALSE)</f>
        <v>Cognac</v>
      </c>
      <c r="N43" s="6">
        <v>1</v>
      </c>
      <c r="O43" s="5"/>
      <c r="P43" s="27"/>
      <c r="Q43" s="192"/>
      <c r="R43" s="194">
        <v>1</v>
      </c>
      <c r="S43" s="55"/>
      <c r="T43" s="55"/>
      <c r="U43" s="55"/>
      <c r="V43" s="168">
        <f t="shared" si="1"/>
        <v>1</v>
      </c>
    </row>
    <row r="44" spans="1:22">
      <c r="A44" s="7"/>
      <c r="B44" s="7"/>
      <c r="C44" s="113" t="s">
        <v>95</v>
      </c>
      <c r="D44" s="52" t="str">
        <f>VLOOKUP(C44,[1]!Tableau_cotisants,2,FALSE)</f>
        <v>COZIC</v>
      </c>
      <c r="E44" s="52" t="str">
        <f>VLOOKUP(C44,[1]!Tableau_cotisants,3,FALSE)</f>
        <v>FRAISSINET COZIC</v>
      </c>
      <c r="F44" s="52" t="str">
        <f>VLOOKUP(C44,[1]!Tableau_cotisants,4,FALSE)</f>
        <v>Kathleen</v>
      </c>
      <c r="G44" s="53">
        <f>VLOOKUP(C44,[1]!Tableau_cotisants,5,FALSE)</f>
        <v>1</v>
      </c>
      <c r="H44" s="52">
        <f>VLOOKUP(C44,[1]!Tableau_cotisants,6,FALSE)</f>
        <v>1</v>
      </c>
      <c r="I44" s="52">
        <f>VLOOKUP(C44,[1]!Tableau_cotisants,7,FALSE)</f>
        <v>0</v>
      </c>
      <c r="J44" s="54">
        <f>VLOOKUP(C44,[1]!Tableau_cotisants,8,FALSE)</f>
        <v>39909</v>
      </c>
      <c r="K44" s="54" t="str">
        <f t="shared" si="0"/>
        <v>10 an(s) 2 mois et 25 jour(s)</v>
      </c>
      <c r="L44" s="52" t="str">
        <f>VLOOKUP(C44,[1]!Tableau_cotisants,10,FALSE)</f>
        <v>Chateaubernard</v>
      </c>
      <c r="M44" s="53" t="str">
        <f>VLOOKUP(C44,[1]!Tableau_cotisants,11,FALSE)</f>
        <v>Cognac</v>
      </c>
      <c r="N44" s="6">
        <v>1</v>
      </c>
      <c r="O44" s="5"/>
      <c r="P44" s="27"/>
      <c r="Q44" s="192"/>
      <c r="R44" s="194">
        <v>1</v>
      </c>
      <c r="S44" s="55"/>
      <c r="T44" s="55"/>
      <c r="U44" s="55"/>
      <c r="V44" s="168">
        <f t="shared" si="1"/>
        <v>1</v>
      </c>
    </row>
    <row r="45" spans="1:22">
      <c r="A45" s="172"/>
      <c r="B45" s="171"/>
      <c r="C45" s="174" t="s">
        <v>96</v>
      </c>
      <c r="D45" s="52" t="str">
        <f>VLOOKUP(C45,[1]!Tableau_cotisants,2,FALSE)</f>
        <v>COZIC</v>
      </c>
      <c r="E45" s="52" t="str">
        <f>VLOOKUP(C45,[1]!Tableau_cotisants,3,FALSE)</f>
        <v>FRAISSINET COZIC</v>
      </c>
      <c r="F45" s="52" t="str">
        <f>VLOOKUP(C45,[1]!Tableau_cotisants,4,FALSE)</f>
        <v>Kendall</v>
      </c>
      <c r="G45" s="53">
        <f>VLOOKUP(C45,[1]!Tableau_cotisants,5,FALSE)</f>
        <v>1</v>
      </c>
      <c r="H45" s="52">
        <f>VLOOKUP(C45,[1]!Tableau_cotisants,6,FALSE)</f>
        <v>0</v>
      </c>
      <c r="I45" s="52">
        <f>VLOOKUP(C45,[1]!Tableau_cotisants,7,FALSE)</f>
        <v>1</v>
      </c>
      <c r="J45" s="54">
        <f>VLOOKUP(C45,[1]!Tableau_cotisants,8,FALSE)</f>
        <v>40770</v>
      </c>
      <c r="K45" s="54" t="str">
        <f t="shared" si="0"/>
        <v>7 an(s) 10 mois et 16 jour(s)</v>
      </c>
      <c r="L45" s="52" t="str">
        <f>VLOOKUP(C45,[1]!Tableau_cotisants,10,FALSE)</f>
        <v>Chateaubernard</v>
      </c>
      <c r="M45" s="53" t="str">
        <f>VLOOKUP(C45,[1]!Tableau_cotisants,11,FALSE)</f>
        <v>Cognac</v>
      </c>
      <c r="N45" s="85">
        <v>1</v>
      </c>
      <c r="O45" s="57"/>
      <c r="P45" s="68">
        <v>1</v>
      </c>
      <c r="Q45" s="86"/>
      <c r="R45" s="87"/>
      <c r="S45" s="55"/>
      <c r="T45" s="55"/>
      <c r="U45" s="55"/>
      <c r="V45" s="168">
        <f t="shared" si="1"/>
        <v>1</v>
      </c>
    </row>
    <row r="46" spans="1:22">
      <c r="A46" s="172"/>
      <c r="B46" s="171"/>
      <c r="C46" s="174" t="s">
        <v>96</v>
      </c>
      <c r="D46" s="52" t="str">
        <f>VLOOKUP(C46,[1]!Tableau_cotisants,2,FALSE)</f>
        <v>COZIC</v>
      </c>
      <c r="E46" s="52" t="str">
        <f>VLOOKUP(C46,[1]!Tableau_cotisants,3,FALSE)</f>
        <v>FRAISSINET COZIC</v>
      </c>
      <c r="F46" s="52" t="str">
        <f>VLOOKUP(C46,[1]!Tableau_cotisants,4,FALSE)</f>
        <v>Kendall</v>
      </c>
      <c r="G46" s="53">
        <f>VLOOKUP(C46,[1]!Tableau_cotisants,5,FALSE)</f>
        <v>1</v>
      </c>
      <c r="H46" s="52">
        <f>VLOOKUP(C46,[1]!Tableau_cotisants,6,FALSE)</f>
        <v>0</v>
      </c>
      <c r="I46" s="52">
        <f>VLOOKUP(C46,[1]!Tableau_cotisants,7,FALSE)</f>
        <v>1</v>
      </c>
      <c r="J46" s="54">
        <f>VLOOKUP(C46,[1]!Tableau_cotisants,8,FALSE)</f>
        <v>40770</v>
      </c>
      <c r="K46" s="54" t="str">
        <f t="shared" si="0"/>
        <v>7 an(s) 10 mois et 16 jour(s)</v>
      </c>
      <c r="L46" s="52" t="str">
        <f>VLOOKUP(C46,[1]!Tableau_cotisants,10,FALSE)</f>
        <v>Chateaubernard</v>
      </c>
      <c r="M46" s="53" t="str">
        <f>VLOOKUP(C46,[1]!Tableau_cotisants,11,FALSE)</f>
        <v>Cognac</v>
      </c>
      <c r="N46" s="6">
        <v>1</v>
      </c>
      <c r="O46" s="5"/>
      <c r="P46" s="27"/>
      <c r="Q46" s="192"/>
      <c r="R46" s="194">
        <v>1</v>
      </c>
      <c r="S46" s="55"/>
      <c r="T46" s="55"/>
      <c r="U46" s="55"/>
      <c r="V46" s="168">
        <f t="shared" si="1"/>
        <v>1</v>
      </c>
    </row>
    <row r="47" spans="1:22">
      <c r="A47" s="7"/>
      <c r="B47" s="7"/>
      <c r="C47" s="174" t="s">
        <v>96</v>
      </c>
      <c r="D47" s="52" t="str">
        <f>VLOOKUP(C47,[1]!Tableau_cotisants,2,FALSE)</f>
        <v>COZIC</v>
      </c>
      <c r="E47" s="52" t="str">
        <f>VLOOKUP(C47,[1]!Tableau_cotisants,3,FALSE)</f>
        <v>FRAISSINET COZIC</v>
      </c>
      <c r="F47" s="52" t="str">
        <f>VLOOKUP(C47,[1]!Tableau_cotisants,4,FALSE)</f>
        <v>Kendall</v>
      </c>
      <c r="G47" s="53">
        <f>VLOOKUP(C47,[1]!Tableau_cotisants,5,FALSE)</f>
        <v>1</v>
      </c>
      <c r="H47" s="52">
        <f>VLOOKUP(C47,[1]!Tableau_cotisants,6,FALSE)</f>
        <v>0</v>
      </c>
      <c r="I47" s="52">
        <f>VLOOKUP(C47,[1]!Tableau_cotisants,7,FALSE)</f>
        <v>1</v>
      </c>
      <c r="J47" s="54">
        <f>VLOOKUP(C47,[1]!Tableau_cotisants,8,FALSE)</f>
        <v>40770</v>
      </c>
      <c r="K47" s="54" t="str">
        <f t="shared" si="0"/>
        <v>7 an(s) 10 mois et 16 jour(s)</v>
      </c>
      <c r="L47" s="52" t="str">
        <f>VLOOKUP(C47,[1]!Tableau_cotisants,10,FALSE)</f>
        <v>Chateaubernard</v>
      </c>
      <c r="M47" s="53" t="str">
        <f>VLOOKUP(C47,[1]!Tableau_cotisants,11,FALSE)</f>
        <v>Cognac</v>
      </c>
      <c r="N47" s="6">
        <v>1</v>
      </c>
      <c r="O47" s="5"/>
      <c r="P47" s="27"/>
      <c r="Q47" s="192"/>
      <c r="R47" s="194">
        <v>1</v>
      </c>
      <c r="S47" s="55"/>
      <c r="T47" s="55"/>
      <c r="U47" s="55"/>
      <c r="V47" s="168">
        <f t="shared" si="1"/>
        <v>1</v>
      </c>
    </row>
    <row r="48" spans="1:22">
      <c r="A48" s="7"/>
      <c r="B48" s="7"/>
      <c r="C48" s="174" t="s">
        <v>96</v>
      </c>
      <c r="D48" s="52" t="str">
        <f>VLOOKUP(C48,[1]!Tableau_cotisants,2,FALSE)</f>
        <v>COZIC</v>
      </c>
      <c r="E48" s="52" t="str">
        <f>VLOOKUP(C48,[1]!Tableau_cotisants,3,FALSE)</f>
        <v>FRAISSINET COZIC</v>
      </c>
      <c r="F48" s="52" t="str">
        <f>VLOOKUP(C48,[1]!Tableau_cotisants,4,FALSE)</f>
        <v>Kendall</v>
      </c>
      <c r="G48" s="53">
        <f>VLOOKUP(C48,[1]!Tableau_cotisants,5,FALSE)</f>
        <v>1</v>
      </c>
      <c r="H48" s="52">
        <f>VLOOKUP(C48,[1]!Tableau_cotisants,6,FALSE)</f>
        <v>0</v>
      </c>
      <c r="I48" s="52">
        <f>VLOOKUP(C48,[1]!Tableau_cotisants,7,FALSE)</f>
        <v>1</v>
      </c>
      <c r="J48" s="54">
        <f>VLOOKUP(C48,[1]!Tableau_cotisants,8,FALSE)</f>
        <v>40770</v>
      </c>
      <c r="K48" s="54" t="str">
        <f t="shared" si="0"/>
        <v>7 an(s) 10 mois et 16 jour(s)</v>
      </c>
      <c r="L48" s="52" t="str">
        <f>VLOOKUP(C48,[1]!Tableau_cotisants,10,FALSE)</f>
        <v>Chateaubernard</v>
      </c>
      <c r="M48" s="53" t="str">
        <f>VLOOKUP(C48,[1]!Tableau_cotisants,11,FALSE)</f>
        <v>Cognac</v>
      </c>
      <c r="N48" s="6">
        <v>1</v>
      </c>
      <c r="O48" s="5"/>
      <c r="P48" s="27"/>
      <c r="Q48" s="192"/>
      <c r="R48" s="194">
        <v>1</v>
      </c>
      <c r="S48" s="55"/>
      <c r="T48" s="55"/>
      <c r="U48" s="55"/>
      <c r="V48" s="168">
        <f t="shared" si="1"/>
        <v>1</v>
      </c>
    </row>
    <row r="49" spans="1:23">
      <c r="A49" s="7"/>
      <c r="B49" s="7"/>
      <c r="C49" s="174" t="s">
        <v>96</v>
      </c>
      <c r="D49" s="52" t="str">
        <f>VLOOKUP(C49,[1]!Tableau_cotisants,2,FALSE)</f>
        <v>COZIC</v>
      </c>
      <c r="E49" s="52" t="str">
        <f>VLOOKUP(C49,[1]!Tableau_cotisants,3,FALSE)</f>
        <v>FRAISSINET COZIC</v>
      </c>
      <c r="F49" s="52" t="str">
        <f>VLOOKUP(C49,[1]!Tableau_cotisants,4,FALSE)</f>
        <v>Kendall</v>
      </c>
      <c r="G49" s="53">
        <f>VLOOKUP(C49,[1]!Tableau_cotisants,5,FALSE)</f>
        <v>1</v>
      </c>
      <c r="H49" s="52">
        <f>VLOOKUP(C49,[1]!Tableau_cotisants,6,FALSE)</f>
        <v>0</v>
      </c>
      <c r="I49" s="52">
        <f>VLOOKUP(C49,[1]!Tableau_cotisants,7,FALSE)</f>
        <v>1</v>
      </c>
      <c r="J49" s="54">
        <f>VLOOKUP(C49,[1]!Tableau_cotisants,8,FALSE)</f>
        <v>40770</v>
      </c>
      <c r="K49" s="54" t="str">
        <f t="shared" si="0"/>
        <v>7 an(s) 10 mois et 16 jour(s)</v>
      </c>
      <c r="L49" s="52" t="str">
        <f>VLOOKUP(C49,[1]!Tableau_cotisants,10,FALSE)</f>
        <v>Chateaubernard</v>
      </c>
      <c r="M49" s="53" t="str">
        <f>VLOOKUP(C49,[1]!Tableau_cotisants,11,FALSE)</f>
        <v>Cognac</v>
      </c>
      <c r="N49" s="6">
        <v>1</v>
      </c>
      <c r="O49" s="5"/>
      <c r="P49" s="27">
        <v>1</v>
      </c>
      <c r="Q49" s="192"/>
      <c r="R49" s="194"/>
      <c r="S49" s="55"/>
      <c r="T49" s="55"/>
      <c r="U49" s="55"/>
      <c r="V49" s="168">
        <f t="shared" si="1"/>
        <v>1</v>
      </c>
    </row>
    <row r="50" spans="1:23">
      <c r="A50" s="7"/>
      <c r="B50" s="7"/>
      <c r="C50" s="113" t="s">
        <v>96</v>
      </c>
      <c r="D50" s="52" t="str">
        <f>VLOOKUP(C50,[1]!Tableau_cotisants,2,FALSE)</f>
        <v>COZIC</v>
      </c>
      <c r="E50" s="52" t="str">
        <f>VLOOKUP(C50,[1]!Tableau_cotisants,3,FALSE)</f>
        <v>FRAISSINET COZIC</v>
      </c>
      <c r="F50" s="52" t="str">
        <f>VLOOKUP(C50,[1]!Tableau_cotisants,4,FALSE)</f>
        <v>Kendall</v>
      </c>
      <c r="G50" s="53">
        <f>VLOOKUP(C50,[1]!Tableau_cotisants,5,FALSE)</f>
        <v>1</v>
      </c>
      <c r="H50" s="52">
        <f>VLOOKUP(C50,[1]!Tableau_cotisants,6,FALSE)</f>
        <v>0</v>
      </c>
      <c r="I50" s="52">
        <f>VLOOKUP(C50,[1]!Tableau_cotisants,7,FALSE)</f>
        <v>1</v>
      </c>
      <c r="J50" s="54">
        <f>VLOOKUP(C50,[1]!Tableau_cotisants,8,FALSE)</f>
        <v>40770</v>
      </c>
      <c r="K50" s="54" t="str">
        <f t="shared" si="0"/>
        <v>7 an(s) 10 mois et 16 jour(s)</v>
      </c>
      <c r="L50" s="52" t="str">
        <f>VLOOKUP(C50,[1]!Tableau_cotisants,10,FALSE)</f>
        <v>Chateaubernard</v>
      </c>
      <c r="M50" s="53" t="str">
        <f>VLOOKUP(C50,[1]!Tableau_cotisants,11,FALSE)</f>
        <v>Cognac</v>
      </c>
      <c r="N50" s="6">
        <v>1</v>
      </c>
      <c r="O50" s="5"/>
      <c r="P50" s="27"/>
      <c r="Q50" s="192"/>
      <c r="R50" s="194">
        <v>1</v>
      </c>
      <c r="S50" s="55"/>
      <c r="T50" s="55"/>
      <c r="U50" s="55"/>
      <c r="V50" s="168">
        <f t="shared" si="1"/>
        <v>1</v>
      </c>
    </row>
    <row r="51" spans="1:23">
      <c r="A51" s="7"/>
      <c r="B51" s="7"/>
      <c r="C51" s="113" t="s">
        <v>96</v>
      </c>
      <c r="D51" s="52" t="str">
        <f>VLOOKUP(C51,[1]!Tableau_cotisants,2,FALSE)</f>
        <v>COZIC</v>
      </c>
      <c r="E51" s="52" t="str">
        <f>VLOOKUP(C51,[1]!Tableau_cotisants,3,FALSE)</f>
        <v>FRAISSINET COZIC</v>
      </c>
      <c r="F51" s="52" t="str">
        <f>VLOOKUP(C51,[1]!Tableau_cotisants,4,FALSE)</f>
        <v>Kendall</v>
      </c>
      <c r="G51" s="53">
        <f>VLOOKUP(C51,[1]!Tableau_cotisants,5,FALSE)</f>
        <v>1</v>
      </c>
      <c r="H51" s="52">
        <f>VLOOKUP(C51,[1]!Tableau_cotisants,6,FALSE)</f>
        <v>0</v>
      </c>
      <c r="I51" s="52">
        <f>VLOOKUP(C51,[1]!Tableau_cotisants,7,FALSE)</f>
        <v>1</v>
      </c>
      <c r="J51" s="54">
        <f>VLOOKUP(C51,[1]!Tableau_cotisants,8,FALSE)</f>
        <v>40770</v>
      </c>
      <c r="K51" s="54" t="str">
        <f t="shared" si="0"/>
        <v>7 an(s) 10 mois et 16 jour(s)</v>
      </c>
      <c r="L51" s="52" t="str">
        <f>VLOOKUP(C51,[1]!Tableau_cotisants,10,FALSE)</f>
        <v>Chateaubernard</v>
      </c>
      <c r="M51" s="53" t="str">
        <f>VLOOKUP(C51,[1]!Tableau_cotisants,11,FALSE)</f>
        <v>Cognac</v>
      </c>
      <c r="N51" s="6">
        <v>1</v>
      </c>
      <c r="O51" s="5"/>
      <c r="P51" s="27"/>
      <c r="Q51" s="192"/>
      <c r="R51" s="194">
        <v>1</v>
      </c>
      <c r="S51" s="55"/>
      <c r="T51" s="55"/>
      <c r="U51" s="55"/>
      <c r="V51" s="168">
        <f t="shared" si="1"/>
        <v>1</v>
      </c>
    </row>
    <row r="52" spans="1:23">
      <c r="A52" s="172"/>
      <c r="B52" s="171"/>
      <c r="C52" s="113" t="s">
        <v>145</v>
      </c>
      <c r="D52" s="52" t="str">
        <f>VLOOKUP(C52,[1]!Tableau_cotisants,2,FALSE)</f>
        <v>COZIC</v>
      </c>
      <c r="E52" s="52" t="str">
        <f>VLOOKUP(C52,[1]!Tableau_cotisants,3,FALSE)</f>
        <v>PARTAUD</v>
      </c>
      <c r="F52" s="52" t="str">
        <f>VLOOKUP(C52,[1]!Tableau_cotisants,4,FALSE)</f>
        <v>Jannah</v>
      </c>
      <c r="G52" s="53">
        <f>VLOOKUP(C52,[1]!Tableau_cotisants,5,FALSE)</f>
        <v>1</v>
      </c>
      <c r="H52" s="52">
        <f>VLOOKUP(C52,[1]!Tableau_cotisants,6,FALSE)</f>
        <v>1</v>
      </c>
      <c r="I52" s="52">
        <f>VLOOKUP(C52,[1]!Tableau_cotisants,7,FALSE)</f>
        <v>0</v>
      </c>
      <c r="J52" s="54">
        <f>VLOOKUP(C52,[1]!Tableau_cotisants,8,FALSE)</f>
        <v>41395</v>
      </c>
      <c r="K52" s="54" t="str">
        <f t="shared" si="0"/>
        <v>6 an(s) 2 mois et 0 jour(s)</v>
      </c>
      <c r="L52" s="52" t="str">
        <f>VLOOKUP(C52,[1]!Tableau_cotisants,10,FALSE)</f>
        <v>Chateaubernard</v>
      </c>
      <c r="M52" s="53" t="str">
        <f>VLOOKUP(C52,[1]!Tableau_cotisants,11,FALSE)</f>
        <v>Cognac</v>
      </c>
      <c r="N52" s="53">
        <v>1</v>
      </c>
      <c r="O52" s="57"/>
      <c r="P52" s="68">
        <v>1</v>
      </c>
      <c r="Q52" s="86"/>
      <c r="R52" s="87"/>
      <c r="S52" s="55"/>
      <c r="T52" s="55"/>
      <c r="U52" s="55"/>
      <c r="V52" s="168">
        <f t="shared" si="1"/>
        <v>1</v>
      </c>
    </row>
    <row r="53" spans="1:23">
      <c r="A53" s="172"/>
      <c r="B53" s="171"/>
      <c r="C53" s="174" t="s">
        <v>90</v>
      </c>
      <c r="D53" s="52" t="str">
        <f>VLOOKUP(C53,[1]!Tableau_cotisants,2,FALSE)</f>
        <v>GUYOT</v>
      </c>
      <c r="E53" s="52" t="str">
        <f>VLOOKUP(C53,[1]!Tableau_cotisants,3,FALSE)</f>
        <v>GUYOT</v>
      </c>
      <c r="F53" s="52" t="str">
        <f>VLOOKUP(C53,[1]!Tableau_cotisants,4,FALSE)</f>
        <v>Virginie</v>
      </c>
      <c r="G53" s="53">
        <f>VLOOKUP(C53,[1]!Tableau_cotisants,5,FALSE)</f>
        <v>1</v>
      </c>
      <c r="H53" s="52">
        <f>VLOOKUP(C53,[1]!Tableau_cotisants,6,FALSE)</f>
        <v>1</v>
      </c>
      <c r="I53" s="52">
        <f>VLOOKUP(C53,[1]!Tableau_cotisants,7,FALSE)</f>
        <v>0</v>
      </c>
      <c r="J53" s="54">
        <f>VLOOKUP(C53,[1]!Tableau_cotisants,8,FALSE)</f>
        <v>30012</v>
      </c>
      <c r="K53" s="54" t="str">
        <f t="shared" si="0"/>
        <v>37 an(s) 3 mois et 29 jour(s)</v>
      </c>
      <c r="L53" s="52" t="str">
        <f>VLOOKUP(C53,[1]!Tableau_cotisants,10,FALSE)</f>
        <v>Chateaubernard</v>
      </c>
      <c r="M53" s="53" t="str">
        <f>VLOOKUP(C53,[1]!Tableau_cotisants,11,FALSE)</f>
        <v>Cognac</v>
      </c>
      <c r="N53" s="53">
        <v>1</v>
      </c>
      <c r="O53" s="57"/>
      <c r="P53" s="68">
        <v>1</v>
      </c>
      <c r="Q53" s="86"/>
      <c r="R53" s="87"/>
      <c r="S53" s="55"/>
      <c r="T53" s="55"/>
      <c r="U53" s="55"/>
      <c r="V53" s="168">
        <f t="shared" si="1"/>
        <v>1</v>
      </c>
      <c r="W53" s="15"/>
    </row>
    <row r="54" spans="1:23">
      <c r="A54" s="172"/>
      <c r="B54" s="171"/>
      <c r="C54" s="103" t="s">
        <v>90</v>
      </c>
      <c r="D54" s="52" t="str">
        <f>VLOOKUP(C54,[1]!Tableau_cotisants,2,FALSE)</f>
        <v>GUYOT</v>
      </c>
      <c r="E54" s="52" t="str">
        <f>VLOOKUP(C54,[1]!Tableau_cotisants,3,FALSE)</f>
        <v>GUYOT</v>
      </c>
      <c r="F54" s="52" t="str">
        <f>VLOOKUP(C54,[1]!Tableau_cotisants,4,FALSE)</f>
        <v>Virginie</v>
      </c>
      <c r="G54" s="53">
        <f>VLOOKUP(C54,[1]!Tableau_cotisants,5,FALSE)</f>
        <v>1</v>
      </c>
      <c r="H54" s="52">
        <f>VLOOKUP(C54,[1]!Tableau_cotisants,6,FALSE)</f>
        <v>1</v>
      </c>
      <c r="I54" s="52">
        <f>VLOOKUP(C54,[1]!Tableau_cotisants,7,FALSE)</f>
        <v>0</v>
      </c>
      <c r="J54" s="54">
        <f>VLOOKUP(C54,[1]!Tableau_cotisants,8,FALSE)</f>
        <v>30012</v>
      </c>
      <c r="K54" s="54" t="str">
        <f t="shared" si="0"/>
        <v>37 an(s) 3 mois et 29 jour(s)</v>
      </c>
      <c r="L54" s="52" t="str">
        <f>VLOOKUP(C54,[1]!Tableau_cotisants,10,FALSE)</f>
        <v>Chateaubernard</v>
      </c>
      <c r="M54" s="53" t="str">
        <f>VLOOKUP(C54,[1]!Tableau_cotisants,11,FALSE)</f>
        <v>Cognac</v>
      </c>
      <c r="N54" s="6">
        <v>1</v>
      </c>
      <c r="O54" s="5"/>
      <c r="P54" s="27"/>
      <c r="Q54" s="26"/>
      <c r="R54" s="74">
        <v>1</v>
      </c>
      <c r="S54" s="55"/>
      <c r="T54" s="55"/>
      <c r="U54" s="55">
        <v>1</v>
      </c>
      <c r="V54" s="168">
        <f t="shared" si="1"/>
        <v>1</v>
      </c>
    </row>
    <row r="55" spans="1:23">
      <c r="A55" s="7"/>
      <c r="B55" s="7"/>
      <c r="C55" s="103" t="s">
        <v>90</v>
      </c>
      <c r="D55" s="52" t="str">
        <f>VLOOKUP(C55,[1]!Tableau_cotisants,2,FALSE)</f>
        <v>GUYOT</v>
      </c>
      <c r="E55" s="52" t="str">
        <f>VLOOKUP(C55,[1]!Tableau_cotisants,3,FALSE)</f>
        <v>GUYOT</v>
      </c>
      <c r="F55" s="52" t="str">
        <f>VLOOKUP(C55,[1]!Tableau_cotisants,4,FALSE)</f>
        <v>Virginie</v>
      </c>
      <c r="G55" s="53">
        <f>VLOOKUP(C55,[1]!Tableau_cotisants,5,FALSE)</f>
        <v>1</v>
      </c>
      <c r="H55" s="52">
        <f>VLOOKUP(C55,[1]!Tableau_cotisants,6,FALSE)</f>
        <v>1</v>
      </c>
      <c r="I55" s="52">
        <f>VLOOKUP(C55,[1]!Tableau_cotisants,7,FALSE)</f>
        <v>0</v>
      </c>
      <c r="J55" s="54">
        <f>VLOOKUP(C55,[1]!Tableau_cotisants,8,FALSE)</f>
        <v>30012</v>
      </c>
      <c r="K55" s="54" t="str">
        <f t="shared" si="0"/>
        <v>37 an(s) 3 mois et 29 jour(s)</v>
      </c>
      <c r="L55" s="52" t="str">
        <f>VLOOKUP(C55,[1]!Tableau_cotisants,10,FALSE)</f>
        <v>Chateaubernard</v>
      </c>
      <c r="M55" s="53" t="str">
        <f>VLOOKUP(C55,[1]!Tableau_cotisants,11,FALSE)</f>
        <v>Cognac</v>
      </c>
      <c r="N55" s="6">
        <v>1</v>
      </c>
      <c r="O55" s="5"/>
      <c r="P55" s="27"/>
      <c r="Q55" s="26"/>
      <c r="R55" s="74">
        <v>1</v>
      </c>
      <c r="S55" s="55"/>
      <c r="T55" s="55"/>
      <c r="U55" s="55"/>
      <c r="V55" s="168">
        <f t="shared" si="1"/>
        <v>1</v>
      </c>
    </row>
    <row r="56" spans="1:23">
      <c r="A56" s="7"/>
      <c r="B56" s="7"/>
      <c r="C56" s="100" t="s">
        <v>90</v>
      </c>
      <c r="D56" s="52" t="str">
        <f>VLOOKUP(C56,[1]!Tableau_cotisants,2,FALSE)</f>
        <v>GUYOT</v>
      </c>
      <c r="E56" s="52" t="str">
        <f>VLOOKUP(C56,[1]!Tableau_cotisants,3,FALSE)</f>
        <v>GUYOT</v>
      </c>
      <c r="F56" s="52" t="str">
        <f>VLOOKUP(C56,[1]!Tableau_cotisants,4,FALSE)</f>
        <v>Virginie</v>
      </c>
      <c r="G56" s="53">
        <f>VLOOKUP(C56,[1]!Tableau_cotisants,5,FALSE)</f>
        <v>1</v>
      </c>
      <c r="H56" s="52">
        <f>VLOOKUP(C56,[1]!Tableau_cotisants,6,FALSE)</f>
        <v>1</v>
      </c>
      <c r="I56" s="52">
        <f>VLOOKUP(C56,[1]!Tableau_cotisants,7,FALSE)</f>
        <v>0</v>
      </c>
      <c r="J56" s="54">
        <f>VLOOKUP(C56,[1]!Tableau_cotisants,8,FALSE)</f>
        <v>30012</v>
      </c>
      <c r="K56" s="54" t="str">
        <f t="shared" si="0"/>
        <v>37 an(s) 3 mois et 29 jour(s)</v>
      </c>
      <c r="L56" s="52" t="str">
        <f>VLOOKUP(C56,[1]!Tableau_cotisants,10,FALSE)</f>
        <v>Chateaubernard</v>
      </c>
      <c r="M56" s="53" t="str">
        <f>VLOOKUP(C56,[1]!Tableau_cotisants,11,FALSE)</f>
        <v>Cognac</v>
      </c>
      <c r="N56" s="6">
        <v>1</v>
      </c>
      <c r="O56" s="5"/>
      <c r="P56" s="27"/>
      <c r="Q56" s="26"/>
      <c r="R56" s="74">
        <v>1</v>
      </c>
      <c r="S56" s="55"/>
      <c r="T56" s="55"/>
      <c r="U56" s="55"/>
      <c r="V56" s="168">
        <f t="shared" si="1"/>
        <v>1</v>
      </c>
    </row>
    <row r="57" spans="1:23">
      <c r="A57" s="7"/>
      <c r="B57" s="7"/>
      <c r="C57" s="180" t="s">
        <v>90</v>
      </c>
      <c r="D57" s="52" t="str">
        <f>VLOOKUP(C57,[1]!Tableau_cotisants,2,FALSE)</f>
        <v>GUYOT</v>
      </c>
      <c r="E57" s="52" t="str">
        <f>VLOOKUP(C57,[1]!Tableau_cotisants,3,FALSE)</f>
        <v>GUYOT</v>
      </c>
      <c r="F57" s="52" t="str">
        <f>VLOOKUP(C57,[1]!Tableau_cotisants,4,FALSE)</f>
        <v>Virginie</v>
      </c>
      <c r="G57" s="53">
        <f>VLOOKUP(C57,[1]!Tableau_cotisants,5,FALSE)</f>
        <v>1</v>
      </c>
      <c r="H57" s="52">
        <f>VLOOKUP(C57,[1]!Tableau_cotisants,6,FALSE)</f>
        <v>1</v>
      </c>
      <c r="I57" s="52">
        <f>VLOOKUP(C57,[1]!Tableau_cotisants,7,FALSE)</f>
        <v>0</v>
      </c>
      <c r="J57" s="54">
        <f>VLOOKUP(C57,[1]!Tableau_cotisants,8,FALSE)</f>
        <v>30012</v>
      </c>
      <c r="K57" s="54" t="str">
        <f t="shared" si="0"/>
        <v>37 an(s) 3 mois et 29 jour(s)</v>
      </c>
      <c r="L57" s="52" t="str">
        <f>VLOOKUP(C57,[1]!Tableau_cotisants,10,FALSE)</f>
        <v>Chateaubernard</v>
      </c>
      <c r="M57" s="53" t="str">
        <f>VLOOKUP(C57,[1]!Tableau_cotisants,11,FALSE)</f>
        <v>Cognac</v>
      </c>
      <c r="N57" s="6">
        <v>1</v>
      </c>
      <c r="O57" s="5"/>
      <c r="P57" s="27"/>
      <c r="Q57" s="26"/>
      <c r="R57" s="74">
        <v>1</v>
      </c>
      <c r="S57" s="55"/>
      <c r="T57" s="55"/>
      <c r="U57" s="55"/>
      <c r="V57" s="168">
        <f t="shared" si="1"/>
        <v>1</v>
      </c>
    </row>
    <row r="58" spans="1:23">
      <c r="A58" s="7"/>
      <c r="B58" s="7"/>
      <c r="C58" s="180" t="s">
        <v>90</v>
      </c>
      <c r="D58" s="52" t="str">
        <f>VLOOKUP(C58,[1]!Tableau_cotisants,2,FALSE)</f>
        <v>GUYOT</v>
      </c>
      <c r="E58" s="52" t="str">
        <f>VLOOKUP(C58,[1]!Tableau_cotisants,3,FALSE)</f>
        <v>GUYOT</v>
      </c>
      <c r="F58" s="52" t="str">
        <f>VLOOKUP(C58,[1]!Tableau_cotisants,4,FALSE)</f>
        <v>Virginie</v>
      </c>
      <c r="G58" s="53">
        <f>VLOOKUP(C58,[1]!Tableau_cotisants,5,FALSE)</f>
        <v>1</v>
      </c>
      <c r="H58" s="52">
        <f>VLOOKUP(C58,[1]!Tableau_cotisants,6,FALSE)</f>
        <v>1</v>
      </c>
      <c r="I58" s="52">
        <f>VLOOKUP(C58,[1]!Tableau_cotisants,7,FALSE)</f>
        <v>0</v>
      </c>
      <c r="J58" s="54">
        <f>VLOOKUP(C58,[1]!Tableau_cotisants,8,FALSE)</f>
        <v>30012</v>
      </c>
      <c r="K58" s="54" t="str">
        <f t="shared" si="0"/>
        <v>37 an(s) 3 mois et 29 jour(s)</v>
      </c>
      <c r="L58" s="52" t="str">
        <f>VLOOKUP(C58,[1]!Tableau_cotisants,10,FALSE)</f>
        <v>Chateaubernard</v>
      </c>
      <c r="M58" s="53" t="str">
        <f>VLOOKUP(C58,[1]!Tableau_cotisants,11,FALSE)</f>
        <v>Cognac</v>
      </c>
      <c r="N58" s="6">
        <v>1</v>
      </c>
      <c r="O58" s="5"/>
      <c r="P58" s="27">
        <v>1</v>
      </c>
      <c r="Q58" s="26"/>
      <c r="R58" s="74"/>
      <c r="S58" s="55"/>
      <c r="T58" s="55"/>
      <c r="U58" s="55"/>
      <c r="V58" s="168">
        <f t="shared" si="1"/>
        <v>1</v>
      </c>
    </row>
    <row r="59" spans="1:23">
      <c r="A59" s="172"/>
      <c r="B59" s="171"/>
      <c r="C59" s="103" t="s">
        <v>91</v>
      </c>
      <c r="D59" s="52" t="str">
        <f>VLOOKUP(C59,[1]!Tableau_cotisants,2,FALSE)</f>
        <v>GUYOT</v>
      </c>
      <c r="E59" s="52" t="str">
        <f>VLOOKUP(C59,[1]!Tableau_cotisants,3,FALSE)</f>
        <v>FORGEARD</v>
      </c>
      <c r="F59" s="52" t="str">
        <f>VLOOKUP(C59,[1]!Tableau_cotisants,4,FALSE)</f>
        <v>Yanis</v>
      </c>
      <c r="G59" s="53">
        <f>VLOOKUP(C59,[1]!Tableau_cotisants,5,FALSE)</f>
        <v>1</v>
      </c>
      <c r="H59" s="52">
        <f>VLOOKUP(C59,[1]!Tableau_cotisants,6,FALSE)</f>
        <v>0</v>
      </c>
      <c r="I59" s="52">
        <f>VLOOKUP(C59,[1]!Tableau_cotisants,7,FALSE)</f>
        <v>1</v>
      </c>
      <c r="J59" s="54">
        <f>VLOOKUP(C59,[1]!Tableau_cotisants,8,FALSE)</f>
        <v>43315</v>
      </c>
      <c r="K59" s="54" t="str">
        <f t="shared" si="0"/>
        <v>0 an(s) 10 mois et 28 jour(s)</v>
      </c>
      <c r="L59" s="52" t="str">
        <f>VLOOKUP(C59,[1]!Tableau_cotisants,10,FALSE)</f>
        <v>Chateaubernard</v>
      </c>
      <c r="M59" s="53" t="str">
        <f>VLOOKUP(C59,[1]!Tableau_cotisants,11,FALSE)</f>
        <v>Cognac</v>
      </c>
      <c r="N59" s="53">
        <v>1</v>
      </c>
      <c r="O59" s="57"/>
      <c r="P59" s="68">
        <v>1</v>
      </c>
      <c r="Q59" s="191"/>
      <c r="R59" s="193"/>
      <c r="S59" s="55"/>
      <c r="T59" s="55"/>
      <c r="U59" s="55"/>
      <c r="V59" s="168">
        <f t="shared" si="1"/>
        <v>1</v>
      </c>
    </row>
    <row r="60" spans="1:23">
      <c r="A60" s="172"/>
      <c r="B60" s="171"/>
      <c r="C60" s="103" t="s">
        <v>91</v>
      </c>
      <c r="D60" s="52" t="str">
        <f>VLOOKUP(C60,[1]!Tableau_cotisants,2,FALSE)</f>
        <v>GUYOT</v>
      </c>
      <c r="E60" s="52" t="str">
        <f>VLOOKUP(C60,[1]!Tableau_cotisants,3,FALSE)</f>
        <v>FORGEARD</v>
      </c>
      <c r="F60" s="52" t="str">
        <f>VLOOKUP(C60,[1]!Tableau_cotisants,4,FALSE)</f>
        <v>Yanis</v>
      </c>
      <c r="G60" s="53">
        <f>VLOOKUP(C60,[1]!Tableau_cotisants,5,FALSE)</f>
        <v>1</v>
      </c>
      <c r="H60" s="52">
        <f>VLOOKUP(C60,[1]!Tableau_cotisants,6,FALSE)</f>
        <v>0</v>
      </c>
      <c r="I60" s="52">
        <f>VLOOKUP(C60,[1]!Tableau_cotisants,7,FALSE)</f>
        <v>1</v>
      </c>
      <c r="J60" s="54">
        <f>VLOOKUP(C60,[1]!Tableau_cotisants,8,FALSE)</f>
        <v>43315</v>
      </c>
      <c r="K60" s="54" t="str">
        <f t="shared" si="0"/>
        <v>0 an(s) 10 mois et 28 jour(s)</v>
      </c>
      <c r="L60" s="52" t="str">
        <f>VLOOKUP(C60,[1]!Tableau_cotisants,10,FALSE)</f>
        <v>Chateaubernard</v>
      </c>
      <c r="M60" s="53" t="str">
        <f>VLOOKUP(C60,[1]!Tableau_cotisants,11,FALSE)</f>
        <v>Cognac</v>
      </c>
      <c r="N60" s="6">
        <v>1</v>
      </c>
      <c r="O60" s="5"/>
      <c r="P60" s="27"/>
      <c r="Q60" s="26"/>
      <c r="R60" s="74">
        <v>1</v>
      </c>
      <c r="S60" s="55"/>
      <c r="T60" s="55"/>
      <c r="U60" s="55">
        <v>1</v>
      </c>
      <c r="V60" s="168">
        <f t="shared" si="1"/>
        <v>1</v>
      </c>
    </row>
    <row r="61" spans="1:23">
      <c r="A61" s="7"/>
      <c r="B61" s="7"/>
      <c r="C61" s="103" t="s">
        <v>91</v>
      </c>
      <c r="D61" s="52" t="str">
        <f>VLOOKUP(C61,[1]!Tableau_cotisants,2,FALSE)</f>
        <v>GUYOT</v>
      </c>
      <c r="E61" s="52" t="str">
        <f>VLOOKUP(C61,[1]!Tableau_cotisants,3,FALSE)</f>
        <v>FORGEARD</v>
      </c>
      <c r="F61" s="52" t="str">
        <f>VLOOKUP(C61,[1]!Tableau_cotisants,4,FALSE)</f>
        <v>Yanis</v>
      </c>
      <c r="G61" s="53">
        <f>VLOOKUP(C61,[1]!Tableau_cotisants,5,FALSE)</f>
        <v>1</v>
      </c>
      <c r="H61" s="52">
        <f>VLOOKUP(C61,[1]!Tableau_cotisants,6,FALSE)</f>
        <v>0</v>
      </c>
      <c r="I61" s="52">
        <f>VLOOKUP(C61,[1]!Tableau_cotisants,7,FALSE)</f>
        <v>1</v>
      </c>
      <c r="J61" s="54">
        <f>VLOOKUP(C61,[1]!Tableau_cotisants,8,FALSE)</f>
        <v>43315</v>
      </c>
      <c r="K61" s="54" t="str">
        <f t="shared" si="0"/>
        <v>0 an(s) 10 mois et 28 jour(s)</v>
      </c>
      <c r="L61" s="52" t="str">
        <f>VLOOKUP(C61,[1]!Tableau_cotisants,10,FALSE)</f>
        <v>Chateaubernard</v>
      </c>
      <c r="M61" s="53" t="str">
        <f>VLOOKUP(C61,[1]!Tableau_cotisants,11,FALSE)</f>
        <v>Cognac</v>
      </c>
      <c r="N61" s="6">
        <v>1</v>
      </c>
      <c r="O61" s="5"/>
      <c r="P61" s="27"/>
      <c r="Q61" s="26"/>
      <c r="R61" s="74">
        <v>1</v>
      </c>
      <c r="S61" s="55"/>
      <c r="T61" s="55"/>
      <c r="U61" s="55"/>
      <c r="V61" s="168">
        <f t="shared" si="1"/>
        <v>1</v>
      </c>
    </row>
    <row r="62" spans="1:23">
      <c r="A62" s="7"/>
      <c r="B62" s="7"/>
      <c r="C62" s="103" t="s">
        <v>91</v>
      </c>
      <c r="D62" s="52" t="str">
        <f>VLOOKUP(C62,[1]!Tableau_cotisants,2,FALSE)</f>
        <v>GUYOT</v>
      </c>
      <c r="E62" s="52" t="str">
        <f>VLOOKUP(C62,[1]!Tableau_cotisants,3,FALSE)</f>
        <v>FORGEARD</v>
      </c>
      <c r="F62" s="52" t="str">
        <f>VLOOKUP(C62,[1]!Tableau_cotisants,4,FALSE)</f>
        <v>Yanis</v>
      </c>
      <c r="G62" s="53">
        <f>VLOOKUP(C62,[1]!Tableau_cotisants,5,FALSE)</f>
        <v>1</v>
      </c>
      <c r="H62" s="52">
        <f>VLOOKUP(C62,[1]!Tableau_cotisants,6,FALSE)</f>
        <v>0</v>
      </c>
      <c r="I62" s="52">
        <f>VLOOKUP(C62,[1]!Tableau_cotisants,7,FALSE)</f>
        <v>1</v>
      </c>
      <c r="J62" s="54">
        <f>VLOOKUP(C62,[1]!Tableau_cotisants,8,FALSE)</f>
        <v>43315</v>
      </c>
      <c r="K62" s="54" t="str">
        <f t="shared" si="0"/>
        <v>0 an(s) 10 mois et 28 jour(s)</v>
      </c>
      <c r="L62" s="52" t="str">
        <f>VLOOKUP(C62,[1]!Tableau_cotisants,10,FALSE)</f>
        <v>Chateaubernard</v>
      </c>
      <c r="M62" s="53" t="str">
        <f>VLOOKUP(C62,[1]!Tableau_cotisants,11,FALSE)</f>
        <v>Cognac</v>
      </c>
      <c r="N62" s="6">
        <v>1</v>
      </c>
      <c r="O62" s="5"/>
      <c r="P62" s="27"/>
      <c r="Q62" s="26"/>
      <c r="R62" s="74">
        <v>1</v>
      </c>
      <c r="S62" s="55"/>
      <c r="T62" s="55"/>
      <c r="U62" s="55"/>
      <c r="V62" s="168">
        <f t="shared" si="1"/>
        <v>1</v>
      </c>
    </row>
    <row r="63" spans="1:23">
      <c r="A63" s="7"/>
      <c r="B63" s="7"/>
      <c r="C63" s="164" t="s">
        <v>91</v>
      </c>
      <c r="D63" s="52" t="str">
        <f>VLOOKUP(C63,[1]!Tableau_cotisants,2,FALSE)</f>
        <v>GUYOT</v>
      </c>
      <c r="E63" s="52" t="str">
        <f>VLOOKUP(C63,[1]!Tableau_cotisants,3,FALSE)</f>
        <v>FORGEARD</v>
      </c>
      <c r="F63" s="52" t="str">
        <f>VLOOKUP(C63,[1]!Tableau_cotisants,4,FALSE)</f>
        <v>Yanis</v>
      </c>
      <c r="G63" s="53">
        <f>VLOOKUP(C63,[1]!Tableau_cotisants,5,FALSE)</f>
        <v>1</v>
      </c>
      <c r="H63" s="52">
        <f>VLOOKUP(C63,[1]!Tableau_cotisants,6,FALSE)</f>
        <v>0</v>
      </c>
      <c r="I63" s="52">
        <f>VLOOKUP(C63,[1]!Tableau_cotisants,7,FALSE)</f>
        <v>1</v>
      </c>
      <c r="J63" s="54">
        <f>VLOOKUP(C63,[1]!Tableau_cotisants,8,FALSE)</f>
        <v>43315</v>
      </c>
      <c r="K63" s="54" t="str">
        <f t="shared" si="0"/>
        <v>0 an(s) 10 mois et 28 jour(s)</v>
      </c>
      <c r="L63" s="52" t="str">
        <f>VLOOKUP(C63,[1]!Tableau_cotisants,10,FALSE)</f>
        <v>Chateaubernard</v>
      </c>
      <c r="M63" s="53" t="str">
        <f>VLOOKUP(C63,[1]!Tableau_cotisants,11,FALSE)</f>
        <v>Cognac</v>
      </c>
      <c r="N63" s="6">
        <v>1</v>
      </c>
      <c r="O63" s="5"/>
      <c r="P63" s="27"/>
      <c r="Q63" s="26"/>
      <c r="R63" s="74">
        <v>1</v>
      </c>
      <c r="S63" s="55"/>
      <c r="T63" s="55"/>
      <c r="U63" s="55"/>
      <c r="V63" s="168">
        <f t="shared" si="1"/>
        <v>1</v>
      </c>
    </row>
    <row r="64" spans="1:23">
      <c r="A64" s="7"/>
      <c r="B64" s="7"/>
      <c r="C64" s="164" t="s">
        <v>91</v>
      </c>
      <c r="D64" s="52" t="str">
        <f>VLOOKUP(C64,[1]!Tableau_cotisants,2,FALSE)</f>
        <v>GUYOT</v>
      </c>
      <c r="E64" s="52" t="str">
        <f>VLOOKUP(C64,[1]!Tableau_cotisants,3,FALSE)</f>
        <v>FORGEARD</v>
      </c>
      <c r="F64" s="52" t="str">
        <f>VLOOKUP(C64,[1]!Tableau_cotisants,4,FALSE)</f>
        <v>Yanis</v>
      </c>
      <c r="G64" s="53">
        <f>VLOOKUP(C64,[1]!Tableau_cotisants,5,FALSE)</f>
        <v>1</v>
      </c>
      <c r="H64" s="52">
        <f>VLOOKUP(C64,[1]!Tableau_cotisants,6,FALSE)</f>
        <v>0</v>
      </c>
      <c r="I64" s="52">
        <f>VLOOKUP(C64,[1]!Tableau_cotisants,7,FALSE)</f>
        <v>1</v>
      </c>
      <c r="J64" s="54">
        <f>VLOOKUP(C64,[1]!Tableau_cotisants,8,FALSE)</f>
        <v>43315</v>
      </c>
      <c r="K64" s="54" t="str">
        <f t="shared" si="0"/>
        <v>0 an(s) 10 mois et 28 jour(s)</v>
      </c>
      <c r="L64" s="52" t="str">
        <f>VLOOKUP(C64,[1]!Tableau_cotisants,10,FALSE)</f>
        <v>Chateaubernard</v>
      </c>
      <c r="M64" s="53" t="str">
        <f>VLOOKUP(C64,[1]!Tableau_cotisants,11,FALSE)</f>
        <v>Cognac</v>
      </c>
      <c r="N64" s="6">
        <v>1</v>
      </c>
      <c r="O64" s="5"/>
      <c r="P64" s="27">
        <v>1</v>
      </c>
      <c r="Q64" s="26"/>
      <c r="R64" s="74"/>
      <c r="S64" s="55"/>
      <c r="T64" s="55"/>
      <c r="U64" s="55"/>
      <c r="V64" s="168">
        <f t="shared" si="1"/>
        <v>1</v>
      </c>
    </row>
    <row r="65" spans="1:22">
      <c r="A65" s="172"/>
      <c r="B65" s="171"/>
      <c r="C65" s="174" t="s">
        <v>92</v>
      </c>
      <c r="D65" s="52" t="str">
        <f>VLOOKUP(C65,[1]!Tableau_cotisants,2,FALSE)</f>
        <v>GUYOT</v>
      </c>
      <c r="E65" s="52" t="str">
        <f>VLOOKUP(C65,[1]!Tableau_cotisants,3,FALSE)</f>
        <v>FRIOUX-GARCIA</v>
      </c>
      <c r="F65" s="52" t="str">
        <f>VLOOKUP(C65,[1]!Tableau_cotisants,4,FALSE)</f>
        <v>Marius</v>
      </c>
      <c r="G65" s="53">
        <f>VLOOKUP(C65,[1]!Tableau_cotisants,5,FALSE)</f>
        <v>1</v>
      </c>
      <c r="H65" s="52">
        <f>VLOOKUP(C65,[1]!Tableau_cotisants,6,FALSE)</f>
        <v>0</v>
      </c>
      <c r="I65" s="52">
        <f>VLOOKUP(C65,[1]!Tableau_cotisants,7,FALSE)</f>
        <v>1</v>
      </c>
      <c r="J65" s="54">
        <f>VLOOKUP(C65,[1]!Tableau_cotisants,8,FALSE)</f>
        <v>43395</v>
      </c>
      <c r="K65" s="54" t="str">
        <f t="shared" si="0"/>
        <v>0 an(s) 8 mois et 9 jour(s)</v>
      </c>
      <c r="L65" s="52" t="str">
        <f>VLOOKUP(C65,[1]!Tableau_cotisants,10,FALSE)</f>
        <v>Chateaubernard</v>
      </c>
      <c r="M65" s="53" t="str">
        <f>VLOOKUP(C65,[1]!Tableau_cotisants,11,FALSE)</f>
        <v>Cognac</v>
      </c>
      <c r="N65" s="6">
        <v>1</v>
      </c>
      <c r="O65" s="5"/>
      <c r="P65" s="27"/>
      <c r="Q65" s="26"/>
      <c r="R65" s="74">
        <v>1</v>
      </c>
      <c r="S65" s="55"/>
      <c r="T65" s="55"/>
      <c r="U65" s="55">
        <v>1</v>
      </c>
      <c r="V65" s="168">
        <f t="shared" si="1"/>
        <v>1</v>
      </c>
    </row>
    <row r="66" spans="1:22">
      <c r="A66" s="7"/>
      <c r="B66" s="7"/>
      <c r="C66" s="174" t="s">
        <v>92</v>
      </c>
      <c r="D66" s="52" t="str">
        <f>VLOOKUP(C66,[1]!Tableau_cotisants,2,FALSE)</f>
        <v>GUYOT</v>
      </c>
      <c r="E66" s="52" t="str">
        <f>VLOOKUP(C66,[1]!Tableau_cotisants,3,FALSE)</f>
        <v>FRIOUX-GARCIA</v>
      </c>
      <c r="F66" s="52" t="str">
        <f>VLOOKUP(C66,[1]!Tableau_cotisants,4,FALSE)</f>
        <v>Marius</v>
      </c>
      <c r="G66" s="53">
        <f>VLOOKUP(C66,[1]!Tableau_cotisants,5,FALSE)</f>
        <v>1</v>
      </c>
      <c r="H66" s="52">
        <f>VLOOKUP(C66,[1]!Tableau_cotisants,6,FALSE)</f>
        <v>0</v>
      </c>
      <c r="I66" s="52">
        <f>VLOOKUP(C66,[1]!Tableau_cotisants,7,FALSE)</f>
        <v>1</v>
      </c>
      <c r="J66" s="54">
        <f>VLOOKUP(C66,[1]!Tableau_cotisants,8,FALSE)</f>
        <v>43395</v>
      </c>
      <c r="K66" s="54" t="str">
        <f t="shared" si="0"/>
        <v>0 an(s) 8 mois et 9 jour(s)</v>
      </c>
      <c r="L66" s="52" t="str">
        <f>VLOOKUP(C66,[1]!Tableau_cotisants,10,FALSE)</f>
        <v>Chateaubernard</v>
      </c>
      <c r="M66" s="53" t="str">
        <f>VLOOKUP(C66,[1]!Tableau_cotisants,11,FALSE)</f>
        <v>Cognac</v>
      </c>
      <c r="N66" s="6">
        <v>1</v>
      </c>
      <c r="O66" s="5"/>
      <c r="P66" s="27"/>
      <c r="Q66" s="26"/>
      <c r="R66" s="74">
        <v>1</v>
      </c>
      <c r="S66" s="55"/>
      <c r="T66" s="55"/>
      <c r="U66" s="55"/>
      <c r="V66" s="168">
        <f t="shared" si="1"/>
        <v>1</v>
      </c>
    </row>
    <row r="67" spans="1:22">
      <c r="A67" s="7"/>
      <c r="B67" s="7"/>
      <c r="C67" s="174" t="s">
        <v>92</v>
      </c>
      <c r="D67" s="52" t="str">
        <f>VLOOKUP(C67,[1]!Tableau_cotisants,2,FALSE)</f>
        <v>GUYOT</v>
      </c>
      <c r="E67" s="52" t="str">
        <f>VLOOKUP(C67,[1]!Tableau_cotisants,3,FALSE)</f>
        <v>FRIOUX-GARCIA</v>
      </c>
      <c r="F67" s="52" t="str">
        <f>VLOOKUP(C67,[1]!Tableau_cotisants,4,FALSE)</f>
        <v>Marius</v>
      </c>
      <c r="G67" s="53">
        <f>VLOOKUP(C67,[1]!Tableau_cotisants,5,FALSE)</f>
        <v>1</v>
      </c>
      <c r="H67" s="52">
        <f>VLOOKUP(C67,[1]!Tableau_cotisants,6,FALSE)</f>
        <v>0</v>
      </c>
      <c r="I67" s="52">
        <f>VLOOKUP(C67,[1]!Tableau_cotisants,7,FALSE)</f>
        <v>1</v>
      </c>
      <c r="J67" s="54">
        <f>VLOOKUP(C67,[1]!Tableau_cotisants,8,FALSE)</f>
        <v>43395</v>
      </c>
      <c r="K67" s="54" t="str">
        <f t="shared" si="0"/>
        <v>0 an(s) 8 mois et 9 jour(s)</v>
      </c>
      <c r="L67" s="52" t="str">
        <f>VLOOKUP(C67,[1]!Tableau_cotisants,10,FALSE)</f>
        <v>Chateaubernard</v>
      </c>
      <c r="M67" s="53" t="str">
        <f>VLOOKUP(C67,[1]!Tableau_cotisants,11,FALSE)</f>
        <v>Cognac</v>
      </c>
      <c r="N67" s="6">
        <v>1</v>
      </c>
      <c r="O67" s="5"/>
      <c r="P67" s="27"/>
      <c r="Q67" s="26"/>
      <c r="R67" s="74">
        <v>1</v>
      </c>
      <c r="S67" s="55"/>
      <c r="T67" s="55"/>
      <c r="U67" s="55"/>
      <c r="V67" s="168">
        <f t="shared" si="1"/>
        <v>1</v>
      </c>
    </row>
    <row r="68" spans="1:22">
      <c r="A68" s="7"/>
      <c r="B68" s="7"/>
      <c r="C68" s="164" t="s">
        <v>92</v>
      </c>
      <c r="D68" s="52" t="str">
        <f>VLOOKUP(C68,[1]!Tableau_cotisants,2,FALSE)</f>
        <v>GUYOT</v>
      </c>
      <c r="E68" s="52" t="str">
        <f>VLOOKUP(C68,[1]!Tableau_cotisants,3,FALSE)</f>
        <v>FRIOUX-GARCIA</v>
      </c>
      <c r="F68" s="52" t="str">
        <f>VLOOKUP(C68,[1]!Tableau_cotisants,4,FALSE)</f>
        <v>Marius</v>
      </c>
      <c r="G68" s="53">
        <f>VLOOKUP(C68,[1]!Tableau_cotisants,5,FALSE)</f>
        <v>1</v>
      </c>
      <c r="H68" s="52">
        <f>VLOOKUP(C68,[1]!Tableau_cotisants,6,FALSE)</f>
        <v>0</v>
      </c>
      <c r="I68" s="52">
        <f>VLOOKUP(C68,[1]!Tableau_cotisants,7,FALSE)</f>
        <v>1</v>
      </c>
      <c r="J68" s="54">
        <f>VLOOKUP(C68,[1]!Tableau_cotisants,8,FALSE)</f>
        <v>43395</v>
      </c>
      <c r="K68" s="54" t="str">
        <f t="shared" ref="K68:K131" si="6">DATEDIF(J68,Date_de_reference,"y") &amp; " an(s) " &amp; DATEDIF(J68,Date_de_reference,"ym") &amp; " mois et " &amp; DATEDIF(J68,Date_de_reference,"md") &amp; " jour(s)"</f>
        <v>0 an(s) 8 mois et 9 jour(s)</v>
      </c>
      <c r="L68" s="52" t="str">
        <f>VLOOKUP(C68,[1]!Tableau_cotisants,10,FALSE)</f>
        <v>Chateaubernard</v>
      </c>
      <c r="M68" s="53" t="str">
        <f>VLOOKUP(C68,[1]!Tableau_cotisants,11,FALSE)</f>
        <v>Cognac</v>
      </c>
      <c r="N68" s="6">
        <v>1</v>
      </c>
      <c r="O68" s="5"/>
      <c r="P68" s="27"/>
      <c r="Q68" s="26"/>
      <c r="R68" s="74">
        <v>1</v>
      </c>
      <c r="S68" s="55"/>
      <c r="T68" s="55"/>
      <c r="U68" s="55"/>
      <c r="V68" s="168">
        <f t="shared" ref="V68:V131" si="7">N68+O68</f>
        <v>1</v>
      </c>
    </row>
    <row r="69" spans="1:22">
      <c r="A69" s="7"/>
      <c r="B69" s="7"/>
      <c r="C69" s="164" t="s">
        <v>92</v>
      </c>
      <c r="D69" s="52" t="str">
        <f>VLOOKUP(C69,[1]!Tableau_cotisants,2,FALSE)</f>
        <v>GUYOT</v>
      </c>
      <c r="E69" s="52" t="str">
        <f>VLOOKUP(C69,[1]!Tableau_cotisants,3,FALSE)</f>
        <v>FRIOUX-GARCIA</v>
      </c>
      <c r="F69" s="52" t="str">
        <f>VLOOKUP(C69,[1]!Tableau_cotisants,4,FALSE)</f>
        <v>Marius</v>
      </c>
      <c r="G69" s="53">
        <f>VLOOKUP(C69,[1]!Tableau_cotisants,5,FALSE)</f>
        <v>1</v>
      </c>
      <c r="H69" s="52">
        <f>VLOOKUP(C69,[1]!Tableau_cotisants,6,FALSE)</f>
        <v>0</v>
      </c>
      <c r="I69" s="52">
        <f>VLOOKUP(C69,[1]!Tableau_cotisants,7,FALSE)</f>
        <v>1</v>
      </c>
      <c r="J69" s="54">
        <f>VLOOKUP(C69,[1]!Tableau_cotisants,8,FALSE)</f>
        <v>43395</v>
      </c>
      <c r="K69" s="54" t="str">
        <f t="shared" si="6"/>
        <v>0 an(s) 8 mois et 9 jour(s)</v>
      </c>
      <c r="L69" s="52" t="str">
        <f>VLOOKUP(C69,[1]!Tableau_cotisants,10,FALSE)</f>
        <v>Chateaubernard</v>
      </c>
      <c r="M69" s="53" t="str">
        <f>VLOOKUP(C69,[1]!Tableau_cotisants,11,FALSE)</f>
        <v>Cognac</v>
      </c>
      <c r="N69" s="6">
        <v>1</v>
      </c>
      <c r="O69" s="5"/>
      <c r="P69" s="27">
        <v>1</v>
      </c>
      <c r="Q69" s="26"/>
      <c r="R69" s="74"/>
      <c r="S69" s="55"/>
      <c r="T69" s="55"/>
      <c r="U69" s="55"/>
      <c r="V69" s="168">
        <f t="shared" si="7"/>
        <v>1</v>
      </c>
    </row>
    <row r="70" spans="1:22">
      <c r="A70" s="7"/>
      <c r="B70" s="7"/>
      <c r="C70" s="174" t="s">
        <v>194</v>
      </c>
      <c r="D70" s="52" t="str">
        <f>VLOOKUP(C70,[1]!Tableau_cotisants,2,FALSE)</f>
        <v>GUYOT</v>
      </c>
      <c r="E70" s="52" t="str">
        <f>VLOOKUP(C70,[1]!Tableau_cotisants,3,FALSE)</f>
        <v>ZIDI</v>
      </c>
      <c r="F70" s="52" t="str">
        <f>VLOOKUP(C70,[1]!Tableau_cotisants,4,FALSE)</f>
        <v>Driss</v>
      </c>
      <c r="G70" s="53">
        <f>VLOOKUP(C70,[1]!Tableau_cotisants,5,FALSE)</f>
        <v>1</v>
      </c>
      <c r="H70" s="52">
        <f>VLOOKUP(C70,[1]!Tableau_cotisants,6,FALSE)</f>
        <v>0</v>
      </c>
      <c r="I70" s="52">
        <f>VLOOKUP(C70,[1]!Tableau_cotisants,7,FALSE)</f>
        <v>1</v>
      </c>
      <c r="J70" s="54">
        <f>VLOOKUP(C70,[1]!Tableau_cotisants,8,FALSE)</f>
        <v>42935</v>
      </c>
      <c r="K70" s="54" t="str">
        <f t="shared" si="6"/>
        <v>1 an(s) 11 mois et 12 jour(s)</v>
      </c>
      <c r="L70" s="52" t="str">
        <f>VLOOKUP(C70,[1]!Tableau_cotisants,10,FALSE)</f>
        <v>Chateaubernard</v>
      </c>
      <c r="M70" s="53" t="str">
        <f>VLOOKUP(C70,[1]!Tableau_cotisants,11,FALSE)</f>
        <v>Cognac</v>
      </c>
      <c r="N70" s="6">
        <v>1</v>
      </c>
      <c r="O70" s="5"/>
      <c r="P70" s="27"/>
      <c r="Q70" s="26"/>
      <c r="R70" s="74">
        <v>1</v>
      </c>
      <c r="S70" s="55"/>
      <c r="T70" s="55"/>
      <c r="U70" s="55"/>
      <c r="V70" s="168">
        <f t="shared" si="7"/>
        <v>1</v>
      </c>
    </row>
    <row r="71" spans="1:22">
      <c r="A71" s="7"/>
      <c r="B71" s="7"/>
      <c r="C71" s="153" t="s">
        <v>194</v>
      </c>
      <c r="D71" s="52" t="str">
        <f>VLOOKUP(C71,[1]!Tableau_cotisants,2,FALSE)</f>
        <v>GUYOT</v>
      </c>
      <c r="E71" s="52" t="str">
        <f>VLOOKUP(C71,[1]!Tableau_cotisants,3,FALSE)</f>
        <v>ZIDI</v>
      </c>
      <c r="F71" s="52" t="str">
        <f>VLOOKUP(C71,[1]!Tableau_cotisants,4,FALSE)</f>
        <v>Driss</v>
      </c>
      <c r="G71" s="53">
        <f>VLOOKUP(C71,[1]!Tableau_cotisants,5,FALSE)</f>
        <v>1</v>
      </c>
      <c r="H71" s="52">
        <f>VLOOKUP(C71,[1]!Tableau_cotisants,6,FALSE)</f>
        <v>0</v>
      </c>
      <c r="I71" s="52">
        <f>VLOOKUP(C71,[1]!Tableau_cotisants,7,FALSE)</f>
        <v>1</v>
      </c>
      <c r="J71" s="54">
        <f>VLOOKUP(C71,[1]!Tableau_cotisants,8,FALSE)</f>
        <v>42935</v>
      </c>
      <c r="K71" s="54" t="str">
        <f t="shared" si="6"/>
        <v>1 an(s) 11 mois et 12 jour(s)</v>
      </c>
      <c r="L71" s="52" t="str">
        <f>VLOOKUP(C71,[1]!Tableau_cotisants,10,FALSE)</f>
        <v>Chateaubernard</v>
      </c>
      <c r="M71" s="53" t="str">
        <f>VLOOKUP(C71,[1]!Tableau_cotisants,11,FALSE)</f>
        <v>Cognac</v>
      </c>
      <c r="N71" s="6">
        <v>1</v>
      </c>
      <c r="O71" s="5"/>
      <c r="P71" s="27"/>
      <c r="Q71" s="26"/>
      <c r="R71" s="74">
        <v>1</v>
      </c>
      <c r="S71" s="55"/>
      <c r="T71" s="55"/>
      <c r="U71" s="55"/>
      <c r="V71" s="168">
        <f t="shared" si="7"/>
        <v>1</v>
      </c>
    </row>
    <row r="72" spans="1:22">
      <c r="A72" s="7"/>
      <c r="B72" s="7"/>
      <c r="C72" s="164" t="s">
        <v>194</v>
      </c>
      <c r="D72" s="52" t="str">
        <f>VLOOKUP(C72,[1]!Tableau_cotisants,2,FALSE)</f>
        <v>GUYOT</v>
      </c>
      <c r="E72" s="52" t="str">
        <f>VLOOKUP(C72,[1]!Tableau_cotisants,3,FALSE)</f>
        <v>ZIDI</v>
      </c>
      <c r="F72" s="52" t="str">
        <f>VLOOKUP(C72,[1]!Tableau_cotisants,4,FALSE)</f>
        <v>Driss</v>
      </c>
      <c r="G72" s="53">
        <f>VLOOKUP(C72,[1]!Tableau_cotisants,5,FALSE)</f>
        <v>1</v>
      </c>
      <c r="H72" s="52">
        <f>VLOOKUP(C72,[1]!Tableau_cotisants,6,FALSE)</f>
        <v>0</v>
      </c>
      <c r="I72" s="52">
        <f>VLOOKUP(C72,[1]!Tableau_cotisants,7,FALSE)</f>
        <v>1</v>
      </c>
      <c r="J72" s="54">
        <f>VLOOKUP(C72,[1]!Tableau_cotisants,8,FALSE)</f>
        <v>42935</v>
      </c>
      <c r="K72" s="54" t="str">
        <f t="shared" si="6"/>
        <v>1 an(s) 11 mois et 12 jour(s)</v>
      </c>
      <c r="L72" s="52" t="str">
        <f>VLOOKUP(C72,[1]!Tableau_cotisants,10,FALSE)</f>
        <v>Chateaubernard</v>
      </c>
      <c r="M72" s="53" t="str">
        <f>VLOOKUP(C72,[1]!Tableau_cotisants,11,FALSE)</f>
        <v>Cognac</v>
      </c>
      <c r="N72" s="6">
        <v>1</v>
      </c>
      <c r="O72" s="5"/>
      <c r="P72" s="27"/>
      <c r="Q72" s="26"/>
      <c r="R72" s="74">
        <v>1</v>
      </c>
      <c r="S72" s="55"/>
      <c r="T72" s="55"/>
      <c r="U72" s="55"/>
      <c r="V72" s="168">
        <f t="shared" si="7"/>
        <v>1</v>
      </c>
    </row>
    <row r="73" spans="1:22">
      <c r="A73" s="7"/>
      <c r="B73" s="7"/>
      <c r="C73" s="164" t="s">
        <v>194</v>
      </c>
      <c r="D73" s="52" t="str">
        <f>VLOOKUP(C73,[1]!Tableau_cotisants,2,FALSE)</f>
        <v>GUYOT</v>
      </c>
      <c r="E73" s="52" t="str">
        <f>VLOOKUP(C73,[1]!Tableau_cotisants,3,FALSE)</f>
        <v>ZIDI</v>
      </c>
      <c r="F73" s="52" t="str">
        <f>VLOOKUP(C73,[1]!Tableau_cotisants,4,FALSE)</f>
        <v>Driss</v>
      </c>
      <c r="G73" s="53">
        <f>VLOOKUP(C73,[1]!Tableau_cotisants,5,FALSE)</f>
        <v>1</v>
      </c>
      <c r="H73" s="52">
        <f>VLOOKUP(C73,[1]!Tableau_cotisants,6,FALSE)</f>
        <v>0</v>
      </c>
      <c r="I73" s="52">
        <f>VLOOKUP(C73,[1]!Tableau_cotisants,7,FALSE)</f>
        <v>1</v>
      </c>
      <c r="J73" s="54">
        <f>VLOOKUP(C73,[1]!Tableau_cotisants,8,FALSE)</f>
        <v>42935</v>
      </c>
      <c r="K73" s="54" t="str">
        <f t="shared" si="6"/>
        <v>1 an(s) 11 mois et 12 jour(s)</v>
      </c>
      <c r="L73" s="52" t="str">
        <f>VLOOKUP(C73,[1]!Tableau_cotisants,10,FALSE)</f>
        <v>Chateaubernard</v>
      </c>
      <c r="M73" s="53" t="str">
        <f>VLOOKUP(C73,[1]!Tableau_cotisants,11,FALSE)</f>
        <v>Cognac</v>
      </c>
      <c r="N73" s="6">
        <v>1</v>
      </c>
      <c r="O73" s="5"/>
      <c r="P73" s="27">
        <v>1</v>
      </c>
      <c r="Q73" s="26"/>
      <c r="R73" s="74"/>
      <c r="S73" s="55"/>
      <c r="T73" s="55"/>
      <c r="U73" s="55"/>
      <c r="V73" s="168">
        <f t="shared" si="7"/>
        <v>1</v>
      </c>
    </row>
    <row r="74" spans="1:22">
      <c r="A74" s="172"/>
      <c r="B74" s="171"/>
      <c r="C74" s="174" t="s">
        <v>93</v>
      </c>
      <c r="D74" s="52" t="str">
        <f>VLOOKUP(C74,[1]!Tableau_cotisants,2,FALSE)</f>
        <v>GUYOT</v>
      </c>
      <c r="E74" s="52" t="str">
        <f>VLOOKUP(C74,[1]!Tableau_cotisants,3,FALSE)</f>
        <v>FARCY</v>
      </c>
      <c r="F74" s="52" t="str">
        <f>VLOOKUP(C74,[1]!Tableau_cotisants,4,FALSE)</f>
        <v>Sacha</v>
      </c>
      <c r="G74" s="53">
        <f>VLOOKUP(C74,[1]!Tableau_cotisants,5,FALSE)</f>
        <v>1</v>
      </c>
      <c r="H74" s="52">
        <f>VLOOKUP(C74,[1]!Tableau_cotisants,6,FALSE)</f>
        <v>0</v>
      </c>
      <c r="I74" s="52">
        <f>VLOOKUP(C74,[1]!Tableau_cotisants,7,FALSE)</f>
        <v>1</v>
      </c>
      <c r="J74" s="54">
        <f>VLOOKUP(C74,[1]!Tableau_cotisants,8,FALSE)</f>
        <v>43040</v>
      </c>
      <c r="K74" s="54" t="str">
        <f t="shared" si="6"/>
        <v>1 an(s) 8 mois et 0 jour(s)</v>
      </c>
      <c r="L74" s="52" t="str">
        <f>VLOOKUP(C74,[1]!Tableau_cotisants,10,FALSE)</f>
        <v>Chateaubernard</v>
      </c>
      <c r="M74" s="53" t="str">
        <f>VLOOKUP(C74,[1]!Tableau_cotisants,11,FALSE)</f>
        <v>Cognac</v>
      </c>
      <c r="N74" s="53">
        <v>1</v>
      </c>
      <c r="O74" s="57"/>
      <c r="P74" s="68">
        <v>1</v>
      </c>
      <c r="Q74" s="191"/>
      <c r="R74" s="193"/>
      <c r="S74" s="55"/>
      <c r="T74" s="55"/>
      <c r="U74" s="55"/>
      <c r="V74" s="168">
        <f t="shared" si="7"/>
        <v>1</v>
      </c>
    </row>
    <row r="75" spans="1:22">
      <c r="A75" s="172"/>
      <c r="B75" s="171"/>
      <c r="C75" s="174" t="s">
        <v>93</v>
      </c>
      <c r="D75" s="52" t="str">
        <f>VLOOKUP(C75,[1]!Tableau_cotisants,2,FALSE)</f>
        <v>GUYOT</v>
      </c>
      <c r="E75" s="52" t="str">
        <f>VLOOKUP(C75,[1]!Tableau_cotisants,3,FALSE)</f>
        <v>FARCY</v>
      </c>
      <c r="F75" s="52" t="str">
        <f>VLOOKUP(C75,[1]!Tableau_cotisants,4,FALSE)</f>
        <v>Sacha</v>
      </c>
      <c r="G75" s="53">
        <f>VLOOKUP(C75,[1]!Tableau_cotisants,5,FALSE)</f>
        <v>1</v>
      </c>
      <c r="H75" s="52">
        <f>VLOOKUP(C75,[1]!Tableau_cotisants,6,FALSE)</f>
        <v>0</v>
      </c>
      <c r="I75" s="52">
        <f>VLOOKUP(C75,[1]!Tableau_cotisants,7,FALSE)</f>
        <v>1</v>
      </c>
      <c r="J75" s="54">
        <f>VLOOKUP(C75,[1]!Tableau_cotisants,8,FALSE)</f>
        <v>43040</v>
      </c>
      <c r="K75" s="54" t="str">
        <f t="shared" si="6"/>
        <v>1 an(s) 8 mois et 0 jour(s)</v>
      </c>
      <c r="L75" s="52" t="str">
        <f>VLOOKUP(C75,[1]!Tableau_cotisants,10,FALSE)</f>
        <v>Chateaubernard</v>
      </c>
      <c r="M75" s="53" t="str">
        <f>VLOOKUP(C75,[1]!Tableau_cotisants,11,FALSE)</f>
        <v>Cognac</v>
      </c>
      <c r="N75" s="6">
        <v>1</v>
      </c>
      <c r="O75" s="5"/>
      <c r="P75" s="27"/>
      <c r="Q75" s="26"/>
      <c r="R75" s="74">
        <v>1</v>
      </c>
      <c r="S75" s="55"/>
      <c r="T75" s="55"/>
      <c r="U75" s="55"/>
      <c r="V75" s="168">
        <f t="shared" si="7"/>
        <v>1</v>
      </c>
    </row>
    <row r="76" spans="1:22">
      <c r="A76" s="7"/>
      <c r="B76" s="7"/>
      <c r="C76" s="174" t="s">
        <v>93</v>
      </c>
      <c r="D76" s="52" t="str">
        <f>VLOOKUP(C76,[1]!Tableau_cotisants,2,FALSE)</f>
        <v>GUYOT</v>
      </c>
      <c r="E76" s="52" t="str">
        <f>VLOOKUP(C76,[1]!Tableau_cotisants,3,FALSE)</f>
        <v>FARCY</v>
      </c>
      <c r="F76" s="52" t="str">
        <f>VLOOKUP(C76,[1]!Tableau_cotisants,4,FALSE)</f>
        <v>Sacha</v>
      </c>
      <c r="G76" s="53">
        <f>VLOOKUP(C76,[1]!Tableau_cotisants,5,FALSE)</f>
        <v>1</v>
      </c>
      <c r="H76" s="52">
        <f>VLOOKUP(C76,[1]!Tableau_cotisants,6,FALSE)</f>
        <v>0</v>
      </c>
      <c r="I76" s="52">
        <f>VLOOKUP(C76,[1]!Tableau_cotisants,7,FALSE)</f>
        <v>1</v>
      </c>
      <c r="J76" s="54">
        <f>VLOOKUP(C76,[1]!Tableau_cotisants,8,FALSE)</f>
        <v>43040</v>
      </c>
      <c r="K76" s="54" t="str">
        <f t="shared" si="6"/>
        <v>1 an(s) 8 mois et 0 jour(s)</v>
      </c>
      <c r="L76" s="52" t="str">
        <f>VLOOKUP(C76,[1]!Tableau_cotisants,10,FALSE)</f>
        <v>Chateaubernard</v>
      </c>
      <c r="M76" s="53" t="str">
        <f>VLOOKUP(C76,[1]!Tableau_cotisants,11,FALSE)</f>
        <v>Cognac</v>
      </c>
      <c r="N76" s="6">
        <v>1</v>
      </c>
      <c r="O76" s="5"/>
      <c r="P76" s="27"/>
      <c r="Q76" s="26"/>
      <c r="R76" s="74">
        <v>1</v>
      </c>
      <c r="S76" s="55"/>
      <c r="T76" s="55"/>
      <c r="U76" s="55"/>
      <c r="V76" s="168">
        <f t="shared" si="7"/>
        <v>1</v>
      </c>
    </row>
    <row r="77" spans="1:22">
      <c r="A77" s="7"/>
      <c r="B77" s="7"/>
      <c r="C77" s="174" t="s">
        <v>93</v>
      </c>
      <c r="D77" s="52" t="str">
        <f>VLOOKUP(C77,[1]!Tableau_cotisants,2,FALSE)</f>
        <v>GUYOT</v>
      </c>
      <c r="E77" s="52" t="str">
        <f>VLOOKUP(C77,[1]!Tableau_cotisants,3,FALSE)</f>
        <v>FARCY</v>
      </c>
      <c r="F77" s="52" t="str">
        <f>VLOOKUP(C77,[1]!Tableau_cotisants,4,FALSE)</f>
        <v>Sacha</v>
      </c>
      <c r="G77" s="53">
        <f>VLOOKUP(C77,[1]!Tableau_cotisants,5,FALSE)</f>
        <v>1</v>
      </c>
      <c r="H77" s="52">
        <f>VLOOKUP(C77,[1]!Tableau_cotisants,6,FALSE)</f>
        <v>0</v>
      </c>
      <c r="I77" s="52">
        <f>VLOOKUP(C77,[1]!Tableau_cotisants,7,FALSE)</f>
        <v>1</v>
      </c>
      <c r="J77" s="54">
        <f>VLOOKUP(C77,[1]!Tableau_cotisants,8,FALSE)</f>
        <v>43040</v>
      </c>
      <c r="K77" s="54" t="str">
        <f t="shared" si="6"/>
        <v>1 an(s) 8 mois et 0 jour(s)</v>
      </c>
      <c r="L77" s="52" t="str">
        <f>VLOOKUP(C77,[1]!Tableau_cotisants,10,FALSE)</f>
        <v>Chateaubernard</v>
      </c>
      <c r="M77" s="53" t="str">
        <f>VLOOKUP(C77,[1]!Tableau_cotisants,11,FALSE)</f>
        <v>Cognac</v>
      </c>
      <c r="N77" s="6">
        <v>1</v>
      </c>
      <c r="O77" s="5"/>
      <c r="P77" s="27"/>
      <c r="Q77" s="26"/>
      <c r="R77" s="74">
        <v>1</v>
      </c>
      <c r="S77" s="55"/>
      <c r="T77" s="55"/>
      <c r="U77" s="55"/>
      <c r="V77" s="168">
        <f t="shared" si="7"/>
        <v>1</v>
      </c>
    </row>
    <row r="78" spans="1:22">
      <c r="A78" s="7"/>
      <c r="B78" s="7"/>
      <c r="C78" s="164" t="s">
        <v>93</v>
      </c>
      <c r="D78" s="52" t="str">
        <f>VLOOKUP(C78,[1]!Tableau_cotisants,2,FALSE)</f>
        <v>GUYOT</v>
      </c>
      <c r="E78" s="52" t="str">
        <f>VLOOKUP(C78,[1]!Tableau_cotisants,3,FALSE)</f>
        <v>FARCY</v>
      </c>
      <c r="F78" s="52" t="str">
        <f>VLOOKUP(C78,[1]!Tableau_cotisants,4,FALSE)</f>
        <v>Sacha</v>
      </c>
      <c r="G78" s="53">
        <f>VLOOKUP(C78,[1]!Tableau_cotisants,5,FALSE)</f>
        <v>1</v>
      </c>
      <c r="H78" s="52">
        <f>VLOOKUP(C78,[1]!Tableau_cotisants,6,FALSE)</f>
        <v>0</v>
      </c>
      <c r="I78" s="52">
        <f>VLOOKUP(C78,[1]!Tableau_cotisants,7,FALSE)</f>
        <v>1</v>
      </c>
      <c r="J78" s="54">
        <f>VLOOKUP(C78,[1]!Tableau_cotisants,8,FALSE)</f>
        <v>43040</v>
      </c>
      <c r="K78" s="54" t="str">
        <f t="shared" si="6"/>
        <v>1 an(s) 8 mois et 0 jour(s)</v>
      </c>
      <c r="L78" s="52" t="str">
        <f>VLOOKUP(C78,[1]!Tableau_cotisants,10,FALSE)</f>
        <v>Chateaubernard</v>
      </c>
      <c r="M78" s="53" t="str">
        <f>VLOOKUP(C78,[1]!Tableau_cotisants,11,FALSE)</f>
        <v>Cognac</v>
      </c>
      <c r="N78" s="6">
        <v>1</v>
      </c>
      <c r="O78" s="5"/>
      <c r="P78" s="27">
        <v>1</v>
      </c>
      <c r="Q78" s="26"/>
      <c r="R78" s="74"/>
      <c r="S78" s="55"/>
      <c r="T78" s="55"/>
      <c r="U78" s="55"/>
      <c r="V78" s="168">
        <f t="shared" si="7"/>
        <v>1</v>
      </c>
    </row>
    <row r="79" spans="1:22">
      <c r="A79" s="172"/>
      <c r="B79" s="171"/>
      <c r="C79" s="174" t="s">
        <v>176</v>
      </c>
      <c r="D79" s="52" t="str">
        <f>VLOOKUP(C79,[1]!Tableau_cotisants,2,FALSE)</f>
        <v>RÉGNIER</v>
      </c>
      <c r="E79" s="52" t="str">
        <f>VLOOKUP(C79,[1]!Tableau_cotisants,3,FALSE)</f>
        <v>RÉGNIER</v>
      </c>
      <c r="F79" s="52" t="str">
        <f>VLOOKUP(C79,[1]!Tableau_cotisants,4,FALSE)</f>
        <v>Laëtitia</v>
      </c>
      <c r="G79" s="53">
        <f>VLOOKUP(C79,[1]!Tableau_cotisants,5,FALSE)</f>
        <v>1</v>
      </c>
      <c r="H79" s="52">
        <f>VLOOKUP(C79,[1]!Tableau_cotisants,6,FALSE)</f>
        <v>1</v>
      </c>
      <c r="I79" s="52">
        <f>VLOOKUP(C79,[1]!Tableau_cotisants,7,FALSE)</f>
        <v>0</v>
      </c>
      <c r="J79" s="54">
        <f>VLOOKUP(C79,[1]!Tableau_cotisants,8,FALSE)</f>
        <v>29180</v>
      </c>
      <c r="K79" s="54" t="str">
        <f t="shared" si="6"/>
        <v>39 an(s) 7 mois et 10 jour(s)</v>
      </c>
      <c r="L79" s="52" t="str">
        <f>VLOOKUP(C79,[1]!Tableau_cotisants,10,FALSE)</f>
        <v>COGNAC</v>
      </c>
      <c r="M79" s="53" t="str">
        <f>VLOOKUP(C79,[1]!Tableau_cotisants,11,FALSE)</f>
        <v>Cognac</v>
      </c>
      <c r="N79" s="6">
        <v>1</v>
      </c>
      <c r="O79" s="5"/>
      <c r="P79" s="27"/>
      <c r="Q79" s="26"/>
      <c r="R79" s="74">
        <v>1</v>
      </c>
      <c r="S79" s="55"/>
      <c r="T79" s="55"/>
      <c r="U79" s="55"/>
      <c r="V79" s="168">
        <f t="shared" si="7"/>
        <v>1</v>
      </c>
    </row>
    <row r="80" spans="1:22">
      <c r="A80" s="7"/>
      <c r="B80" s="7"/>
      <c r="C80" s="147" t="s">
        <v>176</v>
      </c>
      <c r="D80" s="52" t="str">
        <f>VLOOKUP(C80,[1]!Tableau_cotisants,2,FALSE)</f>
        <v>RÉGNIER</v>
      </c>
      <c r="E80" s="52" t="str">
        <f>VLOOKUP(C80,[1]!Tableau_cotisants,3,FALSE)</f>
        <v>RÉGNIER</v>
      </c>
      <c r="F80" s="52" t="str">
        <f>VLOOKUP(C80,[1]!Tableau_cotisants,4,FALSE)</f>
        <v>Laëtitia</v>
      </c>
      <c r="G80" s="53">
        <f>VLOOKUP(C80,[1]!Tableau_cotisants,5,FALSE)</f>
        <v>1</v>
      </c>
      <c r="H80" s="52">
        <f>VLOOKUP(C80,[1]!Tableau_cotisants,6,FALSE)</f>
        <v>1</v>
      </c>
      <c r="I80" s="52">
        <f>VLOOKUP(C80,[1]!Tableau_cotisants,7,FALSE)</f>
        <v>0</v>
      </c>
      <c r="J80" s="54">
        <f>VLOOKUP(C80,[1]!Tableau_cotisants,8,FALSE)</f>
        <v>29180</v>
      </c>
      <c r="K80" s="54" t="str">
        <f t="shared" si="6"/>
        <v>39 an(s) 7 mois et 10 jour(s)</v>
      </c>
      <c r="L80" s="52" t="str">
        <f>VLOOKUP(C80,[1]!Tableau_cotisants,10,FALSE)</f>
        <v>COGNAC</v>
      </c>
      <c r="M80" s="53" t="str">
        <f>VLOOKUP(C80,[1]!Tableau_cotisants,11,FALSE)</f>
        <v>Cognac</v>
      </c>
      <c r="N80" s="6">
        <v>1</v>
      </c>
      <c r="O80" s="5"/>
      <c r="P80" s="27">
        <v>1</v>
      </c>
      <c r="Q80" s="26"/>
      <c r="R80" s="74"/>
      <c r="S80" s="55"/>
      <c r="T80" s="55"/>
      <c r="U80" s="55"/>
      <c r="V80" s="168">
        <f t="shared" si="7"/>
        <v>1</v>
      </c>
    </row>
    <row r="81" spans="1:22">
      <c r="A81" s="7"/>
      <c r="B81" s="7"/>
      <c r="C81" s="147" t="s">
        <v>176</v>
      </c>
      <c r="D81" s="52" t="str">
        <f>VLOOKUP(C81,[1]!Tableau_cotisants,2,FALSE)</f>
        <v>RÉGNIER</v>
      </c>
      <c r="E81" s="52" t="str">
        <f>VLOOKUP(C81,[1]!Tableau_cotisants,3,FALSE)</f>
        <v>RÉGNIER</v>
      </c>
      <c r="F81" s="52" t="str">
        <f>VLOOKUP(C81,[1]!Tableau_cotisants,4,FALSE)</f>
        <v>Laëtitia</v>
      </c>
      <c r="G81" s="53">
        <f>VLOOKUP(C81,[1]!Tableau_cotisants,5,FALSE)</f>
        <v>1</v>
      </c>
      <c r="H81" s="52">
        <f>VLOOKUP(C81,[1]!Tableau_cotisants,6,FALSE)</f>
        <v>1</v>
      </c>
      <c r="I81" s="52">
        <f>VLOOKUP(C81,[1]!Tableau_cotisants,7,FALSE)</f>
        <v>0</v>
      </c>
      <c r="J81" s="54">
        <f>VLOOKUP(C81,[1]!Tableau_cotisants,8,FALSE)</f>
        <v>29180</v>
      </c>
      <c r="K81" s="54" t="str">
        <f t="shared" si="6"/>
        <v>39 an(s) 7 mois et 10 jour(s)</v>
      </c>
      <c r="L81" s="52" t="str">
        <f>VLOOKUP(C81,[1]!Tableau_cotisants,10,FALSE)</f>
        <v>COGNAC</v>
      </c>
      <c r="M81" s="53" t="str">
        <f>VLOOKUP(C81,[1]!Tableau_cotisants,11,FALSE)</f>
        <v>Cognac</v>
      </c>
      <c r="N81" s="6">
        <v>1</v>
      </c>
      <c r="O81" s="5"/>
      <c r="P81" s="27"/>
      <c r="Q81" s="26"/>
      <c r="R81" s="74">
        <v>1</v>
      </c>
      <c r="S81" s="55"/>
      <c r="T81" s="55"/>
      <c r="U81" s="55"/>
      <c r="V81" s="168">
        <f t="shared" si="7"/>
        <v>1</v>
      </c>
    </row>
    <row r="82" spans="1:22">
      <c r="A82" s="172"/>
      <c r="B82" s="171"/>
      <c r="C82" s="174" t="s">
        <v>177</v>
      </c>
      <c r="D82" s="52" t="str">
        <f>VLOOKUP(C82,[1]!Tableau_cotisants,2,FALSE)</f>
        <v>RÉGNIER</v>
      </c>
      <c r="E82" s="52">
        <f>VLOOKUP(C82,[1]!Tableau_cotisants,3,FALSE)</f>
        <v>0</v>
      </c>
      <c r="F82" s="52" t="str">
        <f>VLOOKUP(C82,[1]!Tableau_cotisants,4,FALSE)</f>
        <v>Noa</v>
      </c>
      <c r="G82" s="53">
        <f>VLOOKUP(C82,[1]!Tableau_cotisants,5,FALSE)</f>
        <v>1</v>
      </c>
      <c r="H82" s="52">
        <f>VLOOKUP(C82,[1]!Tableau_cotisants,6,FALSE)</f>
        <v>1</v>
      </c>
      <c r="I82" s="52">
        <f>VLOOKUP(C82,[1]!Tableau_cotisants,7,FALSE)</f>
        <v>0</v>
      </c>
      <c r="J82" s="54">
        <f>VLOOKUP(C82,[1]!Tableau_cotisants,8,FALSE)</f>
        <v>42979</v>
      </c>
      <c r="K82" s="54" t="str">
        <f t="shared" si="6"/>
        <v>1 an(s) 10 mois et 0 jour(s)</v>
      </c>
      <c r="L82" s="52" t="str">
        <f>VLOOKUP(C82,[1]!Tableau_cotisants,10,FALSE)</f>
        <v>COGNAC</v>
      </c>
      <c r="M82" s="53" t="str">
        <f>VLOOKUP(C82,[1]!Tableau_cotisants,11,FALSE)</f>
        <v>Cognac</v>
      </c>
      <c r="N82" s="6">
        <v>1</v>
      </c>
      <c r="O82" s="5"/>
      <c r="P82" s="27"/>
      <c r="Q82" s="26"/>
      <c r="R82" s="74">
        <v>1</v>
      </c>
      <c r="S82" s="55"/>
      <c r="T82" s="55"/>
      <c r="U82" s="55"/>
      <c r="V82" s="168">
        <f t="shared" si="7"/>
        <v>1</v>
      </c>
    </row>
    <row r="83" spans="1:22">
      <c r="A83" s="7"/>
      <c r="B83" s="7"/>
      <c r="C83" s="147" t="s">
        <v>204</v>
      </c>
      <c r="D83" s="52" t="str">
        <f>VLOOKUP(C83,[1]!Tableau_cotisants,2,FALSE)</f>
        <v>RÉGNIER</v>
      </c>
      <c r="E83" s="52" t="str">
        <f>VLOOKUP(C83,[1]!Tableau_cotisants,3,FALSE)</f>
        <v>VANDER-JENGT</v>
      </c>
      <c r="F83" s="52" t="str">
        <f>VLOOKUP(C83,[1]!Tableau_cotisants,4,FALSE)</f>
        <v>Kilauéa</v>
      </c>
      <c r="G83" s="53">
        <f>VLOOKUP(C83,[1]!Tableau_cotisants,5,FALSE)</f>
        <v>1</v>
      </c>
      <c r="H83" s="52">
        <f>VLOOKUP(C83,[1]!Tableau_cotisants,6,FALSE)</f>
        <v>0</v>
      </c>
      <c r="I83" s="52">
        <f>VLOOKUP(C83,[1]!Tableau_cotisants,7,FALSE)</f>
        <v>1</v>
      </c>
      <c r="J83" s="54">
        <f>VLOOKUP(C83,[1]!Tableau_cotisants,8,FALSE)</f>
        <v>42655</v>
      </c>
      <c r="K83" s="54" t="str">
        <f t="shared" si="6"/>
        <v>2 an(s) 8 mois et 19 jour(s)</v>
      </c>
      <c r="L83" s="52" t="str">
        <f>VLOOKUP(C83,[1]!Tableau_cotisants,10,FALSE)</f>
        <v>COGNAC</v>
      </c>
      <c r="M83" s="53" t="str">
        <f>VLOOKUP(C83,[1]!Tableau_cotisants,11,FALSE)</f>
        <v>Cognac</v>
      </c>
      <c r="N83" s="6">
        <v>1</v>
      </c>
      <c r="O83" s="5"/>
      <c r="P83" s="27">
        <v>1</v>
      </c>
      <c r="Q83" s="26"/>
      <c r="R83" s="74"/>
      <c r="S83" s="55"/>
      <c r="T83" s="55"/>
      <c r="U83" s="55"/>
      <c r="V83" s="168">
        <f t="shared" si="7"/>
        <v>1</v>
      </c>
    </row>
    <row r="84" spans="1:22">
      <c r="A84" s="7"/>
      <c r="B84" s="7"/>
      <c r="C84" s="190" t="s">
        <v>204</v>
      </c>
      <c r="D84" s="52" t="str">
        <f>VLOOKUP(C84,[1]!Tableau_cotisants,2,FALSE)</f>
        <v>RÉGNIER</v>
      </c>
      <c r="E84" s="52" t="str">
        <f>VLOOKUP(C84,[1]!Tableau_cotisants,3,FALSE)</f>
        <v>VANDER-JENGT</v>
      </c>
      <c r="F84" s="52" t="str">
        <f>VLOOKUP(C84,[1]!Tableau_cotisants,4,FALSE)</f>
        <v>Kilauéa</v>
      </c>
      <c r="G84" s="53">
        <f>VLOOKUP(C84,[1]!Tableau_cotisants,5,FALSE)</f>
        <v>1</v>
      </c>
      <c r="H84" s="52">
        <f>VLOOKUP(C84,[1]!Tableau_cotisants,6,FALSE)</f>
        <v>0</v>
      </c>
      <c r="I84" s="52">
        <f>VLOOKUP(C84,[1]!Tableau_cotisants,7,FALSE)</f>
        <v>1</v>
      </c>
      <c r="J84" s="54">
        <f>VLOOKUP(C84,[1]!Tableau_cotisants,8,FALSE)</f>
        <v>42655</v>
      </c>
      <c r="K84" s="54" t="str">
        <f t="shared" si="6"/>
        <v>2 an(s) 8 mois et 19 jour(s)</v>
      </c>
      <c r="L84" s="52" t="str">
        <f>VLOOKUP(C84,[1]!Tableau_cotisants,10,FALSE)</f>
        <v>COGNAC</v>
      </c>
      <c r="M84" s="53" t="str">
        <f>VLOOKUP(C84,[1]!Tableau_cotisants,11,FALSE)</f>
        <v>Cognac</v>
      </c>
      <c r="N84" s="6">
        <v>1</v>
      </c>
      <c r="O84" s="5"/>
      <c r="P84" s="27"/>
      <c r="Q84" s="26"/>
      <c r="R84" s="74">
        <v>1</v>
      </c>
      <c r="S84" s="55"/>
      <c r="T84" s="55"/>
      <c r="U84" s="55"/>
      <c r="V84" s="168">
        <f t="shared" si="7"/>
        <v>1</v>
      </c>
    </row>
    <row r="85" spans="1:22">
      <c r="A85" s="172"/>
      <c r="B85" s="171"/>
      <c r="C85" s="182" t="s">
        <v>77</v>
      </c>
      <c r="D85" s="52" t="str">
        <f>VLOOKUP(C85,[1]!Tableau_cotisants,2,FALSE)</f>
        <v>DEGRIS</v>
      </c>
      <c r="E85" s="52" t="str">
        <f>VLOOKUP(C85,[1]!Tableau_cotisants,3,FALSE)</f>
        <v>DEGRIS</v>
      </c>
      <c r="F85" s="52" t="str">
        <f>VLOOKUP(C85,[1]!Tableau_cotisants,4,FALSE)</f>
        <v>Laura</v>
      </c>
      <c r="G85" s="53">
        <f>VLOOKUP(C85,[1]!Tableau_cotisants,5,FALSE)</f>
        <v>1</v>
      </c>
      <c r="H85" s="52">
        <f>VLOOKUP(C85,[1]!Tableau_cotisants,6,FALSE)</f>
        <v>1</v>
      </c>
      <c r="I85" s="52">
        <f>VLOOKUP(C85,[1]!Tableau_cotisants,7,FALSE)</f>
        <v>0</v>
      </c>
      <c r="J85" s="54">
        <f>VLOOKUP(C85,[1]!Tableau_cotisants,8,FALSE)</f>
        <v>32556</v>
      </c>
      <c r="K85" s="54" t="str">
        <f t="shared" si="6"/>
        <v>30 an(s) 4 mois et 14 jour(s)</v>
      </c>
      <c r="L85" s="52" t="str">
        <f>VLOOKUP(C85,[1]!Tableau_cotisants,10,FALSE)</f>
        <v>SALLES D'ANGLES</v>
      </c>
      <c r="M85" s="53" t="str">
        <f>VLOOKUP(C85,[1]!Tableau_cotisants,11,FALSE)</f>
        <v>Champagne</v>
      </c>
      <c r="N85" s="53">
        <v>1</v>
      </c>
      <c r="O85" s="57"/>
      <c r="P85" s="68">
        <v>1</v>
      </c>
      <c r="Q85" s="191"/>
      <c r="R85" s="193"/>
      <c r="S85" s="55"/>
      <c r="T85" s="55"/>
      <c r="U85" s="55"/>
      <c r="V85" s="168">
        <f t="shared" si="7"/>
        <v>1</v>
      </c>
    </row>
    <row r="86" spans="1:22">
      <c r="A86" s="7"/>
      <c r="B86" s="7"/>
      <c r="C86" s="182" t="s">
        <v>77</v>
      </c>
      <c r="D86" s="52" t="str">
        <f>VLOOKUP(C86,[1]!Tableau_cotisants,2,FALSE)</f>
        <v>DEGRIS</v>
      </c>
      <c r="E86" s="52" t="str">
        <f>VLOOKUP(C86,[1]!Tableau_cotisants,3,FALSE)</f>
        <v>DEGRIS</v>
      </c>
      <c r="F86" s="52" t="str">
        <f>VLOOKUP(C86,[1]!Tableau_cotisants,4,FALSE)</f>
        <v>Laura</v>
      </c>
      <c r="G86" s="53">
        <f>VLOOKUP(C86,[1]!Tableau_cotisants,5,FALSE)</f>
        <v>1</v>
      </c>
      <c r="H86" s="52">
        <f>VLOOKUP(C86,[1]!Tableau_cotisants,6,FALSE)</f>
        <v>1</v>
      </c>
      <c r="I86" s="52">
        <f>VLOOKUP(C86,[1]!Tableau_cotisants,7,FALSE)</f>
        <v>0</v>
      </c>
      <c r="J86" s="54">
        <f>VLOOKUP(C86,[1]!Tableau_cotisants,8,FALSE)</f>
        <v>32556</v>
      </c>
      <c r="K86" s="54" t="str">
        <f t="shared" si="6"/>
        <v>30 an(s) 4 mois et 14 jour(s)</v>
      </c>
      <c r="L86" s="52" t="str">
        <f>VLOOKUP(C86,[1]!Tableau_cotisants,10,FALSE)</f>
        <v>SALLES D'ANGLES</v>
      </c>
      <c r="M86" s="53" t="str">
        <f>VLOOKUP(C86,[1]!Tableau_cotisants,11,FALSE)</f>
        <v>Champagne</v>
      </c>
      <c r="N86" s="6">
        <v>1</v>
      </c>
      <c r="O86" s="5"/>
      <c r="P86" s="27">
        <v>1</v>
      </c>
      <c r="Q86" s="26"/>
      <c r="R86" s="74"/>
      <c r="S86" s="55"/>
      <c r="T86" s="55"/>
      <c r="U86" s="55"/>
      <c r="V86" s="168">
        <f t="shared" si="7"/>
        <v>1</v>
      </c>
    </row>
    <row r="87" spans="1:22">
      <c r="A87" s="7"/>
      <c r="B87" s="7"/>
      <c r="C87" s="182" t="s">
        <v>77</v>
      </c>
      <c r="D87" s="56" t="str">
        <f>VLOOKUP(C87,[1]!Tableau_cotisants,2,FALSE)</f>
        <v>DEGRIS</v>
      </c>
      <c r="E87" s="56" t="str">
        <f>VLOOKUP(C87,[1]!Tableau_cotisants,3,FALSE)</f>
        <v>DEGRIS</v>
      </c>
      <c r="F87" s="56" t="str">
        <f>VLOOKUP(C87,[1]!Tableau_cotisants,4,FALSE)</f>
        <v>Laura</v>
      </c>
      <c r="G87" s="57">
        <f>VLOOKUP(C87,[1]!Tableau_cotisants,5,FALSE)</f>
        <v>1</v>
      </c>
      <c r="H87" s="56">
        <f>VLOOKUP(C87,[1]!Tableau_cotisants,6,FALSE)</f>
        <v>1</v>
      </c>
      <c r="I87" s="56">
        <f>VLOOKUP(C87,[1]!Tableau_cotisants,7,FALSE)</f>
        <v>0</v>
      </c>
      <c r="J87" s="58">
        <f>VLOOKUP(C87,[1]!Tableau_cotisants,8,FALSE)</f>
        <v>32556</v>
      </c>
      <c r="K87" s="54" t="str">
        <f t="shared" si="6"/>
        <v>30 an(s) 4 mois et 14 jour(s)</v>
      </c>
      <c r="L87" s="56" t="str">
        <f>VLOOKUP(C87,[1]!Tableau_cotisants,10,FALSE)</f>
        <v>SALLES D'ANGLES</v>
      </c>
      <c r="M87" s="57" t="str">
        <f>VLOOKUP(C87,[1]!Tableau_cotisants,11,FALSE)</f>
        <v>Champagne</v>
      </c>
      <c r="N87" s="6"/>
      <c r="O87" s="5">
        <v>1</v>
      </c>
      <c r="P87" s="27">
        <v>1</v>
      </c>
      <c r="Q87" s="26"/>
      <c r="R87" s="74"/>
      <c r="S87" s="55"/>
      <c r="T87" s="55"/>
      <c r="U87" s="55">
        <v>1</v>
      </c>
      <c r="V87" s="168">
        <f t="shared" si="7"/>
        <v>1</v>
      </c>
    </row>
    <row r="88" spans="1:22">
      <c r="A88" s="7"/>
      <c r="B88" s="7"/>
      <c r="C88" s="182" t="s">
        <v>77</v>
      </c>
      <c r="D88" s="52" t="str">
        <f>VLOOKUP(C88,[1]!Tableau_cotisants,2,FALSE)</f>
        <v>DEGRIS</v>
      </c>
      <c r="E88" s="52" t="str">
        <f>VLOOKUP(C88,[1]!Tableau_cotisants,3,FALSE)</f>
        <v>DEGRIS</v>
      </c>
      <c r="F88" s="52" t="str">
        <f>VLOOKUP(C88,[1]!Tableau_cotisants,4,FALSE)</f>
        <v>Laura</v>
      </c>
      <c r="G88" s="53">
        <f>VLOOKUP(C88,[1]!Tableau_cotisants,5,FALSE)</f>
        <v>1</v>
      </c>
      <c r="H88" s="52">
        <f>VLOOKUP(C88,[1]!Tableau_cotisants,6,FALSE)</f>
        <v>1</v>
      </c>
      <c r="I88" s="52">
        <f>VLOOKUP(C88,[1]!Tableau_cotisants,7,FALSE)</f>
        <v>0</v>
      </c>
      <c r="J88" s="54">
        <f>VLOOKUP(C88,[1]!Tableau_cotisants,8,FALSE)</f>
        <v>32556</v>
      </c>
      <c r="K88" s="54" t="str">
        <f t="shared" si="6"/>
        <v>30 an(s) 4 mois et 14 jour(s)</v>
      </c>
      <c r="L88" s="52" t="str">
        <f>VLOOKUP(C88,[1]!Tableau_cotisants,10,FALSE)</f>
        <v>SALLES D'ANGLES</v>
      </c>
      <c r="M88" s="53" t="str">
        <f>VLOOKUP(C88,[1]!Tableau_cotisants,11,FALSE)</f>
        <v>Champagne</v>
      </c>
      <c r="N88" s="6">
        <v>1</v>
      </c>
      <c r="O88" s="5"/>
      <c r="P88" s="27">
        <v>1</v>
      </c>
      <c r="Q88" s="26"/>
      <c r="R88" s="74"/>
      <c r="S88" s="55"/>
      <c r="T88" s="55"/>
      <c r="U88" s="55"/>
      <c r="V88" s="168">
        <f t="shared" si="7"/>
        <v>1</v>
      </c>
    </row>
    <row r="89" spans="1:22">
      <c r="A89" s="7"/>
      <c r="B89" s="7"/>
      <c r="C89" s="182" t="s">
        <v>77</v>
      </c>
      <c r="D89" s="52" t="str">
        <f>VLOOKUP(C89,[1]!Tableau_cotisants,2,FALSE)</f>
        <v>DEGRIS</v>
      </c>
      <c r="E89" s="52" t="str">
        <f>VLOOKUP(C89,[1]!Tableau_cotisants,3,FALSE)</f>
        <v>DEGRIS</v>
      </c>
      <c r="F89" s="52" t="str">
        <f>VLOOKUP(C89,[1]!Tableau_cotisants,4,FALSE)</f>
        <v>Laura</v>
      </c>
      <c r="G89" s="53">
        <f>VLOOKUP(C89,[1]!Tableau_cotisants,5,FALSE)</f>
        <v>1</v>
      </c>
      <c r="H89" s="52">
        <f>VLOOKUP(C89,[1]!Tableau_cotisants,6,FALSE)</f>
        <v>1</v>
      </c>
      <c r="I89" s="52">
        <f>VLOOKUP(C89,[1]!Tableau_cotisants,7,FALSE)</f>
        <v>0</v>
      </c>
      <c r="J89" s="54">
        <f>VLOOKUP(C89,[1]!Tableau_cotisants,8,FALSE)</f>
        <v>32556</v>
      </c>
      <c r="K89" s="54" t="str">
        <f t="shared" si="6"/>
        <v>30 an(s) 4 mois et 14 jour(s)</v>
      </c>
      <c r="L89" s="52" t="str">
        <f>VLOOKUP(C89,[1]!Tableau_cotisants,10,FALSE)</f>
        <v>SALLES D'ANGLES</v>
      </c>
      <c r="M89" s="53" t="str">
        <f>VLOOKUP(C89,[1]!Tableau_cotisants,11,FALSE)</f>
        <v>Champagne</v>
      </c>
      <c r="N89" s="6">
        <v>1</v>
      </c>
      <c r="O89" s="5"/>
      <c r="P89" s="27">
        <v>1</v>
      </c>
      <c r="Q89" s="26"/>
      <c r="R89" s="74"/>
      <c r="S89" s="55"/>
      <c r="T89" s="55"/>
      <c r="U89" s="55"/>
      <c r="V89" s="168">
        <f t="shared" si="7"/>
        <v>1</v>
      </c>
    </row>
    <row r="90" spans="1:22">
      <c r="A90" s="7"/>
      <c r="B90" s="7"/>
      <c r="C90" s="121" t="s">
        <v>77</v>
      </c>
      <c r="D90" s="52" t="str">
        <f>VLOOKUP(C90,[1]!Tableau_cotisants,2,FALSE)</f>
        <v>DEGRIS</v>
      </c>
      <c r="E90" s="52" t="str">
        <f>VLOOKUP(C90,[1]!Tableau_cotisants,3,FALSE)</f>
        <v>DEGRIS</v>
      </c>
      <c r="F90" s="52" t="str">
        <f>VLOOKUP(C90,[1]!Tableau_cotisants,4,FALSE)</f>
        <v>Laura</v>
      </c>
      <c r="G90" s="53">
        <f>VLOOKUP(C90,[1]!Tableau_cotisants,5,FALSE)</f>
        <v>1</v>
      </c>
      <c r="H90" s="52">
        <f>VLOOKUP(C90,[1]!Tableau_cotisants,6,FALSE)</f>
        <v>1</v>
      </c>
      <c r="I90" s="52">
        <f>VLOOKUP(C90,[1]!Tableau_cotisants,7,FALSE)</f>
        <v>0</v>
      </c>
      <c r="J90" s="54">
        <f>VLOOKUP(C90,[1]!Tableau_cotisants,8,FALSE)</f>
        <v>32556</v>
      </c>
      <c r="K90" s="54" t="str">
        <f t="shared" si="6"/>
        <v>30 an(s) 4 mois et 14 jour(s)</v>
      </c>
      <c r="L90" s="52" t="str">
        <f>VLOOKUP(C90,[1]!Tableau_cotisants,10,FALSE)</f>
        <v>SALLES D'ANGLES</v>
      </c>
      <c r="M90" s="53" t="str">
        <f>VLOOKUP(C90,[1]!Tableau_cotisants,11,FALSE)</f>
        <v>Champagne</v>
      </c>
      <c r="N90" s="6">
        <v>1</v>
      </c>
      <c r="O90" s="5"/>
      <c r="P90" s="27">
        <v>1</v>
      </c>
      <c r="Q90" s="26"/>
      <c r="R90" s="74"/>
      <c r="S90" s="55"/>
      <c r="T90" s="55"/>
      <c r="U90" s="55"/>
      <c r="V90" s="168">
        <f t="shared" si="7"/>
        <v>1</v>
      </c>
    </row>
    <row r="91" spans="1:22">
      <c r="A91" s="172"/>
      <c r="B91" s="171"/>
      <c r="C91" s="121" t="s">
        <v>79</v>
      </c>
      <c r="D91" s="52" t="str">
        <f>VLOOKUP(C91,[1]!Tableau_cotisants,2,FALSE)</f>
        <v>DEGRIS</v>
      </c>
      <c r="E91" s="52" t="str">
        <f>VLOOKUP(C91,[1]!Tableau_cotisants,3,FALSE)</f>
        <v>GUYOT</v>
      </c>
      <c r="F91" s="52" t="str">
        <f>VLOOKUP(C91,[1]!Tableau_cotisants,4,FALSE)</f>
        <v>Léanne</v>
      </c>
      <c r="G91" s="53">
        <f>VLOOKUP(C91,[1]!Tableau_cotisants,5,FALSE)</f>
        <v>1</v>
      </c>
      <c r="H91" s="52">
        <f>VLOOKUP(C91,[1]!Tableau_cotisants,6,FALSE)</f>
        <v>1</v>
      </c>
      <c r="I91" s="52">
        <f>VLOOKUP(C91,[1]!Tableau_cotisants,7,FALSE)</f>
        <v>0</v>
      </c>
      <c r="J91" s="54">
        <f>VLOOKUP(C91,[1]!Tableau_cotisants,8,FALSE)</f>
        <v>41202</v>
      </c>
      <c r="K91" s="54" t="str">
        <f t="shared" si="6"/>
        <v>6 an(s) 8 mois et 11 jour(s)</v>
      </c>
      <c r="L91" s="52" t="str">
        <f>VLOOKUP(C91,[1]!Tableau_cotisants,10,FALSE)</f>
        <v>SALLES D'ANGLES</v>
      </c>
      <c r="M91" s="53" t="str">
        <f>VLOOKUP(C91,[1]!Tableau_cotisants,11,FALSE)</f>
        <v>Champagne</v>
      </c>
      <c r="N91" s="85">
        <v>1</v>
      </c>
      <c r="O91" s="57"/>
      <c r="P91" s="68">
        <v>1</v>
      </c>
      <c r="Q91" s="191"/>
      <c r="R91" s="193"/>
      <c r="S91" s="55"/>
      <c r="T91" s="55"/>
      <c r="U91" s="55"/>
      <c r="V91" s="168">
        <f t="shared" si="7"/>
        <v>1</v>
      </c>
    </row>
    <row r="92" spans="1:22">
      <c r="A92" s="7"/>
      <c r="B92" s="7"/>
      <c r="C92" s="121" t="s">
        <v>79</v>
      </c>
      <c r="D92" s="52" t="str">
        <f>VLOOKUP(C92,[1]!Tableau_cotisants,2,FALSE)</f>
        <v>DEGRIS</v>
      </c>
      <c r="E92" s="52" t="str">
        <f>VLOOKUP(C92,[1]!Tableau_cotisants,3,FALSE)</f>
        <v>GUYOT</v>
      </c>
      <c r="F92" s="52" t="str">
        <f>VLOOKUP(C92,[1]!Tableau_cotisants,4,FALSE)</f>
        <v>Léanne</v>
      </c>
      <c r="G92" s="53">
        <f>VLOOKUP(C92,[1]!Tableau_cotisants,5,FALSE)</f>
        <v>1</v>
      </c>
      <c r="H92" s="52">
        <f>VLOOKUP(C92,[1]!Tableau_cotisants,6,FALSE)</f>
        <v>1</v>
      </c>
      <c r="I92" s="52">
        <f>VLOOKUP(C92,[1]!Tableau_cotisants,7,FALSE)</f>
        <v>0</v>
      </c>
      <c r="J92" s="54">
        <f>VLOOKUP(C92,[1]!Tableau_cotisants,8,FALSE)</f>
        <v>41202</v>
      </c>
      <c r="K92" s="54" t="str">
        <f t="shared" si="6"/>
        <v>6 an(s) 8 mois et 11 jour(s)</v>
      </c>
      <c r="L92" s="52" t="str">
        <f>VLOOKUP(C92,[1]!Tableau_cotisants,10,FALSE)</f>
        <v>SALLES D'ANGLES</v>
      </c>
      <c r="M92" s="53" t="str">
        <f>VLOOKUP(C92,[1]!Tableau_cotisants,11,FALSE)</f>
        <v>Champagne</v>
      </c>
      <c r="N92" s="6">
        <v>1</v>
      </c>
      <c r="O92" s="5"/>
      <c r="P92" s="27">
        <v>1</v>
      </c>
      <c r="Q92" s="26"/>
      <c r="R92" s="74"/>
      <c r="S92" s="55"/>
      <c r="T92" s="55"/>
      <c r="U92" s="55"/>
      <c r="V92" s="168">
        <f t="shared" si="7"/>
        <v>1</v>
      </c>
    </row>
    <row r="93" spans="1:22">
      <c r="A93" s="7"/>
      <c r="B93" s="7"/>
      <c r="C93" s="121" t="s">
        <v>79</v>
      </c>
      <c r="D93" s="56" t="str">
        <f>VLOOKUP(C93,[1]!Tableau_cotisants,2,FALSE)</f>
        <v>DEGRIS</v>
      </c>
      <c r="E93" s="56" t="str">
        <f>VLOOKUP(C93,[1]!Tableau_cotisants,3,FALSE)</f>
        <v>GUYOT</v>
      </c>
      <c r="F93" s="56" t="str">
        <f>VLOOKUP(C93,[1]!Tableau_cotisants,4,FALSE)</f>
        <v>Léanne</v>
      </c>
      <c r="G93" s="57">
        <f>VLOOKUP(C93,[1]!Tableau_cotisants,5,FALSE)</f>
        <v>1</v>
      </c>
      <c r="H93" s="56">
        <f>VLOOKUP(C93,[1]!Tableau_cotisants,6,FALSE)</f>
        <v>1</v>
      </c>
      <c r="I93" s="56">
        <f>VLOOKUP(C93,[1]!Tableau_cotisants,7,FALSE)</f>
        <v>0</v>
      </c>
      <c r="J93" s="58">
        <f>VLOOKUP(C93,[1]!Tableau_cotisants,8,FALSE)</f>
        <v>41202</v>
      </c>
      <c r="K93" s="54" t="str">
        <f t="shared" si="6"/>
        <v>6 an(s) 8 mois et 11 jour(s)</v>
      </c>
      <c r="L93" s="56" t="str">
        <f>VLOOKUP(C93,[1]!Tableau_cotisants,10,FALSE)</f>
        <v>SALLES D'ANGLES</v>
      </c>
      <c r="M93" s="57" t="str">
        <f>VLOOKUP(C93,[1]!Tableau_cotisants,11,FALSE)</f>
        <v>Champagne</v>
      </c>
      <c r="N93" s="6"/>
      <c r="O93" s="5">
        <v>1</v>
      </c>
      <c r="P93" s="27">
        <v>1</v>
      </c>
      <c r="Q93" s="26"/>
      <c r="R93" s="74"/>
      <c r="S93" s="55"/>
      <c r="T93" s="55"/>
      <c r="U93" s="55">
        <v>1</v>
      </c>
      <c r="V93" s="168">
        <f t="shared" si="7"/>
        <v>1</v>
      </c>
    </row>
    <row r="94" spans="1:22">
      <c r="A94" s="7"/>
      <c r="B94" s="7"/>
      <c r="C94" s="121" t="s">
        <v>79</v>
      </c>
      <c r="D94" s="52" t="str">
        <f>VLOOKUP(C94,[1]!Tableau_cotisants,2,FALSE)</f>
        <v>DEGRIS</v>
      </c>
      <c r="E94" s="52" t="str">
        <f>VLOOKUP(C94,[1]!Tableau_cotisants,3,FALSE)</f>
        <v>GUYOT</v>
      </c>
      <c r="F94" s="52" t="str">
        <f>VLOOKUP(C94,[1]!Tableau_cotisants,4,FALSE)</f>
        <v>Léanne</v>
      </c>
      <c r="G94" s="53">
        <f>VLOOKUP(C94,[1]!Tableau_cotisants,5,FALSE)</f>
        <v>1</v>
      </c>
      <c r="H94" s="52">
        <f>VLOOKUP(C94,[1]!Tableau_cotisants,6,FALSE)</f>
        <v>1</v>
      </c>
      <c r="I94" s="52">
        <f>VLOOKUP(C94,[1]!Tableau_cotisants,7,FALSE)</f>
        <v>0</v>
      </c>
      <c r="J94" s="54">
        <f>VLOOKUP(C94,[1]!Tableau_cotisants,8,FALSE)</f>
        <v>41202</v>
      </c>
      <c r="K94" s="54" t="str">
        <f t="shared" si="6"/>
        <v>6 an(s) 8 mois et 11 jour(s)</v>
      </c>
      <c r="L94" s="52" t="str">
        <f>VLOOKUP(C94,[1]!Tableau_cotisants,10,FALSE)</f>
        <v>SALLES D'ANGLES</v>
      </c>
      <c r="M94" s="53" t="str">
        <f>VLOOKUP(C94,[1]!Tableau_cotisants,11,FALSE)</f>
        <v>Champagne</v>
      </c>
      <c r="N94" s="6">
        <v>1</v>
      </c>
      <c r="O94" s="5"/>
      <c r="P94" s="27">
        <v>1</v>
      </c>
      <c r="Q94" s="26"/>
      <c r="R94" s="74"/>
      <c r="S94" s="55"/>
      <c r="T94" s="55"/>
      <c r="U94" s="55"/>
      <c r="V94" s="168">
        <f t="shared" si="7"/>
        <v>1</v>
      </c>
    </row>
    <row r="95" spans="1:22">
      <c r="A95" s="7"/>
      <c r="B95" s="7"/>
      <c r="C95" s="154" t="s">
        <v>79</v>
      </c>
      <c r="D95" s="52" t="str">
        <f>VLOOKUP(C95,[1]!Tableau_cotisants,2,FALSE)</f>
        <v>DEGRIS</v>
      </c>
      <c r="E95" s="52" t="str">
        <f>VLOOKUP(C95,[1]!Tableau_cotisants,3,FALSE)</f>
        <v>GUYOT</v>
      </c>
      <c r="F95" s="52" t="str">
        <f>VLOOKUP(C95,[1]!Tableau_cotisants,4,FALSE)</f>
        <v>Léanne</v>
      </c>
      <c r="G95" s="53">
        <f>VLOOKUP(C95,[1]!Tableau_cotisants,5,FALSE)</f>
        <v>1</v>
      </c>
      <c r="H95" s="52">
        <f>VLOOKUP(C95,[1]!Tableau_cotisants,6,FALSE)</f>
        <v>1</v>
      </c>
      <c r="I95" s="52">
        <f>VLOOKUP(C95,[1]!Tableau_cotisants,7,FALSE)</f>
        <v>0</v>
      </c>
      <c r="J95" s="54">
        <f>VLOOKUP(C95,[1]!Tableau_cotisants,8,FALSE)</f>
        <v>41202</v>
      </c>
      <c r="K95" s="54" t="str">
        <f t="shared" si="6"/>
        <v>6 an(s) 8 mois et 11 jour(s)</v>
      </c>
      <c r="L95" s="52" t="str">
        <f>VLOOKUP(C95,[1]!Tableau_cotisants,10,FALSE)</f>
        <v>SALLES D'ANGLES</v>
      </c>
      <c r="M95" s="53" t="str">
        <f>VLOOKUP(C95,[1]!Tableau_cotisants,11,FALSE)</f>
        <v>Champagne</v>
      </c>
      <c r="N95" s="6">
        <v>1</v>
      </c>
      <c r="O95" s="5"/>
      <c r="P95" s="27">
        <v>1</v>
      </c>
      <c r="Q95" s="26"/>
      <c r="R95" s="74"/>
      <c r="S95" s="55"/>
      <c r="T95" s="55"/>
      <c r="U95" s="55"/>
      <c r="V95" s="168">
        <f t="shared" si="7"/>
        <v>1</v>
      </c>
    </row>
    <row r="96" spans="1:22">
      <c r="A96" s="7"/>
      <c r="B96" s="7"/>
      <c r="C96" s="154" t="s">
        <v>79</v>
      </c>
      <c r="D96" s="52" t="str">
        <f>VLOOKUP(C96,[1]!Tableau_cotisants,2,FALSE)</f>
        <v>DEGRIS</v>
      </c>
      <c r="E96" s="52" t="str">
        <f>VLOOKUP(C96,[1]!Tableau_cotisants,3,FALSE)</f>
        <v>GUYOT</v>
      </c>
      <c r="F96" s="52" t="str">
        <f>VLOOKUP(C96,[1]!Tableau_cotisants,4,FALSE)</f>
        <v>Léanne</v>
      </c>
      <c r="G96" s="53">
        <f>VLOOKUP(C96,[1]!Tableau_cotisants,5,FALSE)</f>
        <v>1</v>
      </c>
      <c r="H96" s="52">
        <f>VLOOKUP(C96,[1]!Tableau_cotisants,6,FALSE)</f>
        <v>1</v>
      </c>
      <c r="I96" s="52">
        <f>VLOOKUP(C96,[1]!Tableau_cotisants,7,FALSE)</f>
        <v>0</v>
      </c>
      <c r="J96" s="54">
        <f>VLOOKUP(C96,[1]!Tableau_cotisants,8,FALSE)</f>
        <v>41202</v>
      </c>
      <c r="K96" s="54" t="str">
        <f t="shared" si="6"/>
        <v>6 an(s) 8 mois et 11 jour(s)</v>
      </c>
      <c r="L96" s="52" t="str">
        <f>VLOOKUP(C96,[1]!Tableau_cotisants,10,FALSE)</f>
        <v>SALLES D'ANGLES</v>
      </c>
      <c r="M96" s="53" t="str">
        <f>VLOOKUP(C96,[1]!Tableau_cotisants,11,FALSE)</f>
        <v>Champagne</v>
      </c>
      <c r="N96" s="6">
        <v>1</v>
      </c>
      <c r="O96" s="5"/>
      <c r="P96" s="27">
        <v>1</v>
      </c>
      <c r="Q96" s="26"/>
      <c r="R96" s="74"/>
      <c r="S96" s="55"/>
      <c r="T96" s="55"/>
      <c r="U96" s="55"/>
      <c r="V96" s="168">
        <f t="shared" si="7"/>
        <v>1</v>
      </c>
    </row>
    <row r="97" spans="1:22">
      <c r="A97" s="172"/>
      <c r="B97" s="171"/>
      <c r="C97" s="121" t="s">
        <v>78</v>
      </c>
      <c r="D97" s="52" t="str">
        <f>VLOOKUP(C97,[1]!Tableau_cotisants,2,FALSE)</f>
        <v>DEGRIS</v>
      </c>
      <c r="E97" s="52" t="str">
        <f>VLOOKUP(C97,[1]!Tableau_cotisants,3,FALSE)</f>
        <v>GUYOT</v>
      </c>
      <c r="F97" s="52" t="str">
        <f>VLOOKUP(C97,[1]!Tableau_cotisants,4,FALSE)</f>
        <v>Nathan</v>
      </c>
      <c r="G97" s="53">
        <f>VLOOKUP(C97,[1]!Tableau_cotisants,5,FALSE)</f>
        <v>1</v>
      </c>
      <c r="H97" s="52">
        <f>VLOOKUP(C97,[1]!Tableau_cotisants,6,FALSE)</f>
        <v>0</v>
      </c>
      <c r="I97" s="52">
        <f>VLOOKUP(C97,[1]!Tableau_cotisants,7,FALSE)</f>
        <v>1</v>
      </c>
      <c r="J97" s="54">
        <f>VLOOKUP(C97,[1]!Tableau_cotisants,8,FALSE)</f>
        <v>42354</v>
      </c>
      <c r="K97" s="54" t="str">
        <f t="shared" si="6"/>
        <v>3 an(s) 6 mois et 15 jour(s)</v>
      </c>
      <c r="L97" s="52" t="str">
        <f>VLOOKUP(C97,[1]!Tableau_cotisants,10,FALSE)</f>
        <v>SALLES D'ANGLES</v>
      </c>
      <c r="M97" s="53" t="str">
        <f>VLOOKUP(C97,[1]!Tableau_cotisants,11,FALSE)</f>
        <v>Champagne</v>
      </c>
      <c r="N97" s="85">
        <v>1</v>
      </c>
      <c r="O97" s="57"/>
      <c r="P97" s="68">
        <v>1</v>
      </c>
      <c r="Q97" s="191"/>
      <c r="R97" s="193"/>
      <c r="S97" s="55"/>
      <c r="T97" s="55"/>
      <c r="U97" s="55"/>
      <c r="V97" s="168">
        <f t="shared" si="7"/>
        <v>1</v>
      </c>
    </row>
    <row r="98" spans="1:22">
      <c r="A98" s="7"/>
      <c r="B98" s="7"/>
      <c r="C98" s="121" t="s">
        <v>78</v>
      </c>
      <c r="D98" s="52" t="str">
        <f>VLOOKUP(C98,[1]!Tableau_cotisants,2,FALSE)</f>
        <v>DEGRIS</v>
      </c>
      <c r="E98" s="52" t="str">
        <f>VLOOKUP(C98,[1]!Tableau_cotisants,3,FALSE)</f>
        <v>GUYOT</v>
      </c>
      <c r="F98" s="52" t="str">
        <f>VLOOKUP(C98,[1]!Tableau_cotisants,4,FALSE)</f>
        <v>Nathan</v>
      </c>
      <c r="G98" s="53">
        <f>VLOOKUP(C98,[1]!Tableau_cotisants,5,FALSE)</f>
        <v>1</v>
      </c>
      <c r="H98" s="52">
        <f>VLOOKUP(C98,[1]!Tableau_cotisants,6,FALSE)</f>
        <v>0</v>
      </c>
      <c r="I98" s="52">
        <f>VLOOKUP(C98,[1]!Tableau_cotisants,7,FALSE)</f>
        <v>1</v>
      </c>
      <c r="J98" s="54">
        <f>VLOOKUP(C98,[1]!Tableau_cotisants,8,FALSE)</f>
        <v>42354</v>
      </c>
      <c r="K98" s="54" t="str">
        <f t="shared" si="6"/>
        <v>3 an(s) 6 mois et 15 jour(s)</v>
      </c>
      <c r="L98" s="52" t="str">
        <f>VLOOKUP(C98,[1]!Tableau_cotisants,10,FALSE)</f>
        <v>SALLES D'ANGLES</v>
      </c>
      <c r="M98" s="53" t="str">
        <f>VLOOKUP(C98,[1]!Tableau_cotisants,11,FALSE)</f>
        <v>Champagne</v>
      </c>
      <c r="N98" s="6">
        <v>1</v>
      </c>
      <c r="O98" s="5"/>
      <c r="P98" s="27">
        <v>1</v>
      </c>
      <c r="Q98" s="26"/>
      <c r="R98" s="74"/>
      <c r="S98" s="55"/>
      <c r="T98" s="55"/>
      <c r="U98" s="55"/>
      <c r="V98" s="168">
        <f t="shared" si="7"/>
        <v>1</v>
      </c>
    </row>
    <row r="99" spans="1:22">
      <c r="A99" s="7"/>
      <c r="B99" s="7"/>
      <c r="C99" s="188" t="s">
        <v>78</v>
      </c>
      <c r="D99" s="56" t="str">
        <f>VLOOKUP(C99,[1]!Tableau_cotisants,2,FALSE)</f>
        <v>DEGRIS</v>
      </c>
      <c r="E99" s="56" t="str">
        <f>VLOOKUP(C99,[1]!Tableau_cotisants,3,FALSE)</f>
        <v>GUYOT</v>
      </c>
      <c r="F99" s="56" t="str">
        <f>VLOOKUP(C99,[1]!Tableau_cotisants,4,FALSE)</f>
        <v>Nathan</v>
      </c>
      <c r="G99" s="57">
        <f>VLOOKUP(C99,[1]!Tableau_cotisants,5,FALSE)</f>
        <v>1</v>
      </c>
      <c r="H99" s="56">
        <f>VLOOKUP(C99,[1]!Tableau_cotisants,6,FALSE)</f>
        <v>0</v>
      </c>
      <c r="I99" s="56">
        <f>VLOOKUP(C99,[1]!Tableau_cotisants,7,FALSE)</f>
        <v>1</v>
      </c>
      <c r="J99" s="58">
        <f>VLOOKUP(C99,[1]!Tableau_cotisants,8,FALSE)</f>
        <v>42354</v>
      </c>
      <c r="K99" s="54" t="str">
        <f t="shared" si="6"/>
        <v>3 an(s) 6 mois et 15 jour(s)</v>
      </c>
      <c r="L99" s="56" t="str">
        <f>VLOOKUP(C99,[1]!Tableau_cotisants,10,FALSE)</f>
        <v>SALLES D'ANGLES</v>
      </c>
      <c r="M99" s="57" t="str">
        <f>VLOOKUP(C99,[1]!Tableau_cotisants,11,FALSE)</f>
        <v>Champagne</v>
      </c>
      <c r="N99" s="6"/>
      <c r="O99" s="5">
        <v>1</v>
      </c>
      <c r="P99" s="27">
        <v>1</v>
      </c>
      <c r="Q99" s="26"/>
      <c r="R99" s="74"/>
      <c r="S99" s="55"/>
      <c r="T99" s="55"/>
      <c r="U99" s="55"/>
      <c r="V99" s="168">
        <f t="shared" si="7"/>
        <v>1</v>
      </c>
    </row>
    <row r="100" spans="1:22">
      <c r="A100" s="7"/>
      <c r="B100" s="7"/>
      <c r="C100" s="121" t="s">
        <v>78</v>
      </c>
      <c r="D100" s="52" t="str">
        <f>VLOOKUP(C100,[1]!Tableau_cotisants,2,FALSE)</f>
        <v>DEGRIS</v>
      </c>
      <c r="E100" s="52" t="str">
        <f>VLOOKUP(C100,[1]!Tableau_cotisants,3,FALSE)</f>
        <v>GUYOT</v>
      </c>
      <c r="F100" s="52" t="str">
        <f>VLOOKUP(C100,[1]!Tableau_cotisants,4,FALSE)</f>
        <v>Nathan</v>
      </c>
      <c r="G100" s="53">
        <f>VLOOKUP(C100,[1]!Tableau_cotisants,5,FALSE)</f>
        <v>1</v>
      </c>
      <c r="H100" s="52">
        <f>VLOOKUP(C100,[1]!Tableau_cotisants,6,FALSE)</f>
        <v>0</v>
      </c>
      <c r="I100" s="52">
        <f>VLOOKUP(C100,[1]!Tableau_cotisants,7,FALSE)</f>
        <v>1</v>
      </c>
      <c r="J100" s="54">
        <f>VLOOKUP(C100,[1]!Tableau_cotisants,8,FALSE)</f>
        <v>42354</v>
      </c>
      <c r="K100" s="54" t="str">
        <f t="shared" si="6"/>
        <v>3 an(s) 6 mois et 15 jour(s)</v>
      </c>
      <c r="L100" s="52" t="str">
        <f>VLOOKUP(C100,[1]!Tableau_cotisants,10,FALSE)</f>
        <v>SALLES D'ANGLES</v>
      </c>
      <c r="M100" s="53" t="str">
        <f>VLOOKUP(C100,[1]!Tableau_cotisants,11,FALSE)</f>
        <v>Champagne</v>
      </c>
      <c r="N100" s="6">
        <v>1</v>
      </c>
      <c r="O100" s="5"/>
      <c r="P100" s="27">
        <v>1</v>
      </c>
      <c r="Q100" s="26"/>
      <c r="R100" s="74"/>
      <c r="S100" s="55"/>
      <c r="T100" s="55"/>
      <c r="U100" s="55"/>
      <c r="V100" s="168">
        <f t="shared" si="7"/>
        <v>1</v>
      </c>
    </row>
    <row r="101" spans="1:22">
      <c r="A101" s="7"/>
      <c r="B101" s="7"/>
      <c r="C101" s="121" t="s">
        <v>78</v>
      </c>
      <c r="D101" s="52" t="str">
        <f>VLOOKUP(C101,[1]!Tableau_cotisants,2,FALSE)</f>
        <v>DEGRIS</v>
      </c>
      <c r="E101" s="52" t="str">
        <f>VLOOKUP(C101,[1]!Tableau_cotisants,3,FALSE)</f>
        <v>GUYOT</v>
      </c>
      <c r="F101" s="52" t="str">
        <f>VLOOKUP(C101,[1]!Tableau_cotisants,4,FALSE)</f>
        <v>Nathan</v>
      </c>
      <c r="G101" s="53">
        <f>VLOOKUP(C101,[1]!Tableau_cotisants,5,FALSE)</f>
        <v>1</v>
      </c>
      <c r="H101" s="52">
        <f>VLOOKUP(C101,[1]!Tableau_cotisants,6,FALSE)</f>
        <v>0</v>
      </c>
      <c r="I101" s="52">
        <f>VLOOKUP(C101,[1]!Tableau_cotisants,7,FALSE)</f>
        <v>1</v>
      </c>
      <c r="J101" s="54">
        <f>VLOOKUP(C101,[1]!Tableau_cotisants,8,FALSE)</f>
        <v>42354</v>
      </c>
      <c r="K101" s="54" t="str">
        <f t="shared" si="6"/>
        <v>3 an(s) 6 mois et 15 jour(s)</v>
      </c>
      <c r="L101" s="52" t="str">
        <f>VLOOKUP(C101,[1]!Tableau_cotisants,10,FALSE)</f>
        <v>SALLES D'ANGLES</v>
      </c>
      <c r="M101" s="53" t="str">
        <f>VLOOKUP(C101,[1]!Tableau_cotisants,11,FALSE)</f>
        <v>Champagne</v>
      </c>
      <c r="N101" s="6">
        <v>1</v>
      </c>
      <c r="O101" s="5"/>
      <c r="P101" s="27">
        <v>1</v>
      </c>
      <c r="Q101" s="26"/>
      <c r="R101" s="74"/>
      <c r="S101" s="55"/>
      <c r="T101" s="55"/>
      <c r="U101" s="55"/>
      <c r="V101" s="168">
        <f t="shared" si="7"/>
        <v>1</v>
      </c>
    </row>
    <row r="102" spans="1:22">
      <c r="A102" s="7"/>
      <c r="B102" s="7"/>
      <c r="C102" s="121" t="s">
        <v>78</v>
      </c>
      <c r="D102" s="52" t="str">
        <f>VLOOKUP(C102,[1]!Tableau_cotisants,2,FALSE)</f>
        <v>DEGRIS</v>
      </c>
      <c r="E102" s="52" t="str">
        <f>VLOOKUP(C102,[1]!Tableau_cotisants,3,FALSE)</f>
        <v>GUYOT</v>
      </c>
      <c r="F102" s="52" t="str">
        <f>VLOOKUP(C102,[1]!Tableau_cotisants,4,FALSE)</f>
        <v>Nathan</v>
      </c>
      <c r="G102" s="53">
        <f>VLOOKUP(C102,[1]!Tableau_cotisants,5,FALSE)</f>
        <v>1</v>
      </c>
      <c r="H102" s="52">
        <f>VLOOKUP(C102,[1]!Tableau_cotisants,6,FALSE)</f>
        <v>0</v>
      </c>
      <c r="I102" s="52">
        <f>VLOOKUP(C102,[1]!Tableau_cotisants,7,FALSE)</f>
        <v>1</v>
      </c>
      <c r="J102" s="54">
        <f>VLOOKUP(C102,[1]!Tableau_cotisants,8,FALSE)</f>
        <v>42354</v>
      </c>
      <c r="K102" s="54" t="str">
        <f t="shared" si="6"/>
        <v>3 an(s) 6 mois et 15 jour(s)</v>
      </c>
      <c r="L102" s="52" t="str">
        <f>VLOOKUP(C102,[1]!Tableau_cotisants,10,FALSE)</f>
        <v>SALLES D'ANGLES</v>
      </c>
      <c r="M102" s="53" t="str">
        <f>VLOOKUP(C102,[1]!Tableau_cotisants,11,FALSE)</f>
        <v>Champagne</v>
      </c>
      <c r="N102" s="6">
        <v>1</v>
      </c>
      <c r="O102" s="5"/>
      <c r="P102" s="27">
        <v>1</v>
      </c>
      <c r="Q102" s="26"/>
      <c r="R102" s="74"/>
      <c r="S102" s="55"/>
      <c r="T102" s="55"/>
      <c r="U102" s="55"/>
      <c r="V102" s="168">
        <f t="shared" si="7"/>
        <v>1</v>
      </c>
    </row>
    <row r="103" spans="1:22">
      <c r="A103" s="172"/>
      <c r="B103" s="171"/>
      <c r="C103" s="121" t="s">
        <v>132</v>
      </c>
      <c r="D103" s="52" t="str">
        <f>VLOOKUP(C103,[1]!Tableau_cotisants,2,FALSE)</f>
        <v>DEGRIS</v>
      </c>
      <c r="E103" s="52" t="str">
        <f>VLOOKUP(C103,[1]!Tableau_cotisants,3,FALSE)</f>
        <v>GABORIT TRIJOL</v>
      </c>
      <c r="F103" s="52" t="str">
        <f>VLOOKUP(C103,[1]!Tableau_cotisants,4,FALSE)</f>
        <v>Marceau</v>
      </c>
      <c r="G103" s="53">
        <f>VLOOKUP(C103,[1]!Tableau_cotisants,5,FALSE)</f>
        <v>1</v>
      </c>
      <c r="H103" s="52">
        <f>VLOOKUP(C103,[1]!Tableau_cotisants,6,FALSE)</f>
        <v>0</v>
      </c>
      <c r="I103" s="52">
        <f>VLOOKUP(C103,[1]!Tableau_cotisants,7,FALSE)</f>
        <v>1</v>
      </c>
      <c r="J103" s="54">
        <f>VLOOKUP(C103,[1]!Tableau_cotisants,8,FALSE)</f>
        <v>43002</v>
      </c>
      <c r="K103" s="54" t="str">
        <f t="shared" si="6"/>
        <v>1 an(s) 9 mois et 7 jour(s)</v>
      </c>
      <c r="L103" s="52" t="str">
        <f>VLOOKUP(C103,[1]!Tableau_cotisants,10,FALSE)</f>
        <v>SALLES D'ANGLES</v>
      </c>
      <c r="M103" s="53" t="str">
        <f>VLOOKUP(C103,[1]!Tableau_cotisants,11,FALSE)</f>
        <v>Champagne</v>
      </c>
      <c r="N103" s="85">
        <v>1</v>
      </c>
      <c r="O103" s="57"/>
      <c r="P103" s="68">
        <v>1</v>
      </c>
      <c r="Q103" s="191"/>
      <c r="R103" s="193"/>
      <c r="S103" s="55"/>
      <c r="T103" s="55"/>
      <c r="U103" s="55"/>
      <c r="V103" s="168">
        <f t="shared" si="7"/>
        <v>1</v>
      </c>
    </row>
    <row r="104" spans="1:22">
      <c r="A104" s="7"/>
      <c r="B104" s="7"/>
      <c r="C104" s="121" t="s">
        <v>132</v>
      </c>
      <c r="D104" s="52" t="str">
        <f>VLOOKUP(C104,[1]!Tableau_cotisants,2,FALSE)</f>
        <v>DEGRIS</v>
      </c>
      <c r="E104" s="52" t="str">
        <f>VLOOKUP(C104,[1]!Tableau_cotisants,3,FALSE)</f>
        <v>GABORIT TRIJOL</v>
      </c>
      <c r="F104" s="52" t="str">
        <f>VLOOKUP(C104,[1]!Tableau_cotisants,4,FALSE)</f>
        <v>Marceau</v>
      </c>
      <c r="G104" s="53">
        <f>VLOOKUP(C104,[1]!Tableau_cotisants,5,FALSE)</f>
        <v>1</v>
      </c>
      <c r="H104" s="52">
        <f>VLOOKUP(C104,[1]!Tableau_cotisants,6,FALSE)</f>
        <v>0</v>
      </c>
      <c r="I104" s="52">
        <f>VLOOKUP(C104,[1]!Tableau_cotisants,7,FALSE)</f>
        <v>1</v>
      </c>
      <c r="J104" s="54">
        <f>VLOOKUP(C104,[1]!Tableau_cotisants,8,FALSE)</f>
        <v>43002</v>
      </c>
      <c r="K104" s="54" t="str">
        <f t="shared" si="6"/>
        <v>1 an(s) 9 mois et 7 jour(s)</v>
      </c>
      <c r="L104" s="52" t="str">
        <f>VLOOKUP(C104,[1]!Tableau_cotisants,10,FALSE)</f>
        <v>SALLES D'ANGLES</v>
      </c>
      <c r="M104" s="53" t="str">
        <f>VLOOKUP(C104,[1]!Tableau_cotisants,11,FALSE)</f>
        <v>Champagne</v>
      </c>
      <c r="N104" s="6">
        <v>1</v>
      </c>
      <c r="O104" s="5"/>
      <c r="P104" s="27">
        <v>1</v>
      </c>
      <c r="Q104" s="26"/>
      <c r="R104" s="74"/>
      <c r="S104" s="55"/>
      <c r="T104" s="55"/>
      <c r="U104" s="55"/>
      <c r="V104" s="168">
        <f t="shared" si="7"/>
        <v>1</v>
      </c>
    </row>
    <row r="105" spans="1:22">
      <c r="A105" s="7"/>
      <c r="B105" s="7"/>
      <c r="C105" s="188" t="s">
        <v>132</v>
      </c>
      <c r="D105" s="56" t="str">
        <f>VLOOKUP(C105,[1]!Tableau_cotisants,2,FALSE)</f>
        <v>DEGRIS</v>
      </c>
      <c r="E105" s="56" t="str">
        <f>VLOOKUP(C105,[1]!Tableau_cotisants,3,FALSE)</f>
        <v>GABORIT TRIJOL</v>
      </c>
      <c r="F105" s="56" t="str">
        <f>VLOOKUP(C105,[1]!Tableau_cotisants,4,FALSE)</f>
        <v>Marceau</v>
      </c>
      <c r="G105" s="57">
        <f>VLOOKUP(C105,[1]!Tableau_cotisants,5,FALSE)</f>
        <v>1</v>
      </c>
      <c r="H105" s="56">
        <f>VLOOKUP(C105,[1]!Tableau_cotisants,6,FALSE)</f>
        <v>0</v>
      </c>
      <c r="I105" s="56">
        <f>VLOOKUP(C105,[1]!Tableau_cotisants,7,FALSE)</f>
        <v>1</v>
      </c>
      <c r="J105" s="58">
        <f>VLOOKUP(C105,[1]!Tableau_cotisants,8,FALSE)</f>
        <v>43002</v>
      </c>
      <c r="K105" s="54" t="str">
        <f t="shared" si="6"/>
        <v>1 an(s) 9 mois et 7 jour(s)</v>
      </c>
      <c r="L105" s="56" t="str">
        <f>VLOOKUP(C105,[1]!Tableau_cotisants,10,FALSE)</f>
        <v>SALLES D'ANGLES</v>
      </c>
      <c r="M105" s="57" t="str">
        <f>VLOOKUP(C105,[1]!Tableau_cotisants,11,FALSE)</f>
        <v>Champagne</v>
      </c>
      <c r="N105" s="6"/>
      <c r="O105" s="5">
        <v>1</v>
      </c>
      <c r="P105" s="27">
        <v>1</v>
      </c>
      <c r="Q105" s="26"/>
      <c r="R105" s="74"/>
      <c r="S105" s="55"/>
      <c r="T105" s="55"/>
      <c r="U105" s="55"/>
      <c r="V105" s="168">
        <f t="shared" si="7"/>
        <v>1</v>
      </c>
    </row>
    <row r="106" spans="1:22">
      <c r="A106" s="7"/>
      <c r="B106" s="7"/>
      <c r="C106" s="121" t="s">
        <v>294</v>
      </c>
      <c r="D106" s="52" t="str">
        <f>VLOOKUP(C106,[1]!Tableau_cotisants,2,FALSE)</f>
        <v>DEGRIS</v>
      </c>
      <c r="E106" s="52" t="str">
        <f>VLOOKUP(C106,[1]!Tableau_cotisants,3,FALSE)</f>
        <v>JOSSE ANDRE</v>
      </c>
      <c r="F106" s="52" t="str">
        <f>VLOOKUP(C106,[1]!Tableau_cotisants,4,FALSE)</f>
        <v>Simon</v>
      </c>
      <c r="G106" s="53">
        <f>VLOOKUP(C106,[1]!Tableau_cotisants,5,FALSE)</f>
        <v>1</v>
      </c>
      <c r="H106" s="52">
        <f>VLOOKUP(C106,[1]!Tableau_cotisants,6,FALSE)</f>
        <v>0</v>
      </c>
      <c r="I106" s="52">
        <f>VLOOKUP(C106,[1]!Tableau_cotisants,7,FALSE)</f>
        <v>1</v>
      </c>
      <c r="J106" s="54">
        <f>VLOOKUP(C106,[1]!Tableau_cotisants,8,FALSE)</f>
        <v>43045</v>
      </c>
      <c r="K106" s="54" t="str">
        <f t="shared" si="6"/>
        <v>1 an(s) 7 mois et 25 jour(s)</v>
      </c>
      <c r="L106" s="52" t="str">
        <f>VLOOKUP(C106,[1]!Tableau_cotisants,10,FALSE)</f>
        <v>SALLES D'ANGLES</v>
      </c>
      <c r="M106" s="53" t="str">
        <f>VLOOKUP(C106,[1]!Tableau_cotisants,11,FALSE)</f>
        <v>Champagne</v>
      </c>
      <c r="N106" s="6">
        <v>1</v>
      </c>
      <c r="O106" s="5"/>
      <c r="P106" s="27">
        <v>1</v>
      </c>
      <c r="Q106" s="26"/>
      <c r="R106" s="74"/>
      <c r="S106" s="55"/>
      <c r="T106" s="55"/>
      <c r="U106" s="55"/>
      <c r="V106" s="168">
        <f t="shared" si="7"/>
        <v>1</v>
      </c>
    </row>
    <row r="107" spans="1:22">
      <c r="A107" s="172"/>
      <c r="B107" s="171"/>
      <c r="C107" s="121" t="s">
        <v>133</v>
      </c>
      <c r="D107" s="52" t="str">
        <f>VLOOKUP(C107,[1]!Tableau_cotisants,2,FALSE)</f>
        <v>DEGRIS</v>
      </c>
      <c r="E107" s="52" t="str">
        <f>VLOOKUP(C107,[1]!Tableau_cotisants,3,FALSE)</f>
        <v>Enfant gardé</v>
      </c>
      <c r="F107" s="52" t="str">
        <f>VLOOKUP(C107,[1]!Tableau_cotisants,4,FALSE)</f>
        <v>Aëlynn</v>
      </c>
      <c r="G107" s="53">
        <f>VLOOKUP(C107,[1]!Tableau_cotisants,5,FALSE)</f>
        <v>1</v>
      </c>
      <c r="H107" s="52">
        <f>VLOOKUP(C107,[1]!Tableau_cotisants,6,FALSE)</f>
        <v>1</v>
      </c>
      <c r="I107" s="52">
        <f>VLOOKUP(C107,[1]!Tableau_cotisants,7,FALSE)</f>
        <v>0</v>
      </c>
      <c r="J107" s="54">
        <f>VLOOKUP(C107,[1]!Tableau_cotisants,8,FALSE)</f>
        <v>43313</v>
      </c>
      <c r="K107" s="54" t="str">
        <f t="shared" si="6"/>
        <v>0 an(s) 11 mois et 0 jour(s)</v>
      </c>
      <c r="L107" s="52" t="str">
        <f>VLOOKUP(C107,[1]!Tableau_cotisants,10,FALSE)</f>
        <v>SALLES D'ANGLES</v>
      </c>
      <c r="M107" s="53" t="str">
        <f>VLOOKUP(C107,[1]!Tableau_cotisants,11,FALSE)</f>
        <v>Champagne</v>
      </c>
      <c r="N107" s="85">
        <v>1</v>
      </c>
      <c r="O107" s="57"/>
      <c r="P107" s="68">
        <v>1</v>
      </c>
      <c r="Q107" s="191"/>
      <c r="R107" s="193"/>
      <c r="S107" s="55"/>
      <c r="T107" s="55"/>
      <c r="U107" s="55"/>
      <c r="V107" s="168">
        <f t="shared" si="7"/>
        <v>1</v>
      </c>
    </row>
    <row r="108" spans="1:22">
      <c r="A108" s="7"/>
      <c r="B108" s="7"/>
      <c r="C108" s="121" t="s">
        <v>133</v>
      </c>
      <c r="D108" s="52" t="str">
        <f>VLOOKUP(C108,[1]!Tableau_cotisants,2,FALSE)</f>
        <v>DEGRIS</v>
      </c>
      <c r="E108" s="52" t="str">
        <f>VLOOKUP(C108,[1]!Tableau_cotisants,3,FALSE)</f>
        <v>Enfant gardé</v>
      </c>
      <c r="F108" s="52" t="str">
        <f>VLOOKUP(C108,[1]!Tableau_cotisants,4,FALSE)</f>
        <v>Aëlynn</v>
      </c>
      <c r="G108" s="53">
        <f>VLOOKUP(C108,[1]!Tableau_cotisants,5,FALSE)</f>
        <v>1</v>
      </c>
      <c r="H108" s="52">
        <f>VLOOKUP(C108,[1]!Tableau_cotisants,6,FALSE)</f>
        <v>1</v>
      </c>
      <c r="I108" s="52">
        <f>VLOOKUP(C108,[1]!Tableau_cotisants,7,FALSE)</f>
        <v>0</v>
      </c>
      <c r="J108" s="54">
        <f>VLOOKUP(C108,[1]!Tableau_cotisants,8,FALSE)</f>
        <v>43313</v>
      </c>
      <c r="K108" s="54" t="str">
        <f t="shared" si="6"/>
        <v>0 an(s) 11 mois et 0 jour(s)</v>
      </c>
      <c r="L108" s="52" t="str">
        <f>VLOOKUP(C108,[1]!Tableau_cotisants,10,FALSE)</f>
        <v>SALLES D'ANGLES</v>
      </c>
      <c r="M108" s="53" t="str">
        <f>VLOOKUP(C108,[1]!Tableau_cotisants,11,FALSE)</f>
        <v>Champagne</v>
      </c>
      <c r="N108" s="6">
        <v>1</v>
      </c>
      <c r="O108" s="5"/>
      <c r="P108" s="27">
        <v>1</v>
      </c>
      <c r="Q108" s="26"/>
      <c r="R108" s="74"/>
      <c r="S108" s="55"/>
      <c r="T108" s="55"/>
      <c r="U108" s="55"/>
      <c r="V108" s="168">
        <f t="shared" si="7"/>
        <v>1</v>
      </c>
    </row>
    <row r="109" spans="1:22">
      <c r="A109" s="7"/>
      <c r="B109" s="7"/>
      <c r="C109" s="121" t="s">
        <v>133</v>
      </c>
      <c r="D109" s="56" t="str">
        <f>VLOOKUP(C109,[1]!Tableau_cotisants,2,FALSE)</f>
        <v>DEGRIS</v>
      </c>
      <c r="E109" s="56" t="str">
        <f>VLOOKUP(C109,[1]!Tableau_cotisants,3,FALSE)</f>
        <v>Enfant gardé</v>
      </c>
      <c r="F109" s="56" t="str">
        <f>VLOOKUP(C109,[1]!Tableau_cotisants,4,FALSE)</f>
        <v>Aëlynn</v>
      </c>
      <c r="G109" s="57">
        <f>VLOOKUP(C109,[1]!Tableau_cotisants,5,FALSE)</f>
        <v>1</v>
      </c>
      <c r="H109" s="56">
        <f>VLOOKUP(C109,[1]!Tableau_cotisants,6,FALSE)</f>
        <v>1</v>
      </c>
      <c r="I109" s="56">
        <f>VLOOKUP(C109,[1]!Tableau_cotisants,7,FALSE)</f>
        <v>0</v>
      </c>
      <c r="J109" s="58">
        <f>VLOOKUP(C109,[1]!Tableau_cotisants,8,FALSE)</f>
        <v>43313</v>
      </c>
      <c r="K109" s="54" t="str">
        <f t="shared" si="6"/>
        <v>0 an(s) 11 mois et 0 jour(s)</v>
      </c>
      <c r="L109" s="56" t="str">
        <f>VLOOKUP(C109,[1]!Tableau_cotisants,10,FALSE)</f>
        <v>SALLES D'ANGLES</v>
      </c>
      <c r="M109" s="57" t="str">
        <f>VLOOKUP(C109,[1]!Tableau_cotisants,11,FALSE)</f>
        <v>Champagne</v>
      </c>
      <c r="N109" s="6"/>
      <c r="O109" s="5">
        <v>1</v>
      </c>
      <c r="P109" s="27">
        <v>1</v>
      </c>
      <c r="Q109" s="26"/>
      <c r="R109" s="74"/>
      <c r="S109" s="55"/>
      <c r="T109" s="55"/>
      <c r="U109" s="55"/>
      <c r="V109" s="168">
        <f t="shared" si="7"/>
        <v>1</v>
      </c>
    </row>
    <row r="110" spans="1:22">
      <c r="A110" s="7"/>
      <c r="B110" s="7"/>
      <c r="C110" s="121" t="s">
        <v>133</v>
      </c>
      <c r="D110" s="52" t="str">
        <f>VLOOKUP(C110,[1]!Tableau_cotisants,2,FALSE)</f>
        <v>DEGRIS</v>
      </c>
      <c r="E110" s="52" t="str">
        <f>VLOOKUP(C110,[1]!Tableau_cotisants,3,FALSE)</f>
        <v>Enfant gardé</v>
      </c>
      <c r="F110" s="52" t="str">
        <f>VLOOKUP(C110,[1]!Tableau_cotisants,4,FALSE)</f>
        <v>Aëlynn</v>
      </c>
      <c r="G110" s="53">
        <f>VLOOKUP(C110,[1]!Tableau_cotisants,5,FALSE)</f>
        <v>1</v>
      </c>
      <c r="H110" s="52">
        <f>VLOOKUP(C110,[1]!Tableau_cotisants,6,FALSE)</f>
        <v>1</v>
      </c>
      <c r="I110" s="52">
        <f>VLOOKUP(C110,[1]!Tableau_cotisants,7,FALSE)</f>
        <v>0</v>
      </c>
      <c r="J110" s="54">
        <f>VLOOKUP(C110,[1]!Tableau_cotisants,8,FALSE)</f>
        <v>43313</v>
      </c>
      <c r="K110" s="54" t="str">
        <f t="shared" si="6"/>
        <v>0 an(s) 11 mois et 0 jour(s)</v>
      </c>
      <c r="L110" s="52" t="str">
        <f>VLOOKUP(C110,[1]!Tableau_cotisants,10,FALSE)</f>
        <v>SALLES D'ANGLES</v>
      </c>
      <c r="M110" s="53" t="str">
        <f>VLOOKUP(C110,[1]!Tableau_cotisants,11,FALSE)</f>
        <v>Champagne</v>
      </c>
      <c r="N110" s="6">
        <v>1</v>
      </c>
      <c r="O110" s="5"/>
      <c r="P110" s="27">
        <v>1</v>
      </c>
      <c r="Q110" s="26"/>
      <c r="R110" s="74"/>
      <c r="S110" s="55"/>
      <c r="T110" s="55"/>
      <c r="U110" s="55"/>
      <c r="V110" s="168">
        <f t="shared" si="7"/>
        <v>1</v>
      </c>
    </row>
    <row r="111" spans="1:22">
      <c r="A111" s="7"/>
      <c r="B111" s="7"/>
      <c r="C111" s="121" t="s">
        <v>133</v>
      </c>
      <c r="D111" s="52" t="str">
        <f>VLOOKUP(C111,[1]!Tableau_cotisants,2,FALSE)</f>
        <v>DEGRIS</v>
      </c>
      <c r="E111" s="52" t="str">
        <f>VLOOKUP(C111,[1]!Tableau_cotisants,3,FALSE)</f>
        <v>Enfant gardé</v>
      </c>
      <c r="F111" s="52" t="str">
        <f>VLOOKUP(C111,[1]!Tableau_cotisants,4,FALSE)</f>
        <v>Aëlynn</v>
      </c>
      <c r="G111" s="53">
        <f>VLOOKUP(C111,[1]!Tableau_cotisants,5,FALSE)</f>
        <v>1</v>
      </c>
      <c r="H111" s="52">
        <f>VLOOKUP(C111,[1]!Tableau_cotisants,6,FALSE)</f>
        <v>1</v>
      </c>
      <c r="I111" s="52">
        <f>VLOOKUP(C111,[1]!Tableau_cotisants,7,FALSE)</f>
        <v>0</v>
      </c>
      <c r="J111" s="54">
        <f>VLOOKUP(C111,[1]!Tableau_cotisants,8,FALSE)</f>
        <v>43313</v>
      </c>
      <c r="K111" s="54" t="str">
        <f t="shared" si="6"/>
        <v>0 an(s) 11 mois et 0 jour(s)</v>
      </c>
      <c r="L111" s="52" t="str">
        <f>VLOOKUP(C111,[1]!Tableau_cotisants,10,FALSE)</f>
        <v>SALLES D'ANGLES</v>
      </c>
      <c r="M111" s="53" t="str">
        <f>VLOOKUP(C111,[1]!Tableau_cotisants,11,FALSE)</f>
        <v>Champagne</v>
      </c>
      <c r="N111" s="6">
        <v>1</v>
      </c>
      <c r="O111" s="5"/>
      <c r="P111" s="27">
        <v>1</v>
      </c>
      <c r="Q111" s="26"/>
      <c r="R111" s="74"/>
      <c r="S111" s="55"/>
      <c r="T111" s="55"/>
      <c r="U111" s="55"/>
      <c r="V111" s="168">
        <f t="shared" si="7"/>
        <v>1</v>
      </c>
    </row>
    <row r="112" spans="1:22">
      <c r="A112" s="7"/>
      <c r="B112" s="7"/>
      <c r="C112" s="121" t="s">
        <v>133</v>
      </c>
      <c r="D112" s="52" t="str">
        <f>VLOOKUP(C112,[1]!Tableau_cotisants,2,FALSE)</f>
        <v>DEGRIS</v>
      </c>
      <c r="E112" s="52" t="str">
        <f>VLOOKUP(C112,[1]!Tableau_cotisants,3,FALSE)</f>
        <v>Enfant gardé</v>
      </c>
      <c r="F112" s="52" t="str">
        <f>VLOOKUP(C112,[1]!Tableau_cotisants,4,FALSE)</f>
        <v>Aëlynn</v>
      </c>
      <c r="G112" s="53">
        <f>VLOOKUP(C112,[1]!Tableau_cotisants,5,FALSE)</f>
        <v>1</v>
      </c>
      <c r="H112" s="52">
        <f>VLOOKUP(C112,[1]!Tableau_cotisants,6,FALSE)</f>
        <v>1</v>
      </c>
      <c r="I112" s="52">
        <f>VLOOKUP(C112,[1]!Tableau_cotisants,7,FALSE)</f>
        <v>0</v>
      </c>
      <c r="J112" s="54">
        <f>VLOOKUP(C112,[1]!Tableau_cotisants,8,FALSE)</f>
        <v>43313</v>
      </c>
      <c r="K112" s="54" t="str">
        <f t="shared" si="6"/>
        <v>0 an(s) 11 mois et 0 jour(s)</v>
      </c>
      <c r="L112" s="52" t="str">
        <f>VLOOKUP(C112,[1]!Tableau_cotisants,10,FALSE)</f>
        <v>SALLES D'ANGLES</v>
      </c>
      <c r="M112" s="53" t="str">
        <f>VLOOKUP(C112,[1]!Tableau_cotisants,11,FALSE)</f>
        <v>Champagne</v>
      </c>
      <c r="N112" s="6">
        <v>1</v>
      </c>
      <c r="O112" s="5"/>
      <c r="P112" s="27">
        <v>1</v>
      </c>
      <c r="Q112" s="26"/>
      <c r="R112" s="74"/>
      <c r="S112" s="55"/>
      <c r="T112" s="55"/>
      <c r="U112" s="55"/>
      <c r="V112" s="168">
        <f t="shared" si="7"/>
        <v>1</v>
      </c>
    </row>
    <row r="113" spans="1:22">
      <c r="A113" s="7"/>
      <c r="B113" s="7"/>
      <c r="C113" s="174" t="s">
        <v>276</v>
      </c>
      <c r="D113" s="52" t="str">
        <f>VLOOKUP(C113,[1]!Tableau_cotisants,2,FALSE)</f>
        <v>QUILLERE-GADRAS</v>
      </c>
      <c r="E113" s="52" t="str">
        <f>VLOOKUP(C113,[1]!Tableau_cotisants,3,FALSE)</f>
        <v>QUILLERE-GADRAS</v>
      </c>
      <c r="F113" s="52" t="str">
        <f>VLOOKUP(C113,[1]!Tableau_cotisants,4,FALSE)</f>
        <v>Marie-Laure</v>
      </c>
      <c r="G113" s="53">
        <f>VLOOKUP(C113,[1]!Tableau_cotisants,5,FALSE)</f>
        <v>0</v>
      </c>
      <c r="H113" s="52">
        <f>VLOOKUP(C113,[1]!Tableau_cotisants,6,FALSE)</f>
        <v>1</v>
      </c>
      <c r="I113" s="52">
        <f>VLOOKUP(C113,[1]!Tableau_cotisants,7,FALSE)</f>
        <v>0</v>
      </c>
      <c r="J113" s="54">
        <f>VLOOKUP(C113,[1]!Tableau_cotisants,8,FALSE)</f>
        <v>27811</v>
      </c>
      <c r="K113" s="54" t="str">
        <f t="shared" si="6"/>
        <v>43 an(s) 4 mois et 10 jour(s)</v>
      </c>
      <c r="L113" s="52" t="str">
        <f>VLOOKUP(C113,[1]!Tableau_cotisants,10,FALSE)</f>
        <v>Bourg-Charente</v>
      </c>
      <c r="M113" s="53" t="str">
        <f>VLOOKUP(C113,[1]!Tableau_cotisants,11,FALSE)</f>
        <v>Jarnac</v>
      </c>
      <c r="N113" s="6">
        <v>1</v>
      </c>
      <c r="O113" s="5"/>
      <c r="P113" s="27">
        <v>1</v>
      </c>
      <c r="Q113" s="26"/>
      <c r="R113" s="74"/>
      <c r="S113" s="55"/>
      <c r="T113" s="55"/>
      <c r="U113" s="55"/>
      <c r="V113" s="168">
        <f t="shared" si="7"/>
        <v>1</v>
      </c>
    </row>
    <row r="114" spans="1:22">
      <c r="A114" s="7"/>
      <c r="B114" s="7"/>
      <c r="C114" s="174" t="s">
        <v>277</v>
      </c>
      <c r="D114" s="52" t="str">
        <f>VLOOKUP(C114,[1]!Tableau_cotisants,2,FALSE)</f>
        <v>QUILLERE-GADRAS</v>
      </c>
      <c r="E114" s="52" t="str">
        <f>VLOOKUP(C114,[1]!Tableau_cotisants,3,FALSE)</f>
        <v>QUILLERE-GADRAS</v>
      </c>
      <c r="F114" s="52" t="str">
        <f>VLOOKUP(C114,[1]!Tableau_cotisants,4,FALSE)</f>
        <v>Martin</v>
      </c>
      <c r="G114" s="53">
        <f>VLOOKUP(C114,[1]!Tableau_cotisants,5,FALSE)</f>
        <v>0</v>
      </c>
      <c r="H114" s="52">
        <f>VLOOKUP(C114,[1]!Tableau_cotisants,6,FALSE)</f>
        <v>0</v>
      </c>
      <c r="I114" s="52">
        <f>VLOOKUP(C114,[1]!Tableau_cotisants,7,FALSE)</f>
        <v>1</v>
      </c>
      <c r="J114" s="54">
        <f>VLOOKUP(C114,[1]!Tableau_cotisants,8,FALSE)</f>
        <v>41338</v>
      </c>
      <c r="K114" s="54" t="str">
        <f t="shared" si="6"/>
        <v>6 an(s) 3 mois et 26 jour(s)</v>
      </c>
      <c r="L114" s="52" t="str">
        <f>VLOOKUP(C114,[1]!Tableau_cotisants,10,FALSE)</f>
        <v>Bourg-Charente</v>
      </c>
      <c r="M114" s="53" t="str">
        <f>VLOOKUP(C114,[1]!Tableau_cotisants,11,FALSE)</f>
        <v>Jarnac</v>
      </c>
      <c r="N114" s="6">
        <v>1</v>
      </c>
      <c r="O114" s="5"/>
      <c r="P114" s="27">
        <v>1</v>
      </c>
      <c r="Q114" s="26"/>
      <c r="R114" s="74"/>
      <c r="S114" s="55"/>
      <c r="T114" s="55"/>
      <c r="U114" s="55"/>
      <c r="V114" s="168">
        <f t="shared" si="7"/>
        <v>1</v>
      </c>
    </row>
    <row r="115" spans="1:22">
      <c r="A115" s="7"/>
      <c r="B115" s="7"/>
      <c r="C115" s="174" t="s">
        <v>278</v>
      </c>
      <c r="D115" s="52" t="str">
        <f>VLOOKUP(C115,[1]!Tableau_cotisants,2,FALSE)</f>
        <v>QUILLERE-GADRAS</v>
      </c>
      <c r="E115" s="52" t="str">
        <f>VLOOKUP(C115,[1]!Tableau_cotisants,3,FALSE)</f>
        <v>QUILLERE-GADRAS</v>
      </c>
      <c r="F115" s="52" t="str">
        <f>VLOOKUP(C115,[1]!Tableau_cotisants,4,FALSE)</f>
        <v>Margaux</v>
      </c>
      <c r="G115" s="53">
        <f>VLOOKUP(C115,[1]!Tableau_cotisants,5,FALSE)</f>
        <v>0</v>
      </c>
      <c r="H115" s="52">
        <f>VLOOKUP(C115,[1]!Tableau_cotisants,6,FALSE)</f>
        <v>1</v>
      </c>
      <c r="I115" s="52">
        <f>VLOOKUP(C115,[1]!Tableau_cotisants,7,FALSE)</f>
        <v>0</v>
      </c>
      <c r="J115" s="54">
        <f>VLOOKUP(C115,[1]!Tableau_cotisants,8,FALSE)</f>
        <v>41338</v>
      </c>
      <c r="K115" s="54" t="str">
        <f t="shared" si="6"/>
        <v>6 an(s) 3 mois et 26 jour(s)</v>
      </c>
      <c r="L115" s="52" t="str">
        <f>VLOOKUP(C115,[1]!Tableau_cotisants,10,FALSE)</f>
        <v>Bourg-Charente</v>
      </c>
      <c r="M115" s="53" t="str">
        <f>VLOOKUP(C115,[1]!Tableau_cotisants,11,FALSE)</f>
        <v>Jarnac</v>
      </c>
      <c r="N115" s="6">
        <v>1</v>
      </c>
      <c r="O115" s="5"/>
      <c r="P115" s="27">
        <v>1</v>
      </c>
      <c r="Q115" s="26"/>
      <c r="R115" s="74"/>
      <c r="S115" s="55"/>
      <c r="T115" s="55"/>
      <c r="U115" s="55"/>
      <c r="V115" s="168">
        <f t="shared" si="7"/>
        <v>1</v>
      </c>
    </row>
    <row r="116" spans="1:22">
      <c r="A116" s="172"/>
      <c r="B116" s="171"/>
      <c r="C116" s="133" t="s">
        <v>156</v>
      </c>
      <c r="D116" s="52" t="str">
        <f>VLOOKUP(C116,[1]!Tableau_cotisants,2,FALSE)</f>
        <v>MONTGOMERY</v>
      </c>
      <c r="E116" s="52" t="str">
        <f>VLOOKUP(C116,[1]!Tableau_cotisants,3,FALSE)</f>
        <v>MONTGOMERY</v>
      </c>
      <c r="F116" s="52" t="str">
        <f>VLOOKUP(C116,[1]!Tableau_cotisants,4,FALSE)</f>
        <v>Rebecca</v>
      </c>
      <c r="G116" s="53">
        <f>VLOOKUP(C116,[1]!Tableau_cotisants,5,FALSE)</f>
        <v>0</v>
      </c>
      <c r="H116" s="52">
        <f>VLOOKUP(C116,[1]!Tableau_cotisants,6,FALSE)</f>
        <v>1</v>
      </c>
      <c r="I116" s="52">
        <f>VLOOKUP(C116,[1]!Tableau_cotisants,7,FALSE)</f>
        <v>0</v>
      </c>
      <c r="J116" s="54">
        <f>VLOOKUP(C116,[1]!Tableau_cotisants,8,FALSE)</f>
        <v>26339</v>
      </c>
      <c r="K116" s="54" t="str">
        <f t="shared" si="6"/>
        <v>47 an(s) 4 mois et 21 jour(s)</v>
      </c>
      <c r="L116" s="52" t="str">
        <f>VLOOKUP(C116,[1]!Tableau_cotisants,10,FALSE)</f>
        <v>SEGONZAC</v>
      </c>
      <c r="M116" s="53" t="str">
        <f>VLOOKUP(C116,[1]!Tableau_cotisants,11,FALSE)</f>
        <v>Champagne</v>
      </c>
      <c r="N116" s="99"/>
      <c r="O116" s="57">
        <v>1</v>
      </c>
      <c r="P116" s="68"/>
      <c r="Q116" s="191">
        <v>1</v>
      </c>
      <c r="R116" s="193"/>
      <c r="S116" s="55"/>
      <c r="T116" s="55"/>
      <c r="U116" s="55"/>
      <c r="V116" s="168">
        <f t="shared" si="7"/>
        <v>1</v>
      </c>
    </row>
    <row r="117" spans="1:22">
      <c r="A117" s="172"/>
      <c r="B117" s="171"/>
      <c r="C117" s="133" t="s">
        <v>156</v>
      </c>
      <c r="D117" s="56" t="str">
        <f>VLOOKUP(C117,[1]!Tableau_cotisants,2,FALSE)</f>
        <v>MONTGOMERY</v>
      </c>
      <c r="E117" s="56" t="str">
        <f>VLOOKUP(C117,[1]!Tableau_cotisants,3,FALSE)</f>
        <v>MONTGOMERY</v>
      </c>
      <c r="F117" s="56" t="str">
        <f>VLOOKUP(C117,[1]!Tableau_cotisants,4,FALSE)</f>
        <v>Rebecca</v>
      </c>
      <c r="G117" s="57">
        <f>VLOOKUP(C117,[1]!Tableau_cotisants,5,FALSE)</f>
        <v>0</v>
      </c>
      <c r="H117" s="56">
        <f>VLOOKUP(C117,[1]!Tableau_cotisants,6,FALSE)</f>
        <v>1</v>
      </c>
      <c r="I117" s="56">
        <f>VLOOKUP(C117,[1]!Tableau_cotisants,7,FALSE)</f>
        <v>0</v>
      </c>
      <c r="J117" s="58">
        <f>VLOOKUP(C117,[1]!Tableau_cotisants,8,FALSE)</f>
        <v>26339</v>
      </c>
      <c r="K117" s="54" t="str">
        <f t="shared" si="6"/>
        <v>47 an(s) 4 mois et 21 jour(s)</v>
      </c>
      <c r="L117" s="56" t="str">
        <f>VLOOKUP(C117,[1]!Tableau_cotisants,10,FALSE)</f>
        <v>SEGONZAC</v>
      </c>
      <c r="M117" s="57" t="str">
        <f>VLOOKUP(C117,[1]!Tableau_cotisants,11,FALSE)</f>
        <v>Champagne</v>
      </c>
      <c r="N117" s="6"/>
      <c r="O117" s="5">
        <v>1</v>
      </c>
      <c r="P117" s="27"/>
      <c r="Q117" s="26">
        <v>1</v>
      </c>
      <c r="R117" s="74"/>
      <c r="S117" s="55"/>
      <c r="T117" s="55"/>
      <c r="U117" s="55"/>
      <c r="V117" s="168">
        <f t="shared" si="7"/>
        <v>1</v>
      </c>
    </row>
    <row r="118" spans="1:22">
      <c r="A118" s="7"/>
      <c r="B118" s="7"/>
      <c r="C118" s="178" t="s">
        <v>156</v>
      </c>
      <c r="D118" s="56" t="str">
        <f>VLOOKUP(C118,[1]!Tableau_cotisants,2,FALSE)</f>
        <v>MONTGOMERY</v>
      </c>
      <c r="E118" s="56" t="str">
        <f>VLOOKUP(C118,[1]!Tableau_cotisants,3,FALSE)</f>
        <v>MONTGOMERY</v>
      </c>
      <c r="F118" s="56" t="str">
        <f>VLOOKUP(C118,[1]!Tableau_cotisants,4,FALSE)</f>
        <v>Rebecca</v>
      </c>
      <c r="G118" s="57">
        <f>VLOOKUP(C118,[1]!Tableau_cotisants,5,FALSE)</f>
        <v>0</v>
      </c>
      <c r="H118" s="56">
        <f>VLOOKUP(C118,[1]!Tableau_cotisants,6,FALSE)</f>
        <v>1</v>
      </c>
      <c r="I118" s="56">
        <f>VLOOKUP(C118,[1]!Tableau_cotisants,7,FALSE)</f>
        <v>0</v>
      </c>
      <c r="J118" s="58">
        <f>VLOOKUP(C118,[1]!Tableau_cotisants,8,FALSE)</f>
        <v>26339</v>
      </c>
      <c r="K118" s="54" t="str">
        <f t="shared" si="6"/>
        <v>47 an(s) 4 mois et 21 jour(s)</v>
      </c>
      <c r="L118" s="56" t="str">
        <f>VLOOKUP(C118,[1]!Tableau_cotisants,10,FALSE)</f>
        <v>SEGONZAC</v>
      </c>
      <c r="M118" s="57" t="str">
        <f>VLOOKUP(C118,[1]!Tableau_cotisants,11,FALSE)</f>
        <v>Champagne</v>
      </c>
      <c r="N118" s="6"/>
      <c r="O118" s="5">
        <v>1</v>
      </c>
      <c r="P118" s="27"/>
      <c r="Q118" s="26">
        <v>1</v>
      </c>
      <c r="R118" s="74"/>
      <c r="S118" s="55"/>
      <c r="T118" s="55"/>
      <c r="U118" s="55"/>
      <c r="V118" s="168">
        <f t="shared" si="7"/>
        <v>1</v>
      </c>
    </row>
    <row r="119" spans="1:22">
      <c r="A119" s="172"/>
      <c r="B119" s="171"/>
      <c r="C119" s="178" t="s">
        <v>157</v>
      </c>
      <c r="D119" s="52" t="str">
        <f>VLOOKUP(C119,[1]!Tableau_cotisants,2,FALSE)</f>
        <v>MONTGOMERY</v>
      </c>
      <c r="E119" s="52" t="str">
        <f>VLOOKUP(C119,[1]!Tableau_cotisants,3,FALSE)</f>
        <v>MONTGOMERY</v>
      </c>
      <c r="F119" s="52" t="str">
        <f>VLOOKUP(C119,[1]!Tableau_cotisants,4,FALSE)</f>
        <v>William</v>
      </c>
      <c r="G119" s="53">
        <f>VLOOKUP(C119,[1]!Tableau_cotisants,5,FALSE)</f>
        <v>0</v>
      </c>
      <c r="H119" s="52">
        <f>VLOOKUP(C119,[1]!Tableau_cotisants,6,FALSE)</f>
        <v>0</v>
      </c>
      <c r="I119" s="52">
        <f>VLOOKUP(C119,[1]!Tableau_cotisants,7,FALSE)</f>
        <v>1</v>
      </c>
      <c r="J119" s="54">
        <f>VLOOKUP(C119,[1]!Tableau_cotisants,8,FALSE)</f>
        <v>40227</v>
      </c>
      <c r="K119" s="54" t="str">
        <f t="shared" si="6"/>
        <v>9 an(s) 4 mois et 13 jour(s)</v>
      </c>
      <c r="L119" s="52" t="str">
        <f>VLOOKUP(C119,[1]!Tableau_cotisants,10,FALSE)</f>
        <v>SEGONZAC</v>
      </c>
      <c r="M119" s="53" t="str">
        <f>VLOOKUP(C119,[1]!Tableau_cotisants,11,FALSE)</f>
        <v>Champagne</v>
      </c>
      <c r="N119" s="99"/>
      <c r="O119" s="57">
        <v>1</v>
      </c>
      <c r="P119" s="68"/>
      <c r="Q119" s="191">
        <v>1</v>
      </c>
      <c r="R119" s="193"/>
      <c r="S119" s="55"/>
      <c r="T119" s="55"/>
      <c r="U119" s="55"/>
      <c r="V119" s="168">
        <f t="shared" si="7"/>
        <v>1</v>
      </c>
    </row>
    <row r="120" spans="1:22">
      <c r="A120" s="172"/>
      <c r="B120" s="171"/>
      <c r="C120" s="178" t="s">
        <v>157</v>
      </c>
      <c r="D120" s="56" t="str">
        <f>VLOOKUP(C120,[1]!Tableau_cotisants,2,FALSE)</f>
        <v>MONTGOMERY</v>
      </c>
      <c r="E120" s="56" t="str">
        <f>VLOOKUP(C120,[1]!Tableau_cotisants,3,FALSE)</f>
        <v>MONTGOMERY</v>
      </c>
      <c r="F120" s="56" t="str">
        <f>VLOOKUP(C120,[1]!Tableau_cotisants,4,FALSE)</f>
        <v>William</v>
      </c>
      <c r="G120" s="57">
        <f>VLOOKUP(C120,[1]!Tableau_cotisants,5,FALSE)</f>
        <v>0</v>
      </c>
      <c r="H120" s="56">
        <f>VLOOKUP(C120,[1]!Tableau_cotisants,6,FALSE)</f>
        <v>0</v>
      </c>
      <c r="I120" s="56">
        <f>VLOOKUP(C120,[1]!Tableau_cotisants,7,FALSE)</f>
        <v>1</v>
      </c>
      <c r="J120" s="58">
        <f>VLOOKUP(C120,[1]!Tableau_cotisants,8,FALSE)</f>
        <v>40227</v>
      </c>
      <c r="K120" s="54" t="str">
        <f t="shared" si="6"/>
        <v>9 an(s) 4 mois et 13 jour(s)</v>
      </c>
      <c r="L120" s="56" t="str">
        <f>VLOOKUP(C120,[1]!Tableau_cotisants,10,FALSE)</f>
        <v>SEGONZAC</v>
      </c>
      <c r="M120" s="57" t="str">
        <f>VLOOKUP(C120,[1]!Tableau_cotisants,11,FALSE)</f>
        <v>Champagne</v>
      </c>
      <c r="N120" s="6"/>
      <c r="O120" s="5">
        <v>1</v>
      </c>
      <c r="P120" s="27"/>
      <c r="Q120" s="26">
        <v>1</v>
      </c>
      <c r="R120" s="74"/>
      <c r="S120" s="55"/>
      <c r="T120" s="55"/>
      <c r="U120" s="55"/>
      <c r="V120" s="168">
        <f t="shared" si="7"/>
        <v>1</v>
      </c>
    </row>
    <row r="121" spans="1:22">
      <c r="A121" s="172"/>
      <c r="B121" s="171"/>
      <c r="C121" s="179" t="s">
        <v>120</v>
      </c>
      <c r="D121" s="56" t="str">
        <f>VLOOKUP(C121,[1]!Tableau_cotisants,2,FALSE)</f>
        <v>PETIT</v>
      </c>
      <c r="E121" s="56" t="str">
        <f>VLOOKUP(C121,[1]!Tableau_cotisants,3,FALSE)</f>
        <v>PETIT</v>
      </c>
      <c r="F121" s="56" t="str">
        <f>VLOOKUP(C121,[1]!Tableau_cotisants,4,FALSE)</f>
        <v>Stéphanie</v>
      </c>
      <c r="G121" s="57">
        <f>VLOOKUP(C121,[1]!Tableau_cotisants,5,FALSE)</f>
        <v>0</v>
      </c>
      <c r="H121" s="56">
        <f>VLOOKUP(C121,[1]!Tableau_cotisants,6,FALSE)</f>
        <v>1</v>
      </c>
      <c r="I121" s="56">
        <f>VLOOKUP(C121,[1]!Tableau_cotisants,7,FALSE)</f>
        <v>0</v>
      </c>
      <c r="J121" s="58">
        <f>VLOOKUP(C121,[1]!Tableau_cotisants,8,FALSE)</f>
        <v>30411</v>
      </c>
      <c r="K121" s="54" t="str">
        <f t="shared" si="6"/>
        <v>36 an(s) 2 mois et 26 jour(s)</v>
      </c>
      <c r="L121" s="56" t="str">
        <f>VLOOKUP(C121,[1]!Tableau_cotisants,10,FALSE)</f>
        <v>Saint Fort</v>
      </c>
      <c r="M121" s="57" t="str">
        <f>VLOOKUP(C121,[1]!Tableau_cotisants,11,FALSE)</f>
        <v>Champagne</v>
      </c>
      <c r="N121" s="99"/>
      <c r="O121" s="57">
        <v>1</v>
      </c>
      <c r="P121" s="68">
        <v>1</v>
      </c>
      <c r="Q121" s="191"/>
      <c r="R121" s="193"/>
      <c r="S121" s="55"/>
      <c r="T121" s="55"/>
      <c r="U121" s="55"/>
      <c r="V121" s="168">
        <f t="shared" si="7"/>
        <v>1</v>
      </c>
    </row>
    <row r="122" spans="1:22">
      <c r="A122" s="172"/>
      <c r="B122" s="171"/>
      <c r="C122" s="179" t="s">
        <v>121</v>
      </c>
      <c r="D122" s="56" t="str">
        <f>VLOOKUP(C122,[1]!Tableau_cotisants,2,FALSE)</f>
        <v>PETIT</v>
      </c>
      <c r="E122" s="56" t="str">
        <f>VLOOKUP(C122,[1]!Tableau_cotisants,3,FALSE)</f>
        <v>PETIT</v>
      </c>
      <c r="F122" s="56" t="str">
        <f>VLOOKUP(C122,[1]!Tableau_cotisants,4,FALSE)</f>
        <v>Priscillia</v>
      </c>
      <c r="G122" s="57">
        <f>VLOOKUP(C122,[1]!Tableau_cotisants,5,FALSE)</f>
        <v>0</v>
      </c>
      <c r="H122" s="56">
        <f>VLOOKUP(C122,[1]!Tableau_cotisants,6,FALSE)</f>
        <v>1</v>
      </c>
      <c r="I122" s="56">
        <f>VLOOKUP(C122,[1]!Tableau_cotisants,7,FALSE)</f>
        <v>0</v>
      </c>
      <c r="J122" s="58">
        <f>VLOOKUP(C122,[1]!Tableau_cotisants,8,FALSE)</f>
        <v>39648</v>
      </c>
      <c r="K122" s="54" t="str">
        <f t="shared" si="6"/>
        <v>10 an(s) 11 mois et 12 jour(s)</v>
      </c>
      <c r="L122" s="56" t="str">
        <f>VLOOKUP(C122,[1]!Tableau_cotisants,10,FALSE)</f>
        <v>Saint Fort</v>
      </c>
      <c r="M122" s="57" t="str">
        <f>VLOOKUP(C122,[1]!Tableau_cotisants,11,FALSE)</f>
        <v>Champagne</v>
      </c>
      <c r="N122" s="99"/>
      <c r="O122" s="57">
        <v>1</v>
      </c>
      <c r="P122" s="68">
        <v>1</v>
      </c>
      <c r="Q122" s="191"/>
      <c r="R122" s="193"/>
      <c r="S122" s="55"/>
      <c r="T122" s="55"/>
      <c r="U122" s="55"/>
      <c r="V122" s="168">
        <f t="shared" si="7"/>
        <v>1</v>
      </c>
    </row>
    <row r="123" spans="1:22">
      <c r="A123" s="172"/>
      <c r="B123" s="171"/>
      <c r="C123" s="185" t="s">
        <v>151</v>
      </c>
      <c r="D123" s="52" t="str">
        <f>VLOOKUP(C123,[1]!Tableau_cotisants,2,FALSE)</f>
        <v>DERUFFE/FLEURY</v>
      </c>
      <c r="E123" s="52" t="str">
        <f>VLOOKUP(C123,[1]!Tableau_cotisants,3,FALSE)</f>
        <v>FLEURY</v>
      </c>
      <c r="F123" s="52" t="str">
        <f>VLOOKUP(C123,[1]!Tableau_cotisants,4,FALSE)</f>
        <v>Fanny</v>
      </c>
      <c r="G123" s="53">
        <f>VLOOKUP(C123,[1]!Tableau_cotisants,5,FALSE)</f>
        <v>0</v>
      </c>
      <c r="H123" s="52">
        <f>VLOOKUP(C123,[1]!Tableau_cotisants,6,FALSE)</f>
        <v>1</v>
      </c>
      <c r="I123" s="52">
        <f>VLOOKUP(C123,[1]!Tableau_cotisants,7,FALSE)</f>
        <v>0</v>
      </c>
      <c r="J123" s="54">
        <f>VLOOKUP(C123,[1]!Tableau_cotisants,8,FALSE)</f>
        <v>31330</v>
      </c>
      <c r="K123" s="54" t="str">
        <f t="shared" si="6"/>
        <v>33 an(s) 8 mois et 21 jour(s)</v>
      </c>
      <c r="L123" s="52" t="str">
        <f>VLOOKUP(C123,[1]!Tableau_cotisants,10,FALSE)</f>
        <v>Chateauneuf</v>
      </c>
      <c r="M123" s="53" t="str">
        <f>VLOOKUP(C123,[1]!Tableau_cotisants,11,FALSE)</f>
        <v>Chateauneuf</v>
      </c>
      <c r="N123" s="99"/>
      <c r="O123" s="57">
        <v>1</v>
      </c>
      <c r="P123" s="68"/>
      <c r="Q123" s="191"/>
      <c r="R123" s="193">
        <v>1</v>
      </c>
      <c r="S123" s="55"/>
      <c r="T123" s="55"/>
      <c r="U123" s="55"/>
      <c r="V123" s="168">
        <f t="shared" si="7"/>
        <v>1</v>
      </c>
    </row>
    <row r="124" spans="1:22">
      <c r="A124" s="172"/>
      <c r="B124" s="171"/>
      <c r="C124" s="185" t="s">
        <v>152</v>
      </c>
      <c r="D124" s="52" t="str">
        <f>VLOOKUP(C124,[1]!Tableau_cotisants,2,FALSE)</f>
        <v>DERUFFE/FLEURY</v>
      </c>
      <c r="E124" s="52" t="str">
        <f>VLOOKUP(C124,[1]!Tableau_cotisants,3,FALSE)</f>
        <v>DERUFFE</v>
      </c>
      <c r="F124" s="52" t="str">
        <f>VLOOKUP(C124,[1]!Tableau_cotisants,4,FALSE)</f>
        <v>Johnny</v>
      </c>
      <c r="G124" s="53">
        <f>VLOOKUP(C124,[1]!Tableau_cotisants,5,FALSE)</f>
        <v>0</v>
      </c>
      <c r="H124" s="52">
        <f>VLOOKUP(C124,[1]!Tableau_cotisants,6,FALSE)</f>
        <v>0</v>
      </c>
      <c r="I124" s="52">
        <f>VLOOKUP(C124,[1]!Tableau_cotisants,7,FALSE)</f>
        <v>1</v>
      </c>
      <c r="J124" s="54">
        <f>VLOOKUP(C124,[1]!Tableau_cotisants,8,FALSE)</f>
        <v>27585</v>
      </c>
      <c r="K124" s="54" t="str">
        <f t="shared" si="6"/>
        <v>43 an(s) 11 mois et 21 jour(s)</v>
      </c>
      <c r="L124" s="52" t="str">
        <f>VLOOKUP(C124,[1]!Tableau_cotisants,10,FALSE)</f>
        <v>Chateauneuf</v>
      </c>
      <c r="M124" s="53" t="str">
        <f>VLOOKUP(C124,[1]!Tableau_cotisants,11,FALSE)</f>
        <v>Chateauneuf</v>
      </c>
      <c r="N124" s="99"/>
      <c r="O124" s="57">
        <v>1</v>
      </c>
      <c r="P124" s="68"/>
      <c r="Q124" s="191"/>
      <c r="R124" s="193">
        <v>1</v>
      </c>
      <c r="S124" s="55"/>
      <c r="T124" s="55"/>
      <c r="U124" s="55"/>
      <c r="V124" s="168">
        <f t="shared" si="7"/>
        <v>1</v>
      </c>
    </row>
    <row r="125" spans="1:22">
      <c r="A125" s="172"/>
      <c r="B125" s="171"/>
      <c r="C125" s="185" t="s">
        <v>153</v>
      </c>
      <c r="D125" s="52" t="str">
        <f>VLOOKUP(C125,[1]!Tableau_cotisants,2,FALSE)</f>
        <v>DERUFFE/FLEURY</v>
      </c>
      <c r="E125" s="52" t="str">
        <f>VLOOKUP(C125,[1]!Tableau_cotisants,3,FALSE)</f>
        <v>DERUFFE</v>
      </c>
      <c r="F125" s="52" t="str">
        <f>VLOOKUP(C125,[1]!Tableau_cotisants,4,FALSE)</f>
        <v>Marilou</v>
      </c>
      <c r="G125" s="53">
        <f>VLOOKUP(C125,[1]!Tableau_cotisants,5,FALSE)</f>
        <v>0</v>
      </c>
      <c r="H125" s="52">
        <f>VLOOKUP(C125,[1]!Tableau_cotisants,6,FALSE)</f>
        <v>1</v>
      </c>
      <c r="I125" s="52">
        <f>VLOOKUP(C125,[1]!Tableau_cotisants,7,FALSE)</f>
        <v>0</v>
      </c>
      <c r="J125" s="54">
        <f>VLOOKUP(C125,[1]!Tableau_cotisants,8,FALSE)</f>
        <v>40532</v>
      </c>
      <c r="K125" s="54" t="str">
        <f t="shared" si="6"/>
        <v>8 an(s) 6 mois et 11 jour(s)</v>
      </c>
      <c r="L125" s="52" t="str">
        <f>VLOOKUP(C125,[1]!Tableau_cotisants,10,FALSE)</f>
        <v>Chateauneuf</v>
      </c>
      <c r="M125" s="53" t="str">
        <f>VLOOKUP(C125,[1]!Tableau_cotisants,11,FALSE)</f>
        <v>Chateauneuf</v>
      </c>
      <c r="N125" s="99"/>
      <c r="O125" s="57">
        <v>1</v>
      </c>
      <c r="P125" s="68"/>
      <c r="Q125" s="191"/>
      <c r="R125" s="193">
        <v>1</v>
      </c>
      <c r="S125" s="55"/>
      <c r="T125" s="55"/>
      <c r="U125" s="55"/>
      <c r="V125" s="168">
        <f t="shared" si="7"/>
        <v>1</v>
      </c>
    </row>
    <row r="126" spans="1:22">
      <c r="A126" s="172"/>
      <c r="B126" s="171"/>
      <c r="C126" s="185" t="s">
        <v>154</v>
      </c>
      <c r="D126" s="52" t="str">
        <f>VLOOKUP(C126,[1]!Tableau_cotisants,2,FALSE)</f>
        <v>DERUFFE/FLEURY</v>
      </c>
      <c r="E126" s="52" t="str">
        <f>VLOOKUP(C126,[1]!Tableau_cotisants,3,FALSE)</f>
        <v>DERUFFE</v>
      </c>
      <c r="F126" s="52" t="str">
        <f>VLOOKUP(C126,[1]!Tableau_cotisants,4,FALSE)</f>
        <v>Tristan</v>
      </c>
      <c r="G126" s="53">
        <f>VLOOKUP(C126,[1]!Tableau_cotisants,5,FALSE)</f>
        <v>0</v>
      </c>
      <c r="H126" s="52">
        <f>VLOOKUP(C126,[1]!Tableau_cotisants,6,FALSE)</f>
        <v>0</v>
      </c>
      <c r="I126" s="52">
        <f>VLOOKUP(C126,[1]!Tableau_cotisants,7,FALSE)</f>
        <v>1</v>
      </c>
      <c r="J126" s="54">
        <f>VLOOKUP(C126,[1]!Tableau_cotisants,8,FALSE)</f>
        <v>43138</v>
      </c>
      <c r="K126" s="54" t="str">
        <f t="shared" si="6"/>
        <v>1 an(s) 4 mois et 24 jour(s)</v>
      </c>
      <c r="L126" s="52" t="str">
        <f>VLOOKUP(C126,[1]!Tableau_cotisants,10,FALSE)</f>
        <v>Chateauneuf</v>
      </c>
      <c r="M126" s="53" t="str">
        <f>VLOOKUP(C126,[1]!Tableau_cotisants,11,FALSE)</f>
        <v>Chateauneuf</v>
      </c>
      <c r="N126" s="99"/>
      <c r="O126" s="57">
        <v>1</v>
      </c>
      <c r="P126" s="68"/>
      <c r="Q126" s="191"/>
      <c r="R126" s="193">
        <v>1</v>
      </c>
      <c r="S126" s="55"/>
      <c r="T126" s="55"/>
      <c r="U126" s="55"/>
      <c r="V126" s="168">
        <f t="shared" si="7"/>
        <v>1</v>
      </c>
    </row>
    <row r="127" spans="1:22">
      <c r="A127" s="7"/>
      <c r="B127" s="7"/>
      <c r="C127" s="103" t="s">
        <v>292</v>
      </c>
      <c r="D127" s="56" t="str">
        <f>VLOOKUP(C127,[1]!Tableau_cotisants,2,FALSE)</f>
        <v>RAIMBAUD</v>
      </c>
      <c r="E127" s="56" t="str">
        <f>VLOOKUP(C127,[1]!Tableau_cotisants,3,FALSE)</f>
        <v>RAIMBAUD</v>
      </c>
      <c r="F127" s="56" t="str">
        <f>VLOOKUP(C127,[1]!Tableau_cotisants,4,FALSE)</f>
        <v>Julie</v>
      </c>
      <c r="G127" s="57">
        <f>VLOOKUP(C127,[1]!Tableau_cotisants,5,FALSE)</f>
        <v>0</v>
      </c>
      <c r="H127" s="56">
        <f>VLOOKUP(C127,[1]!Tableau_cotisants,6,FALSE)</f>
        <v>1</v>
      </c>
      <c r="I127" s="56">
        <f>VLOOKUP(C127,[1]!Tableau_cotisants,7,FALSE)</f>
        <v>0</v>
      </c>
      <c r="J127" s="58">
        <f>VLOOKUP(C127,[1]!Tableau_cotisants,8,FALSE)</f>
        <v>33017</v>
      </c>
      <c r="K127" s="54" t="str">
        <f t="shared" si="6"/>
        <v>29 an(s) 1 mois et 7 jour(s)</v>
      </c>
      <c r="L127" s="56" t="str">
        <f>VLOOKUP(C127,[1]!Tableau_cotisants,10,FALSE)</f>
        <v>Saint Même Les Carrières</v>
      </c>
      <c r="M127" s="57" t="str">
        <f>VLOOKUP(C127,[1]!Tableau_cotisants,11,FALSE)</f>
        <v>Jarnac</v>
      </c>
      <c r="N127" s="6"/>
      <c r="O127" s="5">
        <v>1</v>
      </c>
      <c r="P127" s="27"/>
      <c r="Q127" s="26"/>
      <c r="R127" s="74">
        <v>1</v>
      </c>
      <c r="S127" s="55"/>
      <c r="T127" s="55"/>
      <c r="U127" s="55"/>
      <c r="V127" s="168">
        <f t="shared" si="7"/>
        <v>1</v>
      </c>
    </row>
    <row r="128" spans="1:22">
      <c r="A128" s="7"/>
      <c r="B128" s="7"/>
      <c r="C128" s="176" t="s">
        <v>292</v>
      </c>
      <c r="D128" s="56" t="str">
        <f>VLOOKUP(C128,[1]!Tableau_cotisants,2,FALSE)</f>
        <v>RAIMBAUD</v>
      </c>
      <c r="E128" s="56" t="str">
        <f>VLOOKUP(C128,[1]!Tableau_cotisants,3,FALSE)</f>
        <v>RAIMBAUD</v>
      </c>
      <c r="F128" s="56" t="str">
        <f>VLOOKUP(C128,[1]!Tableau_cotisants,4,FALSE)</f>
        <v>Julie</v>
      </c>
      <c r="G128" s="57">
        <f>VLOOKUP(C128,[1]!Tableau_cotisants,5,FALSE)</f>
        <v>0</v>
      </c>
      <c r="H128" s="56">
        <f>VLOOKUP(C128,[1]!Tableau_cotisants,6,FALSE)</f>
        <v>1</v>
      </c>
      <c r="I128" s="56">
        <f>VLOOKUP(C128,[1]!Tableau_cotisants,7,FALSE)</f>
        <v>0</v>
      </c>
      <c r="J128" s="58">
        <f>VLOOKUP(C128,[1]!Tableau_cotisants,8,FALSE)</f>
        <v>33017</v>
      </c>
      <c r="K128" s="54" t="str">
        <f t="shared" si="6"/>
        <v>29 an(s) 1 mois et 7 jour(s)</v>
      </c>
      <c r="L128" s="56" t="str">
        <f>VLOOKUP(C128,[1]!Tableau_cotisants,10,FALSE)</f>
        <v>Saint Même Les Carrières</v>
      </c>
      <c r="M128" s="57" t="str">
        <f>VLOOKUP(C128,[1]!Tableau_cotisants,11,FALSE)</f>
        <v>Jarnac</v>
      </c>
      <c r="N128" s="6"/>
      <c r="O128" s="5">
        <v>1</v>
      </c>
      <c r="P128" s="27"/>
      <c r="Q128" s="26"/>
      <c r="R128" s="74">
        <v>1</v>
      </c>
      <c r="S128" s="55"/>
      <c r="T128" s="55"/>
      <c r="U128" s="55"/>
      <c r="V128" s="168">
        <f t="shared" si="7"/>
        <v>1</v>
      </c>
    </row>
    <row r="129" spans="1:22">
      <c r="A129" s="7"/>
      <c r="B129" s="7"/>
      <c r="C129" s="174" t="s">
        <v>293</v>
      </c>
      <c r="D129" s="56" t="str">
        <f>VLOOKUP(C129,[1]!Tableau_cotisants,2,FALSE)</f>
        <v>RAIMBAUD</v>
      </c>
      <c r="E129" s="56" t="str">
        <f>VLOOKUP(C129,[1]!Tableau_cotisants,3,FALSE)</f>
        <v>RAIMBAUD</v>
      </c>
      <c r="F129" s="56" t="str">
        <f>VLOOKUP(C129,[1]!Tableau_cotisants,4,FALSE)</f>
        <v>Agathe</v>
      </c>
      <c r="G129" s="57">
        <f>VLOOKUP(C129,[1]!Tableau_cotisants,5,FALSE)</f>
        <v>0</v>
      </c>
      <c r="H129" s="56">
        <f>VLOOKUP(C129,[1]!Tableau_cotisants,6,FALSE)</f>
        <v>1</v>
      </c>
      <c r="I129" s="56">
        <f>VLOOKUP(C129,[1]!Tableau_cotisants,7,FALSE)</f>
        <v>0</v>
      </c>
      <c r="J129" s="58">
        <f>VLOOKUP(C129,[1]!Tableau_cotisants,8,FALSE)</f>
        <v>42520</v>
      </c>
      <c r="K129" s="54" t="str">
        <f t="shared" si="6"/>
        <v>3 an(s) 1 mois et 1 jour(s)</v>
      </c>
      <c r="L129" s="56" t="str">
        <f>VLOOKUP(C129,[1]!Tableau_cotisants,10,FALSE)</f>
        <v>Saint Même Les Carrières</v>
      </c>
      <c r="M129" s="57" t="str">
        <f>VLOOKUP(C129,[1]!Tableau_cotisants,11,FALSE)</f>
        <v>Jarnac</v>
      </c>
      <c r="N129" s="6"/>
      <c r="O129" s="5">
        <v>1</v>
      </c>
      <c r="P129" s="27"/>
      <c r="Q129" s="26"/>
      <c r="R129" s="74">
        <v>1</v>
      </c>
      <c r="S129" s="55"/>
      <c r="T129" s="55"/>
      <c r="U129" s="55"/>
      <c r="V129" s="168">
        <f t="shared" si="7"/>
        <v>1</v>
      </c>
    </row>
    <row r="130" spans="1:22">
      <c r="A130" s="7"/>
      <c r="B130" s="7"/>
      <c r="C130" s="120" t="s">
        <v>293</v>
      </c>
      <c r="D130" s="56" t="str">
        <f>VLOOKUP(C130,[1]!Tableau_cotisants,2,FALSE)</f>
        <v>RAIMBAUD</v>
      </c>
      <c r="E130" s="56" t="str">
        <f>VLOOKUP(C130,[1]!Tableau_cotisants,3,FALSE)</f>
        <v>RAIMBAUD</v>
      </c>
      <c r="F130" s="56" t="str">
        <f>VLOOKUP(C130,[1]!Tableau_cotisants,4,FALSE)</f>
        <v>Agathe</v>
      </c>
      <c r="G130" s="57">
        <f>VLOOKUP(C130,[1]!Tableau_cotisants,5,FALSE)</f>
        <v>0</v>
      </c>
      <c r="H130" s="56">
        <f>VLOOKUP(C130,[1]!Tableau_cotisants,6,FALSE)</f>
        <v>1</v>
      </c>
      <c r="I130" s="56">
        <f>VLOOKUP(C130,[1]!Tableau_cotisants,7,FALSE)</f>
        <v>0</v>
      </c>
      <c r="J130" s="58">
        <f>VLOOKUP(C130,[1]!Tableau_cotisants,8,FALSE)</f>
        <v>42520</v>
      </c>
      <c r="K130" s="54" t="str">
        <f t="shared" si="6"/>
        <v>3 an(s) 1 mois et 1 jour(s)</v>
      </c>
      <c r="L130" s="56" t="str">
        <f>VLOOKUP(C130,[1]!Tableau_cotisants,10,FALSE)</f>
        <v>Saint Même Les Carrières</v>
      </c>
      <c r="M130" s="57" t="str">
        <f>VLOOKUP(C130,[1]!Tableau_cotisants,11,FALSE)</f>
        <v>Jarnac</v>
      </c>
      <c r="N130" s="6"/>
      <c r="O130" s="5">
        <v>1</v>
      </c>
      <c r="P130" s="27"/>
      <c r="Q130" s="26"/>
      <c r="R130" s="74">
        <v>1</v>
      </c>
      <c r="S130" s="55"/>
      <c r="T130" s="55"/>
      <c r="U130" s="55"/>
      <c r="V130" s="168">
        <f t="shared" si="7"/>
        <v>1</v>
      </c>
    </row>
    <row r="131" spans="1:22">
      <c r="A131" s="172"/>
      <c r="B131" s="171"/>
      <c r="C131" s="113" t="s">
        <v>113</v>
      </c>
      <c r="D131" s="56" t="str">
        <f>VLOOKUP(C131,[1]!Tableau_cotisants,2,FALSE)</f>
        <v>Barett De Coutures</v>
      </c>
      <c r="E131" s="56" t="str">
        <f>VLOOKUP(C131,[1]!Tableau_cotisants,3,FALSE)</f>
        <v>Barett De Coutures</v>
      </c>
      <c r="F131" s="56" t="str">
        <f>VLOOKUP(C131,[1]!Tableau_cotisants,4,FALSE)</f>
        <v>Sophie</v>
      </c>
      <c r="G131" s="57">
        <f>VLOOKUP(C131,[1]!Tableau_cotisants,5,FALSE)</f>
        <v>0</v>
      </c>
      <c r="H131" s="56">
        <f>VLOOKUP(C131,[1]!Tableau_cotisants,6,FALSE)</f>
        <v>1</v>
      </c>
      <c r="I131" s="56">
        <f>VLOOKUP(C131,[1]!Tableau_cotisants,7,FALSE)</f>
        <v>0</v>
      </c>
      <c r="J131" s="58">
        <f>VLOOKUP(C131,[1]!Tableau_cotisants,8,FALSE)</f>
        <v>26736</v>
      </c>
      <c r="K131" s="54" t="str">
        <f t="shared" si="6"/>
        <v>46 an(s) 3 mois et 18 jour(s)</v>
      </c>
      <c r="L131" s="56" t="str">
        <f>VLOOKUP(C131,[1]!Tableau_cotisants,10,FALSE)</f>
        <v>Bourg Charente</v>
      </c>
      <c r="M131" s="57" t="str">
        <f>VLOOKUP(C131,[1]!Tableau_cotisants,11,FALSE)</f>
        <v>Jarnac</v>
      </c>
      <c r="N131" s="99"/>
      <c r="O131" s="57">
        <v>1</v>
      </c>
      <c r="P131" s="68">
        <v>1</v>
      </c>
      <c r="Q131" s="191"/>
      <c r="R131" s="193"/>
      <c r="S131" s="55"/>
      <c r="T131" s="55"/>
      <c r="U131" s="55"/>
      <c r="V131" s="168">
        <f t="shared" si="7"/>
        <v>1</v>
      </c>
    </row>
    <row r="132" spans="1:22">
      <c r="A132" s="172"/>
      <c r="B132" s="171"/>
      <c r="C132" s="187" t="s">
        <v>113</v>
      </c>
      <c r="D132" s="56" t="str">
        <f>VLOOKUP(C132,[1]!Tableau_cotisants,2,FALSE)</f>
        <v>Barett De Coutures</v>
      </c>
      <c r="E132" s="56" t="str">
        <f>VLOOKUP(C132,[1]!Tableau_cotisants,3,FALSE)</f>
        <v>Barett De Coutures</v>
      </c>
      <c r="F132" s="56" t="str">
        <f>VLOOKUP(C132,[1]!Tableau_cotisants,4,FALSE)</f>
        <v>Sophie</v>
      </c>
      <c r="G132" s="57">
        <f>VLOOKUP(C132,[1]!Tableau_cotisants,5,FALSE)</f>
        <v>0</v>
      </c>
      <c r="H132" s="56">
        <f>VLOOKUP(C132,[1]!Tableau_cotisants,6,FALSE)</f>
        <v>1</v>
      </c>
      <c r="I132" s="56">
        <f>VLOOKUP(C132,[1]!Tableau_cotisants,7,FALSE)</f>
        <v>0</v>
      </c>
      <c r="J132" s="58">
        <f>VLOOKUP(C132,[1]!Tableau_cotisants,8,FALSE)</f>
        <v>26736</v>
      </c>
      <c r="K132" s="54" t="str">
        <f t="shared" ref="K132:K195" si="8">DATEDIF(J132,Date_de_reference,"y") &amp; " an(s) " &amp; DATEDIF(J132,Date_de_reference,"ym") &amp; " mois et " &amp; DATEDIF(J132,Date_de_reference,"md") &amp; " jour(s)"</f>
        <v>46 an(s) 3 mois et 18 jour(s)</v>
      </c>
      <c r="L132" s="56" t="str">
        <f>VLOOKUP(C132,[1]!Tableau_cotisants,10,FALSE)</f>
        <v>Bourg Charente</v>
      </c>
      <c r="M132" s="57" t="str">
        <f>VLOOKUP(C132,[1]!Tableau_cotisants,11,FALSE)</f>
        <v>Jarnac</v>
      </c>
      <c r="N132" s="6"/>
      <c r="O132" s="5">
        <v>1</v>
      </c>
      <c r="P132" s="27">
        <v>1</v>
      </c>
      <c r="Q132" s="26"/>
      <c r="R132" s="74"/>
      <c r="S132" s="55"/>
      <c r="T132" s="55"/>
      <c r="U132" s="55"/>
      <c r="V132" s="168">
        <f t="shared" ref="V132:V195" si="9">N132+O132</f>
        <v>1</v>
      </c>
    </row>
    <row r="133" spans="1:22">
      <c r="A133" s="7"/>
      <c r="B133" s="7"/>
      <c r="C133" s="113" t="s">
        <v>113</v>
      </c>
      <c r="D133" s="56" t="str">
        <f>VLOOKUP(C133,[1]!Tableau_cotisants,2,FALSE)</f>
        <v>Barett De Coutures</v>
      </c>
      <c r="E133" s="56" t="str">
        <f>VLOOKUP(C133,[1]!Tableau_cotisants,3,FALSE)</f>
        <v>Barett De Coutures</v>
      </c>
      <c r="F133" s="56" t="str">
        <f>VLOOKUP(C133,[1]!Tableau_cotisants,4,FALSE)</f>
        <v>Sophie</v>
      </c>
      <c r="G133" s="57">
        <f>VLOOKUP(C133,[1]!Tableau_cotisants,5,FALSE)</f>
        <v>0</v>
      </c>
      <c r="H133" s="56">
        <f>VLOOKUP(C133,[1]!Tableau_cotisants,6,FALSE)</f>
        <v>1</v>
      </c>
      <c r="I133" s="56">
        <f>VLOOKUP(C133,[1]!Tableau_cotisants,7,FALSE)</f>
        <v>0</v>
      </c>
      <c r="J133" s="58">
        <f>VLOOKUP(C133,[1]!Tableau_cotisants,8,FALSE)</f>
        <v>26736</v>
      </c>
      <c r="K133" s="54" t="str">
        <f t="shared" si="8"/>
        <v>46 an(s) 3 mois et 18 jour(s)</v>
      </c>
      <c r="L133" s="56" t="str">
        <f>VLOOKUP(C133,[1]!Tableau_cotisants,10,FALSE)</f>
        <v>Bourg Charente</v>
      </c>
      <c r="M133" s="57" t="str">
        <f>VLOOKUP(C133,[1]!Tableau_cotisants,11,FALSE)</f>
        <v>Jarnac</v>
      </c>
      <c r="N133" s="6"/>
      <c r="O133" s="5">
        <v>1</v>
      </c>
      <c r="P133" s="27">
        <v>1</v>
      </c>
      <c r="Q133" s="26"/>
      <c r="R133" s="74"/>
      <c r="S133" s="55"/>
      <c r="T133" s="55"/>
      <c r="U133" s="55"/>
      <c r="V133" s="168">
        <f t="shared" si="9"/>
        <v>1</v>
      </c>
    </row>
    <row r="134" spans="1:22">
      <c r="A134" s="7"/>
      <c r="B134" s="7"/>
      <c r="C134" s="113" t="s">
        <v>113</v>
      </c>
      <c r="D134" s="56" t="str">
        <f>VLOOKUP(C134,[1]!Tableau_cotisants,2,FALSE)</f>
        <v>Barett De Coutures</v>
      </c>
      <c r="E134" s="56" t="str">
        <f>VLOOKUP(C134,[1]!Tableau_cotisants,3,FALSE)</f>
        <v>Barett De Coutures</v>
      </c>
      <c r="F134" s="56" t="str">
        <f>VLOOKUP(C134,[1]!Tableau_cotisants,4,FALSE)</f>
        <v>Sophie</v>
      </c>
      <c r="G134" s="57">
        <f>VLOOKUP(C134,[1]!Tableau_cotisants,5,FALSE)</f>
        <v>0</v>
      </c>
      <c r="H134" s="56">
        <f>VLOOKUP(C134,[1]!Tableau_cotisants,6,FALSE)</f>
        <v>1</v>
      </c>
      <c r="I134" s="56">
        <f>VLOOKUP(C134,[1]!Tableau_cotisants,7,FALSE)</f>
        <v>0</v>
      </c>
      <c r="J134" s="58">
        <f>VLOOKUP(C134,[1]!Tableau_cotisants,8,FALSE)</f>
        <v>26736</v>
      </c>
      <c r="K134" s="54" t="str">
        <f t="shared" si="8"/>
        <v>46 an(s) 3 mois et 18 jour(s)</v>
      </c>
      <c r="L134" s="56" t="str">
        <f>VLOOKUP(C134,[1]!Tableau_cotisants,10,FALSE)</f>
        <v>Bourg Charente</v>
      </c>
      <c r="M134" s="57" t="str">
        <f>VLOOKUP(C134,[1]!Tableau_cotisants,11,FALSE)</f>
        <v>Jarnac</v>
      </c>
      <c r="N134" s="6"/>
      <c r="O134" s="5">
        <v>1</v>
      </c>
      <c r="P134" s="27">
        <v>1</v>
      </c>
      <c r="Q134" s="26"/>
      <c r="R134" s="74"/>
      <c r="S134" s="55"/>
      <c r="T134" s="55"/>
      <c r="U134" s="55"/>
      <c r="V134" s="168">
        <f t="shared" si="9"/>
        <v>1</v>
      </c>
    </row>
    <row r="135" spans="1:22">
      <c r="A135" s="172"/>
      <c r="B135" s="171"/>
      <c r="C135" s="113" t="s">
        <v>114</v>
      </c>
      <c r="D135" s="56" t="str">
        <f>VLOOKUP(C135,[1]!Tableau_cotisants,2,FALSE)</f>
        <v>Barett De Coutures</v>
      </c>
      <c r="E135" s="56" t="str">
        <f>VLOOKUP(C135,[1]!Tableau_cotisants,3,FALSE)</f>
        <v>Barett De Coutures</v>
      </c>
      <c r="F135" s="56" t="str">
        <f>VLOOKUP(C135,[1]!Tableau_cotisants,4,FALSE)</f>
        <v>Louise</v>
      </c>
      <c r="G135" s="57">
        <f>VLOOKUP(C135,[1]!Tableau_cotisants,5,FALSE)</f>
        <v>0</v>
      </c>
      <c r="H135" s="56">
        <f>VLOOKUP(C135,[1]!Tableau_cotisants,6,FALSE)</f>
        <v>1</v>
      </c>
      <c r="I135" s="56">
        <f>VLOOKUP(C135,[1]!Tableau_cotisants,7,FALSE)</f>
        <v>0</v>
      </c>
      <c r="J135" s="58">
        <f>VLOOKUP(C135,[1]!Tableau_cotisants,8,FALSE)</f>
        <v>41504</v>
      </c>
      <c r="K135" s="54" t="str">
        <f t="shared" si="8"/>
        <v>5 an(s) 10 mois et 13 jour(s)</v>
      </c>
      <c r="L135" s="56" t="str">
        <f>VLOOKUP(C135,[1]!Tableau_cotisants,10,FALSE)</f>
        <v>Bourg Charente</v>
      </c>
      <c r="M135" s="57" t="str">
        <f>VLOOKUP(C135,[1]!Tableau_cotisants,11,FALSE)</f>
        <v>Jarnac</v>
      </c>
      <c r="N135" s="99"/>
      <c r="O135" s="57">
        <v>1</v>
      </c>
      <c r="P135" s="68">
        <v>1</v>
      </c>
      <c r="Q135" s="191"/>
      <c r="R135" s="193"/>
      <c r="S135" s="55"/>
      <c r="T135" s="55"/>
      <c r="U135" s="55"/>
      <c r="V135" s="168">
        <f t="shared" si="9"/>
        <v>1</v>
      </c>
    </row>
    <row r="136" spans="1:22">
      <c r="A136" s="172"/>
      <c r="B136" s="171"/>
      <c r="C136" s="113" t="s">
        <v>114</v>
      </c>
      <c r="D136" s="56" t="str">
        <f>VLOOKUP(C136,[1]!Tableau_cotisants,2,FALSE)</f>
        <v>Barett De Coutures</v>
      </c>
      <c r="E136" s="56" t="str">
        <f>VLOOKUP(C136,[1]!Tableau_cotisants,3,FALSE)</f>
        <v>Barett De Coutures</v>
      </c>
      <c r="F136" s="56" t="str">
        <f>VLOOKUP(C136,[1]!Tableau_cotisants,4,FALSE)</f>
        <v>Louise</v>
      </c>
      <c r="G136" s="57">
        <f>VLOOKUP(C136,[1]!Tableau_cotisants,5,FALSE)</f>
        <v>0</v>
      </c>
      <c r="H136" s="56">
        <f>VLOOKUP(C136,[1]!Tableau_cotisants,6,FALSE)</f>
        <v>1</v>
      </c>
      <c r="I136" s="56">
        <f>VLOOKUP(C136,[1]!Tableau_cotisants,7,FALSE)</f>
        <v>0</v>
      </c>
      <c r="J136" s="58">
        <f>VLOOKUP(C136,[1]!Tableau_cotisants,8,FALSE)</f>
        <v>41504</v>
      </c>
      <c r="K136" s="54" t="str">
        <f t="shared" si="8"/>
        <v>5 an(s) 10 mois et 13 jour(s)</v>
      </c>
      <c r="L136" s="56" t="str">
        <f>VLOOKUP(C136,[1]!Tableau_cotisants,10,FALSE)</f>
        <v>Bourg Charente</v>
      </c>
      <c r="M136" s="57" t="str">
        <f>VLOOKUP(C136,[1]!Tableau_cotisants,11,FALSE)</f>
        <v>Jarnac</v>
      </c>
      <c r="N136" s="6"/>
      <c r="O136" s="5">
        <v>1</v>
      </c>
      <c r="P136" s="27">
        <v>1</v>
      </c>
      <c r="Q136" s="26"/>
      <c r="R136" s="74"/>
      <c r="S136" s="55"/>
      <c r="T136" s="55"/>
      <c r="U136" s="55"/>
      <c r="V136" s="168">
        <f t="shared" si="9"/>
        <v>1</v>
      </c>
    </row>
    <row r="137" spans="1:22">
      <c r="A137" s="7"/>
      <c r="B137" s="7"/>
      <c r="C137" s="113" t="s">
        <v>114</v>
      </c>
      <c r="D137" s="56" t="str">
        <f>VLOOKUP(C137,[1]!Tableau_cotisants,2,FALSE)</f>
        <v>Barett De Coutures</v>
      </c>
      <c r="E137" s="56" t="str">
        <f>VLOOKUP(C137,[1]!Tableau_cotisants,3,FALSE)</f>
        <v>Barett De Coutures</v>
      </c>
      <c r="F137" s="56" t="str">
        <f>VLOOKUP(C137,[1]!Tableau_cotisants,4,FALSE)</f>
        <v>Louise</v>
      </c>
      <c r="G137" s="57">
        <f>VLOOKUP(C137,[1]!Tableau_cotisants,5,FALSE)</f>
        <v>0</v>
      </c>
      <c r="H137" s="56">
        <f>VLOOKUP(C137,[1]!Tableau_cotisants,6,FALSE)</f>
        <v>1</v>
      </c>
      <c r="I137" s="56">
        <f>VLOOKUP(C137,[1]!Tableau_cotisants,7,FALSE)</f>
        <v>0</v>
      </c>
      <c r="J137" s="58">
        <f>VLOOKUP(C137,[1]!Tableau_cotisants,8,FALSE)</f>
        <v>41504</v>
      </c>
      <c r="K137" s="54" t="str">
        <f t="shared" si="8"/>
        <v>5 an(s) 10 mois et 13 jour(s)</v>
      </c>
      <c r="L137" s="56" t="str">
        <f>VLOOKUP(C137,[1]!Tableau_cotisants,10,FALSE)</f>
        <v>Bourg Charente</v>
      </c>
      <c r="M137" s="57" t="str">
        <f>VLOOKUP(C137,[1]!Tableau_cotisants,11,FALSE)</f>
        <v>Jarnac</v>
      </c>
      <c r="N137" s="6"/>
      <c r="O137" s="5">
        <v>1</v>
      </c>
      <c r="P137" s="27">
        <v>1</v>
      </c>
      <c r="Q137" s="26"/>
      <c r="R137" s="74"/>
      <c r="S137" s="55"/>
      <c r="T137" s="55"/>
      <c r="U137" s="55"/>
      <c r="V137" s="168">
        <f t="shared" si="9"/>
        <v>1</v>
      </c>
    </row>
    <row r="138" spans="1:22">
      <c r="A138" s="7"/>
      <c r="B138" s="7"/>
      <c r="C138" s="113" t="s">
        <v>114</v>
      </c>
      <c r="D138" s="56" t="str">
        <f>VLOOKUP(C138,[1]!Tableau_cotisants,2,FALSE)</f>
        <v>Barett De Coutures</v>
      </c>
      <c r="E138" s="56" t="str">
        <f>VLOOKUP(C138,[1]!Tableau_cotisants,3,FALSE)</f>
        <v>Barett De Coutures</v>
      </c>
      <c r="F138" s="56" t="str">
        <f>VLOOKUP(C138,[1]!Tableau_cotisants,4,FALSE)</f>
        <v>Louise</v>
      </c>
      <c r="G138" s="57">
        <f>VLOOKUP(C138,[1]!Tableau_cotisants,5,FALSE)</f>
        <v>0</v>
      </c>
      <c r="H138" s="56">
        <f>VLOOKUP(C138,[1]!Tableau_cotisants,6,FALSE)</f>
        <v>1</v>
      </c>
      <c r="I138" s="56">
        <f>VLOOKUP(C138,[1]!Tableau_cotisants,7,FALSE)</f>
        <v>0</v>
      </c>
      <c r="J138" s="58">
        <f>VLOOKUP(C138,[1]!Tableau_cotisants,8,FALSE)</f>
        <v>41504</v>
      </c>
      <c r="K138" s="54" t="str">
        <f t="shared" si="8"/>
        <v>5 an(s) 10 mois et 13 jour(s)</v>
      </c>
      <c r="L138" s="56" t="str">
        <f>VLOOKUP(C138,[1]!Tableau_cotisants,10,FALSE)</f>
        <v>Bourg Charente</v>
      </c>
      <c r="M138" s="57" t="str">
        <f>VLOOKUP(C138,[1]!Tableau_cotisants,11,FALSE)</f>
        <v>Jarnac</v>
      </c>
      <c r="N138" s="6"/>
      <c r="O138" s="5">
        <v>1</v>
      </c>
      <c r="P138" s="27">
        <v>1</v>
      </c>
      <c r="Q138" s="26"/>
      <c r="R138" s="74"/>
      <c r="S138" s="55"/>
      <c r="T138" s="55"/>
      <c r="U138" s="55"/>
      <c r="V138" s="168">
        <f t="shared" si="9"/>
        <v>1</v>
      </c>
    </row>
    <row r="139" spans="1:22">
      <c r="A139" s="172"/>
      <c r="B139" s="171"/>
      <c r="C139" s="109" t="s">
        <v>109</v>
      </c>
      <c r="D139" s="52" t="str">
        <f>VLOOKUP(C139,[1]!Tableau_cotisants,2,FALSE)</f>
        <v>LIENART DELABEYE</v>
      </c>
      <c r="E139" s="52" t="str">
        <f>VLOOKUP(C139,[1]!Tableau_cotisants,3,FALSE)</f>
        <v>LIENART DELABEYE</v>
      </c>
      <c r="F139" s="52" t="str">
        <f>VLOOKUP(C139,[1]!Tableau_cotisants,4,FALSE)</f>
        <v>Brigitte</v>
      </c>
      <c r="G139" s="53">
        <f>VLOOKUP(C139,[1]!Tableau_cotisants,5,FALSE)</f>
        <v>0</v>
      </c>
      <c r="H139" s="52">
        <f>VLOOKUP(C139,[1]!Tableau_cotisants,6,FALSE)</f>
        <v>1</v>
      </c>
      <c r="I139" s="52">
        <f>VLOOKUP(C139,[1]!Tableau_cotisants,7,FALSE)</f>
        <v>0</v>
      </c>
      <c r="J139" s="54">
        <f>VLOOKUP(C139,[1]!Tableau_cotisants,8,FALSE)</f>
        <v>20885</v>
      </c>
      <c r="K139" s="54" t="str">
        <f t="shared" si="8"/>
        <v>62 an(s) 3 mois et 25 jour(s)</v>
      </c>
      <c r="L139" s="52" t="str">
        <f>VLOOKUP(C139,[1]!Tableau_cotisants,10,FALSE)</f>
        <v>ANGEAC CHAMPAGNE</v>
      </c>
      <c r="M139" s="53" t="str">
        <f>VLOOKUP(C139,[1]!Tableau_cotisants,11,FALSE)</f>
        <v>Champagne</v>
      </c>
      <c r="N139" s="6">
        <v>1</v>
      </c>
      <c r="O139" s="5"/>
      <c r="P139" s="27">
        <v>1</v>
      </c>
      <c r="Q139" s="26"/>
      <c r="R139" s="74"/>
      <c r="S139" s="55"/>
      <c r="T139" s="55"/>
      <c r="U139" s="55"/>
      <c r="V139" s="168">
        <f t="shared" si="9"/>
        <v>1</v>
      </c>
    </row>
    <row r="140" spans="1:22">
      <c r="A140" s="7"/>
      <c r="B140" s="7"/>
      <c r="C140" s="109" t="s">
        <v>109</v>
      </c>
      <c r="D140" s="52" t="str">
        <f>VLOOKUP(C140,[1]!Tableau_cotisants,2,FALSE)</f>
        <v>LIENART DELABEYE</v>
      </c>
      <c r="E140" s="52" t="str">
        <f>VLOOKUP(C140,[1]!Tableau_cotisants,3,FALSE)</f>
        <v>LIENART DELABEYE</v>
      </c>
      <c r="F140" s="52" t="str">
        <f>VLOOKUP(C140,[1]!Tableau_cotisants,4,FALSE)</f>
        <v>Brigitte</v>
      </c>
      <c r="G140" s="53">
        <f>VLOOKUP(C140,[1]!Tableau_cotisants,5,FALSE)</f>
        <v>0</v>
      </c>
      <c r="H140" s="52">
        <f>VLOOKUP(C140,[1]!Tableau_cotisants,6,FALSE)</f>
        <v>1</v>
      </c>
      <c r="I140" s="52">
        <f>VLOOKUP(C140,[1]!Tableau_cotisants,7,FALSE)</f>
        <v>0</v>
      </c>
      <c r="J140" s="54">
        <f>VLOOKUP(C140,[1]!Tableau_cotisants,8,FALSE)</f>
        <v>20885</v>
      </c>
      <c r="K140" s="54" t="str">
        <f t="shared" si="8"/>
        <v>62 an(s) 3 mois et 25 jour(s)</v>
      </c>
      <c r="L140" s="52" t="str">
        <f>VLOOKUP(C140,[1]!Tableau_cotisants,10,FALSE)</f>
        <v>ANGEAC CHAMPAGNE</v>
      </c>
      <c r="M140" s="53" t="str">
        <f>VLOOKUP(C140,[1]!Tableau_cotisants,11,FALSE)</f>
        <v>Champagne</v>
      </c>
      <c r="N140" s="6">
        <v>1</v>
      </c>
      <c r="O140" s="5"/>
      <c r="P140" s="27">
        <v>1</v>
      </c>
      <c r="Q140" s="26"/>
      <c r="R140" s="74"/>
      <c r="S140" s="55"/>
      <c r="T140" s="55"/>
      <c r="U140" s="55"/>
      <c r="V140" s="168">
        <f t="shared" si="9"/>
        <v>1</v>
      </c>
    </row>
    <row r="141" spans="1:22">
      <c r="A141" s="7"/>
      <c r="B141" s="7"/>
      <c r="C141" s="100" t="s">
        <v>109</v>
      </c>
      <c r="D141" s="52" t="str">
        <f>VLOOKUP(C141,[1]!Tableau_cotisants,2,FALSE)</f>
        <v>LIENART DELABEYE</v>
      </c>
      <c r="E141" s="52" t="str">
        <f>VLOOKUP(C141,[1]!Tableau_cotisants,3,FALSE)</f>
        <v>LIENART DELABEYE</v>
      </c>
      <c r="F141" s="52" t="str">
        <f>VLOOKUP(C141,[1]!Tableau_cotisants,4,FALSE)</f>
        <v>Brigitte</v>
      </c>
      <c r="G141" s="53">
        <f>VLOOKUP(C141,[1]!Tableau_cotisants,5,FALSE)</f>
        <v>0</v>
      </c>
      <c r="H141" s="52">
        <f>VLOOKUP(C141,[1]!Tableau_cotisants,6,FALSE)</f>
        <v>1</v>
      </c>
      <c r="I141" s="52">
        <f>VLOOKUP(C141,[1]!Tableau_cotisants,7,FALSE)</f>
        <v>0</v>
      </c>
      <c r="J141" s="54">
        <f>VLOOKUP(C141,[1]!Tableau_cotisants,8,FALSE)</f>
        <v>20885</v>
      </c>
      <c r="K141" s="54" t="str">
        <f t="shared" si="8"/>
        <v>62 an(s) 3 mois et 25 jour(s)</v>
      </c>
      <c r="L141" s="52" t="str">
        <f>VLOOKUP(C141,[1]!Tableau_cotisants,10,FALSE)</f>
        <v>ANGEAC CHAMPAGNE</v>
      </c>
      <c r="M141" s="53" t="str">
        <f>VLOOKUP(C141,[1]!Tableau_cotisants,11,FALSE)</f>
        <v>Champagne</v>
      </c>
      <c r="N141" s="6">
        <v>1</v>
      </c>
      <c r="O141" s="5"/>
      <c r="P141" s="27">
        <v>1</v>
      </c>
      <c r="Q141" s="26"/>
      <c r="R141" s="74"/>
      <c r="S141" s="55"/>
      <c r="T141" s="55"/>
      <c r="U141" s="55"/>
      <c r="V141" s="168">
        <f t="shared" si="9"/>
        <v>1</v>
      </c>
    </row>
    <row r="142" spans="1:22">
      <c r="A142" s="172"/>
      <c r="B142" s="171"/>
      <c r="C142" s="184" t="s">
        <v>110</v>
      </c>
      <c r="D142" s="52" t="str">
        <f>VLOOKUP(C142,[1]!Tableau_cotisants,2,FALSE)</f>
        <v>LIENART DELABEYE</v>
      </c>
      <c r="E142" s="52" t="str">
        <f>VLOOKUP(C142,[1]!Tableau_cotisants,3,FALSE)</f>
        <v>LIENART</v>
      </c>
      <c r="F142" s="52" t="str">
        <f>VLOOKUP(C142,[1]!Tableau_cotisants,4,FALSE)</f>
        <v>Séverine</v>
      </c>
      <c r="G142" s="53">
        <f>VLOOKUP(C142,[1]!Tableau_cotisants,5,FALSE)</f>
        <v>0</v>
      </c>
      <c r="H142" s="52">
        <f>VLOOKUP(C142,[1]!Tableau_cotisants,6,FALSE)</f>
        <v>1</v>
      </c>
      <c r="I142" s="52">
        <f>VLOOKUP(C142,[1]!Tableau_cotisants,7,FALSE)</f>
        <v>0</v>
      </c>
      <c r="J142" s="54">
        <f>VLOOKUP(C142,[1]!Tableau_cotisants,8,FALSE)</f>
        <v>31438</v>
      </c>
      <c r="K142" s="54" t="str">
        <f t="shared" si="8"/>
        <v>33 an(s) 5 mois et 5 jour(s)</v>
      </c>
      <c r="L142" s="52" t="str">
        <f>VLOOKUP(C142,[1]!Tableau_cotisants,10,FALSE)</f>
        <v>ANGEAC CHAMPAGNE</v>
      </c>
      <c r="M142" s="53" t="str">
        <f>VLOOKUP(C142,[1]!Tableau_cotisants,11,FALSE)</f>
        <v>Champagne</v>
      </c>
      <c r="N142" s="6">
        <v>1</v>
      </c>
      <c r="O142" s="5"/>
      <c r="P142" s="27">
        <v>1</v>
      </c>
      <c r="Q142" s="26"/>
      <c r="R142" s="74"/>
      <c r="S142" s="55"/>
      <c r="T142" s="55"/>
      <c r="U142" s="55"/>
      <c r="V142" s="168">
        <f t="shared" si="9"/>
        <v>1</v>
      </c>
    </row>
    <row r="143" spans="1:22">
      <c r="A143" s="7"/>
      <c r="B143" s="7"/>
      <c r="C143" s="177" t="s">
        <v>110</v>
      </c>
      <c r="D143" s="52" t="str">
        <f>VLOOKUP(C143,[1]!Tableau_cotisants,2,FALSE)</f>
        <v>LIENART DELABEYE</v>
      </c>
      <c r="E143" s="52" t="str">
        <f>VLOOKUP(C143,[1]!Tableau_cotisants,3,FALSE)</f>
        <v>LIENART</v>
      </c>
      <c r="F143" s="52" t="str">
        <f>VLOOKUP(C143,[1]!Tableau_cotisants,4,FALSE)</f>
        <v>Séverine</v>
      </c>
      <c r="G143" s="53">
        <f>VLOOKUP(C143,[1]!Tableau_cotisants,5,FALSE)</f>
        <v>0</v>
      </c>
      <c r="H143" s="52">
        <f>VLOOKUP(C143,[1]!Tableau_cotisants,6,FALSE)</f>
        <v>1</v>
      </c>
      <c r="I143" s="52">
        <f>VLOOKUP(C143,[1]!Tableau_cotisants,7,FALSE)</f>
        <v>0</v>
      </c>
      <c r="J143" s="54">
        <f>VLOOKUP(C143,[1]!Tableau_cotisants,8,FALSE)</f>
        <v>31438</v>
      </c>
      <c r="K143" s="54" t="str">
        <f t="shared" si="8"/>
        <v>33 an(s) 5 mois et 5 jour(s)</v>
      </c>
      <c r="L143" s="52" t="str">
        <f>VLOOKUP(C143,[1]!Tableau_cotisants,10,FALSE)</f>
        <v>ANGEAC CHAMPAGNE</v>
      </c>
      <c r="M143" s="53" t="str">
        <f>VLOOKUP(C143,[1]!Tableau_cotisants,11,FALSE)</f>
        <v>Champagne</v>
      </c>
      <c r="N143" s="6">
        <v>1</v>
      </c>
      <c r="O143" s="5"/>
      <c r="P143" s="27">
        <v>1</v>
      </c>
      <c r="Q143" s="26"/>
      <c r="R143" s="74"/>
      <c r="S143" s="55"/>
      <c r="T143" s="55"/>
      <c r="U143" s="55"/>
      <c r="V143" s="168">
        <f t="shared" si="9"/>
        <v>1</v>
      </c>
    </row>
    <row r="144" spans="1:22">
      <c r="A144" s="172"/>
      <c r="B144" s="171"/>
      <c r="C144" s="184" t="s">
        <v>111</v>
      </c>
      <c r="D144" s="52" t="str">
        <f>VLOOKUP(C144,[1]!Tableau_cotisants,2,FALSE)</f>
        <v>LIENART DELABEYE</v>
      </c>
      <c r="E144" s="52" t="str">
        <f>VLOOKUP(C144,[1]!Tableau_cotisants,3,FALSE)</f>
        <v>LIENART</v>
      </c>
      <c r="F144" s="52" t="str">
        <f>VLOOKUP(C144,[1]!Tableau_cotisants,4,FALSE)</f>
        <v>Sacha</v>
      </c>
      <c r="G144" s="53">
        <f>VLOOKUP(C144,[1]!Tableau_cotisants,5,FALSE)</f>
        <v>0</v>
      </c>
      <c r="H144" s="52">
        <f>VLOOKUP(C144,[1]!Tableau_cotisants,6,FALSE)</f>
        <v>0</v>
      </c>
      <c r="I144" s="52">
        <f>VLOOKUP(C144,[1]!Tableau_cotisants,7,FALSE)</f>
        <v>1</v>
      </c>
      <c r="J144" s="54">
        <f>VLOOKUP(C144,[1]!Tableau_cotisants,8,FALSE)</f>
        <v>42830</v>
      </c>
      <c r="K144" s="54" t="str">
        <f t="shared" si="8"/>
        <v>2 an(s) 2 mois et 26 jour(s)</v>
      </c>
      <c r="L144" s="52" t="str">
        <f>VLOOKUP(C144,[1]!Tableau_cotisants,10,FALSE)</f>
        <v>ANGEAC CHAMPAGNE</v>
      </c>
      <c r="M144" s="53" t="str">
        <f>VLOOKUP(C144,[1]!Tableau_cotisants,11,FALSE)</f>
        <v>Champagne</v>
      </c>
      <c r="N144" s="6">
        <v>1</v>
      </c>
      <c r="O144" s="5"/>
      <c r="P144" s="27">
        <v>1</v>
      </c>
      <c r="Q144" s="26"/>
      <c r="R144" s="74"/>
      <c r="S144" s="55"/>
      <c r="T144" s="55"/>
      <c r="U144" s="55"/>
      <c r="V144" s="168">
        <f t="shared" si="9"/>
        <v>1</v>
      </c>
    </row>
    <row r="145" spans="1:22">
      <c r="A145" s="7"/>
      <c r="B145" s="7"/>
      <c r="C145" s="184" t="s">
        <v>111</v>
      </c>
      <c r="D145" s="52" t="str">
        <f>VLOOKUP(C145,[1]!Tableau_cotisants,2,FALSE)</f>
        <v>LIENART DELABEYE</v>
      </c>
      <c r="E145" s="52" t="str">
        <f>VLOOKUP(C145,[1]!Tableau_cotisants,3,FALSE)</f>
        <v>LIENART</v>
      </c>
      <c r="F145" s="52" t="str">
        <f>VLOOKUP(C145,[1]!Tableau_cotisants,4,FALSE)</f>
        <v>Sacha</v>
      </c>
      <c r="G145" s="53">
        <f>VLOOKUP(C145,[1]!Tableau_cotisants,5,FALSE)</f>
        <v>0</v>
      </c>
      <c r="H145" s="52">
        <f>VLOOKUP(C145,[1]!Tableau_cotisants,6,FALSE)</f>
        <v>0</v>
      </c>
      <c r="I145" s="52">
        <f>VLOOKUP(C145,[1]!Tableau_cotisants,7,FALSE)</f>
        <v>1</v>
      </c>
      <c r="J145" s="54">
        <f>VLOOKUP(C145,[1]!Tableau_cotisants,8,FALSE)</f>
        <v>42830</v>
      </c>
      <c r="K145" s="54" t="str">
        <f t="shared" si="8"/>
        <v>2 an(s) 2 mois et 26 jour(s)</v>
      </c>
      <c r="L145" s="52" t="str">
        <f>VLOOKUP(C145,[1]!Tableau_cotisants,10,FALSE)</f>
        <v>ANGEAC CHAMPAGNE</v>
      </c>
      <c r="M145" s="53" t="str">
        <f>VLOOKUP(C145,[1]!Tableau_cotisants,11,FALSE)</f>
        <v>Champagne</v>
      </c>
      <c r="N145" s="6">
        <v>1</v>
      </c>
      <c r="O145" s="5"/>
      <c r="P145" s="27">
        <v>1</v>
      </c>
      <c r="Q145" s="26"/>
      <c r="R145" s="74"/>
      <c r="S145" s="55"/>
      <c r="T145" s="55"/>
      <c r="U145" s="55"/>
      <c r="V145" s="168">
        <f t="shared" si="9"/>
        <v>1</v>
      </c>
    </row>
    <row r="146" spans="1:22">
      <c r="A146" s="7"/>
      <c r="B146" s="7"/>
      <c r="C146" s="103" t="s">
        <v>111</v>
      </c>
      <c r="D146" s="52" t="str">
        <f>VLOOKUP(C146,[1]!Tableau_cotisants,2,FALSE)</f>
        <v>LIENART DELABEYE</v>
      </c>
      <c r="E146" s="52" t="str">
        <f>VLOOKUP(C146,[1]!Tableau_cotisants,3,FALSE)</f>
        <v>LIENART</v>
      </c>
      <c r="F146" s="52" t="str">
        <f>VLOOKUP(C146,[1]!Tableau_cotisants,4,FALSE)</f>
        <v>Sacha</v>
      </c>
      <c r="G146" s="53">
        <f>VLOOKUP(C146,[1]!Tableau_cotisants,5,FALSE)</f>
        <v>0</v>
      </c>
      <c r="H146" s="52">
        <f>VLOOKUP(C146,[1]!Tableau_cotisants,6,FALSE)</f>
        <v>0</v>
      </c>
      <c r="I146" s="52">
        <f>VLOOKUP(C146,[1]!Tableau_cotisants,7,FALSE)</f>
        <v>1</v>
      </c>
      <c r="J146" s="54">
        <f>VLOOKUP(C146,[1]!Tableau_cotisants,8,FALSE)</f>
        <v>42830</v>
      </c>
      <c r="K146" s="54" t="str">
        <f t="shared" si="8"/>
        <v>2 an(s) 2 mois et 26 jour(s)</v>
      </c>
      <c r="L146" s="52" t="str">
        <f>VLOOKUP(C146,[1]!Tableau_cotisants,10,FALSE)</f>
        <v>ANGEAC CHAMPAGNE</v>
      </c>
      <c r="M146" s="53" t="str">
        <f>VLOOKUP(C146,[1]!Tableau_cotisants,11,FALSE)</f>
        <v>Champagne</v>
      </c>
      <c r="N146" s="6">
        <v>1</v>
      </c>
      <c r="O146" s="5"/>
      <c r="P146" s="27">
        <v>1</v>
      </c>
      <c r="Q146" s="26"/>
      <c r="R146" s="74"/>
      <c r="S146" s="55"/>
      <c r="T146" s="55"/>
      <c r="U146" s="55"/>
      <c r="V146" s="168">
        <f t="shared" si="9"/>
        <v>1</v>
      </c>
    </row>
    <row r="147" spans="1:22">
      <c r="A147" s="172"/>
      <c r="B147" s="171"/>
      <c r="C147" s="111" t="s">
        <v>107</v>
      </c>
      <c r="D147" s="52" t="str">
        <f>VLOOKUP(C147,[1]!Tableau_cotisants,2,FALSE)</f>
        <v>PRESSON-HALLYG</v>
      </c>
      <c r="E147" s="52" t="str">
        <f>VLOOKUP(C147,[1]!Tableau_cotisants,3,FALSE)</f>
        <v>HALLYG</v>
      </c>
      <c r="F147" s="52" t="str">
        <f>VLOOKUP(C147,[1]!Tableau_cotisants,4,FALSE)</f>
        <v>Bérangère</v>
      </c>
      <c r="G147" s="53">
        <f>VLOOKUP(C147,[1]!Tableau_cotisants,5,FALSE)</f>
        <v>0</v>
      </c>
      <c r="H147" s="52">
        <f>VLOOKUP(C147,[1]!Tableau_cotisants,6,FALSE)</f>
        <v>1</v>
      </c>
      <c r="I147" s="52">
        <f>VLOOKUP(C147,[1]!Tableau_cotisants,7,FALSE)</f>
        <v>0</v>
      </c>
      <c r="J147" s="54">
        <f>VLOOKUP(C147,[1]!Tableau_cotisants,8,FALSE)</f>
        <v>27325</v>
      </c>
      <c r="K147" s="54" t="str">
        <f t="shared" si="8"/>
        <v>44 an(s) 8 mois et 8 jour(s)</v>
      </c>
      <c r="L147" s="52" t="str">
        <f>VLOOKUP(C147,[1]!Tableau_cotisants,10,FALSE)</f>
        <v>COGNAC</v>
      </c>
      <c r="M147" s="53" t="str">
        <f>VLOOKUP(C147,[1]!Tableau_cotisants,11,FALSE)</f>
        <v>Cognac</v>
      </c>
      <c r="N147" s="6">
        <v>1</v>
      </c>
      <c r="O147" s="5"/>
      <c r="P147" s="27"/>
      <c r="Q147" s="26"/>
      <c r="R147" s="74">
        <v>1</v>
      </c>
      <c r="S147" s="55"/>
      <c r="T147" s="55"/>
      <c r="U147" s="55"/>
      <c r="V147" s="168">
        <f t="shared" si="9"/>
        <v>1</v>
      </c>
    </row>
    <row r="148" spans="1:22">
      <c r="A148" s="7"/>
      <c r="B148" s="7"/>
      <c r="C148" s="174" t="s">
        <v>107</v>
      </c>
      <c r="D148" s="52" t="str">
        <f>VLOOKUP(C148,[1]!Tableau_cotisants,2,FALSE)</f>
        <v>PRESSON-HALLYG</v>
      </c>
      <c r="E148" s="52" t="str">
        <f>VLOOKUP(C148,[1]!Tableau_cotisants,3,FALSE)</f>
        <v>HALLYG</v>
      </c>
      <c r="F148" s="52" t="str">
        <f>VLOOKUP(C148,[1]!Tableau_cotisants,4,FALSE)</f>
        <v>Bérangère</v>
      </c>
      <c r="G148" s="53">
        <f>VLOOKUP(C148,[1]!Tableau_cotisants,5,FALSE)</f>
        <v>0</v>
      </c>
      <c r="H148" s="52">
        <f>VLOOKUP(C148,[1]!Tableau_cotisants,6,FALSE)</f>
        <v>1</v>
      </c>
      <c r="I148" s="52">
        <f>VLOOKUP(C148,[1]!Tableau_cotisants,7,FALSE)</f>
        <v>0</v>
      </c>
      <c r="J148" s="54">
        <f>VLOOKUP(C148,[1]!Tableau_cotisants,8,FALSE)</f>
        <v>27325</v>
      </c>
      <c r="K148" s="54" t="str">
        <f t="shared" si="8"/>
        <v>44 an(s) 8 mois et 8 jour(s)</v>
      </c>
      <c r="L148" s="52" t="str">
        <f>VLOOKUP(C148,[1]!Tableau_cotisants,10,FALSE)</f>
        <v>COGNAC</v>
      </c>
      <c r="M148" s="53" t="str">
        <f>VLOOKUP(C148,[1]!Tableau_cotisants,11,FALSE)</f>
        <v>Cognac</v>
      </c>
      <c r="N148" s="6">
        <v>1</v>
      </c>
      <c r="O148" s="5"/>
      <c r="P148" s="27"/>
      <c r="Q148" s="26">
        <v>1</v>
      </c>
      <c r="R148" s="74"/>
      <c r="S148" s="55"/>
      <c r="T148" s="55"/>
      <c r="U148" s="55"/>
      <c r="V148" s="168">
        <f t="shared" si="9"/>
        <v>1</v>
      </c>
    </row>
    <row r="149" spans="1:22">
      <c r="A149" s="172"/>
      <c r="B149" s="171"/>
      <c r="C149" s="111" t="s">
        <v>108</v>
      </c>
      <c r="D149" s="52" t="str">
        <f>VLOOKUP(C149,[1]!Tableau_cotisants,2,FALSE)</f>
        <v>PRESSON-HALLYG</v>
      </c>
      <c r="E149" s="52" t="str">
        <f>VLOOKUP(C149,[1]!Tableau_cotisants,3,FALSE)</f>
        <v>PRESSON-HALLYG</v>
      </c>
      <c r="F149" s="52" t="str">
        <f>VLOOKUP(C149,[1]!Tableau_cotisants,4,FALSE)</f>
        <v>Sasha</v>
      </c>
      <c r="G149" s="53">
        <f>VLOOKUP(C149,[1]!Tableau_cotisants,5,FALSE)</f>
        <v>0</v>
      </c>
      <c r="H149" s="52">
        <f>VLOOKUP(C149,[1]!Tableau_cotisants,6,FALSE)</f>
        <v>0</v>
      </c>
      <c r="I149" s="52">
        <f>VLOOKUP(C149,[1]!Tableau_cotisants,7,FALSE)</f>
        <v>1</v>
      </c>
      <c r="J149" s="54">
        <f>VLOOKUP(C149,[1]!Tableau_cotisants,8,FALSE)</f>
        <v>41634</v>
      </c>
      <c r="K149" s="54" t="str">
        <f t="shared" si="8"/>
        <v>5 an(s) 6 mois et 5 jour(s)</v>
      </c>
      <c r="L149" s="52" t="str">
        <f>VLOOKUP(C149,[1]!Tableau_cotisants,10,FALSE)</f>
        <v>Cognac</v>
      </c>
      <c r="M149" s="53" t="str">
        <f>VLOOKUP(C149,[1]!Tableau_cotisants,11,FALSE)</f>
        <v>Cognac</v>
      </c>
      <c r="N149" s="6">
        <v>1</v>
      </c>
      <c r="O149" s="5"/>
      <c r="P149" s="27"/>
      <c r="Q149" s="26"/>
      <c r="R149" s="74">
        <v>1</v>
      </c>
      <c r="S149" s="55"/>
      <c r="T149" s="55"/>
      <c r="U149" s="55"/>
      <c r="V149" s="168">
        <f t="shared" si="9"/>
        <v>1</v>
      </c>
    </row>
    <row r="150" spans="1:22">
      <c r="A150" s="172"/>
      <c r="B150" s="171"/>
      <c r="C150" s="114" t="s">
        <v>115</v>
      </c>
      <c r="D150" s="52" t="str">
        <f>VLOOKUP(C150,[1]!Tableau_cotisants,2,FALSE)</f>
        <v>GABORIT-TRIJOL</v>
      </c>
      <c r="E150" s="52" t="str">
        <f>VLOOKUP(C150,[1]!Tableau_cotisants,3,FALSE)</f>
        <v>TRIJOL</v>
      </c>
      <c r="F150" s="52" t="str">
        <f>VLOOKUP(C150,[1]!Tableau_cotisants,4,FALSE)</f>
        <v>Alexandra</v>
      </c>
      <c r="G150" s="53">
        <f>VLOOKUP(C150,[1]!Tableau_cotisants,5,FALSE)</f>
        <v>0</v>
      </c>
      <c r="H150" s="52">
        <f>VLOOKUP(C150,[1]!Tableau_cotisants,6,FALSE)</f>
        <v>1</v>
      </c>
      <c r="I150" s="52">
        <f>VLOOKUP(C150,[1]!Tableau_cotisants,7,FALSE)</f>
        <v>0</v>
      </c>
      <c r="J150" s="54">
        <f>VLOOKUP(C150,[1]!Tableau_cotisants,8,FALSE)</f>
        <v>30766</v>
      </c>
      <c r="K150" s="54" t="str">
        <f t="shared" si="8"/>
        <v>35 an(s) 3 mois et 6 jour(s)</v>
      </c>
      <c r="L150" s="52" t="str">
        <f>VLOOKUP(C150,[1]!Tableau_cotisants,10,FALSE)</f>
        <v>Mainxe</v>
      </c>
      <c r="M150" s="53" t="str">
        <f>VLOOKUP(C150,[1]!Tableau_cotisants,11,FALSE)</f>
        <v>Jarnac</v>
      </c>
      <c r="N150" s="6">
        <v>1</v>
      </c>
      <c r="O150" s="5">
        <v>1</v>
      </c>
      <c r="P150" s="27">
        <v>2</v>
      </c>
      <c r="Q150" s="26"/>
      <c r="R150" s="74"/>
      <c r="S150" s="55"/>
      <c r="T150" s="55"/>
      <c r="U150" s="55"/>
      <c r="V150" s="168">
        <f t="shared" si="9"/>
        <v>2</v>
      </c>
    </row>
    <row r="151" spans="1:22">
      <c r="A151" s="7"/>
      <c r="B151" s="7"/>
      <c r="C151" s="111" t="s">
        <v>115</v>
      </c>
      <c r="D151" s="52" t="str">
        <f>VLOOKUP(C151,[1]!Tableau_cotisants,2,FALSE)</f>
        <v>GABORIT-TRIJOL</v>
      </c>
      <c r="E151" s="52" t="str">
        <f>VLOOKUP(C151,[1]!Tableau_cotisants,3,FALSE)</f>
        <v>TRIJOL</v>
      </c>
      <c r="F151" s="52" t="str">
        <f>VLOOKUP(C151,[1]!Tableau_cotisants,4,FALSE)</f>
        <v>Alexandra</v>
      </c>
      <c r="G151" s="53">
        <f>VLOOKUP(C151,[1]!Tableau_cotisants,5,FALSE)</f>
        <v>0</v>
      </c>
      <c r="H151" s="52">
        <f>VLOOKUP(C151,[1]!Tableau_cotisants,6,FALSE)</f>
        <v>1</v>
      </c>
      <c r="I151" s="52">
        <f>VLOOKUP(C151,[1]!Tableau_cotisants,7,FALSE)</f>
        <v>0</v>
      </c>
      <c r="J151" s="54">
        <f>VLOOKUP(C151,[1]!Tableau_cotisants,8,FALSE)</f>
        <v>30766</v>
      </c>
      <c r="K151" s="54" t="str">
        <f t="shared" si="8"/>
        <v>35 an(s) 3 mois et 6 jour(s)</v>
      </c>
      <c r="L151" s="52" t="str">
        <f>VLOOKUP(C151,[1]!Tableau_cotisants,10,FALSE)</f>
        <v>Mainxe</v>
      </c>
      <c r="M151" s="53" t="str">
        <f>VLOOKUP(C151,[1]!Tableau_cotisants,11,FALSE)</f>
        <v>Jarnac</v>
      </c>
      <c r="N151" s="6">
        <v>1</v>
      </c>
      <c r="O151" s="5"/>
      <c r="P151" s="27">
        <v>1</v>
      </c>
      <c r="Q151" s="26"/>
      <c r="R151" s="74"/>
      <c r="S151" s="55"/>
      <c r="T151" s="55"/>
      <c r="U151" s="55"/>
      <c r="V151" s="168">
        <f t="shared" si="9"/>
        <v>1</v>
      </c>
    </row>
    <row r="152" spans="1:22">
      <c r="A152" s="172"/>
      <c r="B152" s="171"/>
      <c r="C152" s="114" t="s">
        <v>116</v>
      </c>
      <c r="D152" s="56" t="str">
        <f>VLOOKUP(C152,[1]!Tableau_cotisants,2,FALSE)</f>
        <v>GABORIT-TRIJOL</v>
      </c>
      <c r="E152" s="56" t="str">
        <f>VLOOKUP(C152,[1]!Tableau_cotisants,3,FALSE)</f>
        <v>GABORIT</v>
      </c>
      <c r="F152" s="56" t="str">
        <f>VLOOKUP(C152,[1]!Tableau_cotisants,4,FALSE)</f>
        <v>Sylvain</v>
      </c>
      <c r="G152" s="57">
        <f>VLOOKUP(C152,[1]!Tableau_cotisants,5,FALSE)</f>
        <v>0</v>
      </c>
      <c r="H152" s="56">
        <f>VLOOKUP(C152,[1]!Tableau_cotisants,6,FALSE)</f>
        <v>0</v>
      </c>
      <c r="I152" s="56">
        <f>VLOOKUP(C152,[1]!Tableau_cotisants,7,FALSE)</f>
        <v>1</v>
      </c>
      <c r="J152" s="58">
        <f>VLOOKUP(C152,[1]!Tableau_cotisants,8,FALSE)</f>
        <v>31045</v>
      </c>
      <c r="K152" s="54" t="str">
        <f t="shared" si="8"/>
        <v>34 an(s) 6 mois et 2 jour(s)</v>
      </c>
      <c r="L152" s="56" t="str">
        <f>VLOOKUP(C152,[1]!Tableau_cotisants,10,FALSE)</f>
        <v>Mainxe</v>
      </c>
      <c r="M152" s="57" t="str">
        <f>VLOOKUP(C152,[1]!Tableau_cotisants,11,FALSE)</f>
        <v>Jarnac</v>
      </c>
      <c r="N152" s="6"/>
      <c r="O152" s="5">
        <v>1</v>
      </c>
      <c r="P152" s="27">
        <v>1</v>
      </c>
      <c r="Q152" s="26"/>
      <c r="R152" s="74"/>
      <c r="S152" s="55"/>
      <c r="T152" s="55"/>
      <c r="U152" s="55"/>
      <c r="V152" s="168">
        <f t="shared" si="9"/>
        <v>1</v>
      </c>
    </row>
    <row r="153" spans="1:22">
      <c r="A153" s="172"/>
      <c r="B153" s="171"/>
      <c r="C153" s="114" t="s">
        <v>117</v>
      </c>
      <c r="D153" s="56" t="str">
        <f>VLOOKUP(C153,[1]!Tableau_cotisants,2,FALSE)</f>
        <v>GABORIT-TRIJOL</v>
      </c>
      <c r="E153" s="56" t="str">
        <f>VLOOKUP(C153,[1]!Tableau_cotisants,3,FALSE)</f>
        <v>GABORIT-TRIJOL</v>
      </c>
      <c r="F153" s="56" t="str">
        <f>VLOOKUP(C153,[1]!Tableau_cotisants,4,FALSE)</f>
        <v>Marceau</v>
      </c>
      <c r="G153" s="57">
        <f>VLOOKUP(C153,[1]!Tableau_cotisants,5,FALSE)</f>
        <v>0</v>
      </c>
      <c r="H153" s="56">
        <f>VLOOKUP(C153,[1]!Tableau_cotisants,6,FALSE)</f>
        <v>0</v>
      </c>
      <c r="I153" s="56">
        <f>VLOOKUP(C153,[1]!Tableau_cotisants,7,FALSE)</f>
        <v>1</v>
      </c>
      <c r="J153" s="58">
        <f>VLOOKUP(C153,[1]!Tableau_cotisants,8,FALSE)</f>
        <v>43002</v>
      </c>
      <c r="K153" s="54" t="str">
        <f t="shared" si="8"/>
        <v>1 an(s) 9 mois et 7 jour(s)</v>
      </c>
      <c r="L153" s="56" t="str">
        <f>VLOOKUP(C153,[1]!Tableau_cotisants,10,FALSE)</f>
        <v>Mainxe</v>
      </c>
      <c r="M153" s="57" t="str">
        <f>VLOOKUP(C153,[1]!Tableau_cotisants,11,FALSE)</f>
        <v>Jarnac</v>
      </c>
      <c r="N153" s="6"/>
      <c r="O153" s="5">
        <v>1</v>
      </c>
      <c r="P153" s="27">
        <v>1</v>
      </c>
      <c r="Q153" s="26"/>
      <c r="R153" s="74"/>
      <c r="S153" s="55"/>
      <c r="T153" s="55"/>
      <c r="U153" s="55"/>
      <c r="V153" s="168">
        <f t="shared" si="9"/>
        <v>1</v>
      </c>
    </row>
    <row r="154" spans="1:22">
      <c r="A154" s="7"/>
      <c r="B154" s="7"/>
      <c r="C154" s="114" t="s">
        <v>117</v>
      </c>
      <c r="D154" s="52" t="str">
        <f>VLOOKUP(C154,[1]!Tableau_cotisants,2,FALSE)</f>
        <v>GABORIT-TRIJOL</v>
      </c>
      <c r="E154" s="52" t="str">
        <f>VLOOKUP(C154,[1]!Tableau_cotisants,3,FALSE)</f>
        <v>GABORIT-TRIJOL</v>
      </c>
      <c r="F154" s="52" t="str">
        <f>VLOOKUP(C154,[1]!Tableau_cotisants,4,FALSE)</f>
        <v>Marceau</v>
      </c>
      <c r="G154" s="53">
        <f>VLOOKUP(C154,[1]!Tableau_cotisants,5,FALSE)</f>
        <v>0</v>
      </c>
      <c r="H154" s="52">
        <f>VLOOKUP(C154,[1]!Tableau_cotisants,6,FALSE)</f>
        <v>0</v>
      </c>
      <c r="I154" s="52">
        <f>VLOOKUP(C154,[1]!Tableau_cotisants,7,FALSE)</f>
        <v>1</v>
      </c>
      <c r="J154" s="54">
        <f>VLOOKUP(C154,[1]!Tableau_cotisants,8,FALSE)</f>
        <v>43002</v>
      </c>
      <c r="K154" s="54" t="str">
        <f t="shared" si="8"/>
        <v>1 an(s) 9 mois et 7 jour(s)</v>
      </c>
      <c r="L154" s="52" t="str">
        <f>VLOOKUP(C154,[1]!Tableau_cotisants,10,FALSE)</f>
        <v>Mainxe</v>
      </c>
      <c r="M154" s="53" t="str">
        <f>VLOOKUP(C154,[1]!Tableau_cotisants,11,FALSE)</f>
        <v>Jarnac</v>
      </c>
      <c r="N154" s="6">
        <v>1</v>
      </c>
      <c r="O154" s="5"/>
      <c r="P154" s="27">
        <v>1</v>
      </c>
      <c r="Q154" s="26"/>
      <c r="R154" s="74"/>
      <c r="S154" s="55"/>
      <c r="T154" s="55"/>
      <c r="U154" s="55"/>
      <c r="V154" s="168">
        <f t="shared" si="9"/>
        <v>1</v>
      </c>
    </row>
    <row r="155" spans="1:22">
      <c r="A155" s="7"/>
      <c r="B155" s="7"/>
      <c r="C155" s="114" t="s">
        <v>290</v>
      </c>
      <c r="D155" s="52" t="str">
        <f>VLOOKUP(C155,[1]!Tableau_cotisants,2,FALSE)</f>
        <v>GABORIT-TRIJOL</v>
      </c>
      <c r="E155" s="52" t="str">
        <f>VLOOKUP(C155,[1]!Tableau_cotisants,3,FALSE)</f>
        <v>GABORIT ROBREAU</v>
      </c>
      <c r="F155" s="52" t="str">
        <f>VLOOKUP(C155,[1]!Tableau_cotisants,4,FALSE)</f>
        <v>Sylvie</v>
      </c>
      <c r="G155" s="53">
        <f>VLOOKUP(C155,[1]!Tableau_cotisants,5,FALSE)</f>
        <v>0</v>
      </c>
      <c r="H155" s="52">
        <f>VLOOKUP(C155,[1]!Tableau_cotisants,6,FALSE)</f>
        <v>1</v>
      </c>
      <c r="I155" s="52">
        <f>VLOOKUP(C155,[1]!Tableau_cotisants,7,FALSE)</f>
        <v>0</v>
      </c>
      <c r="J155" s="54">
        <f>VLOOKUP(C155,[1]!Tableau_cotisants,8,FALSE)</f>
        <v>20290</v>
      </c>
      <c r="K155" s="54" t="str">
        <f t="shared" si="8"/>
        <v>63 an(s) 11 mois et 11 jour(s)</v>
      </c>
      <c r="L155" s="52" t="str">
        <f>VLOOKUP(C155,[1]!Tableau_cotisants,10,FALSE)</f>
        <v>Mainxe</v>
      </c>
      <c r="M155" s="53" t="str">
        <f>VLOOKUP(C155,[1]!Tableau_cotisants,11,FALSE)</f>
        <v>Jarnac</v>
      </c>
      <c r="N155" s="6">
        <v>1</v>
      </c>
      <c r="O155" s="5"/>
      <c r="P155" s="27">
        <v>1</v>
      </c>
      <c r="Q155" s="26"/>
      <c r="R155" s="74"/>
      <c r="S155" s="55"/>
      <c r="T155" s="55"/>
      <c r="U155" s="55"/>
      <c r="V155" s="168">
        <f t="shared" si="9"/>
        <v>1</v>
      </c>
    </row>
    <row r="156" spans="1:22">
      <c r="A156" s="172"/>
      <c r="B156" s="171"/>
      <c r="C156" s="116" t="s">
        <v>118</v>
      </c>
      <c r="D156" s="56" t="str">
        <f>VLOOKUP(C156,[1]!Tableau_cotisants,2,FALSE)</f>
        <v>NADAL</v>
      </c>
      <c r="E156" s="56" t="str">
        <f>VLOOKUP(C156,[1]!Tableau_cotisants,3,FALSE)</f>
        <v>NADAL</v>
      </c>
      <c r="F156" s="56" t="str">
        <f>VLOOKUP(C156,[1]!Tableau_cotisants,4,FALSE)</f>
        <v>Stéphanie</v>
      </c>
      <c r="G156" s="57">
        <f>VLOOKUP(C156,[1]!Tableau_cotisants,5,FALSE)</f>
        <v>0</v>
      </c>
      <c r="H156" s="56">
        <f>VLOOKUP(C156,[1]!Tableau_cotisants,6,FALSE)</f>
        <v>1</v>
      </c>
      <c r="I156" s="56">
        <f>VLOOKUP(C156,[1]!Tableau_cotisants,7,FALSE)</f>
        <v>0</v>
      </c>
      <c r="J156" s="58">
        <f>VLOOKUP(C156,[1]!Tableau_cotisants,8,FALSE)</f>
        <v>31160</v>
      </c>
      <c r="K156" s="54" t="str">
        <f t="shared" si="8"/>
        <v>34 an(s) 2 mois et 8 jour(s)</v>
      </c>
      <c r="L156" s="56" t="str">
        <f>VLOOKUP(C156,[1]!Tableau_cotisants,10,FALSE)</f>
        <v>Saint Même Les Carrières</v>
      </c>
      <c r="M156" s="57" t="str">
        <f>VLOOKUP(C156,[1]!Tableau_cotisants,11,FALSE)</f>
        <v>Jarnac</v>
      </c>
      <c r="N156" s="6"/>
      <c r="O156" s="5">
        <v>1</v>
      </c>
      <c r="P156" s="27">
        <v>1</v>
      </c>
      <c r="Q156" s="26"/>
      <c r="R156" s="74"/>
      <c r="S156" s="55"/>
      <c r="T156" s="55"/>
      <c r="U156" s="55"/>
      <c r="V156" s="168">
        <f t="shared" si="9"/>
        <v>1</v>
      </c>
    </row>
    <row r="157" spans="1:22">
      <c r="A157" s="172"/>
      <c r="B157" s="171"/>
      <c r="C157" s="116" t="s">
        <v>119</v>
      </c>
      <c r="D157" s="56" t="str">
        <f>VLOOKUP(C157,[1]!Tableau_cotisants,2,FALSE)</f>
        <v>NADAL</v>
      </c>
      <c r="E157" s="56" t="str">
        <f>VLOOKUP(C157,[1]!Tableau_cotisants,3,FALSE)</f>
        <v>NADAL</v>
      </c>
      <c r="F157" s="56" t="str">
        <f>VLOOKUP(C157,[1]!Tableau_cotisants,4,FALSE)</f>
        <v>Nicolas</v>
      </c>
      <c r="G157" s="57">
        <f>VLOOKUP(C157,[1]!Tableau_cotisants,5,FALSE)</f>
        <v>0</v>
      </c>
      <c r="H157" s="56">
        <f>VLOOKUP(C157,[1]!Tableau_cotisants,6,FALSE)</f>
        <v>0</v>
      </c>
      <c r="I157" s="56">
        <f>VLOOKUP(C157,[1]!Tableau_cotisants,7,FALSE)</f>
        <v>1</v>
      </c>
      <c r="J157" s="58">
        <f>VLOOKUP(C157,[1]!Tableau_cotisants,8,FALSE)</f>
        <v>30526</v>
      </c>
      <c r="K157" s="54" t="str">
        <f t="shared" si="8"/>
        <v>35 an(s) 11 mois et 2 jour(s)</v>
      </c>
      <c r="L157" s="56" t="str">
        <f>VLOOKUP(C157,[1]!Tableau_cotisants,10,FALSE)</f>
        <v>Saint Même Les Carrières</v>
      </c>
      <c r="M157" s="57" t="str">
        <f>VLOOKUP(C157,[1]!Tableau_cotisants,11,FALSE)</f>
        <v>Jarnac</v>
      </c>
      <c r="N157" s="6"/>
      <c r="O157" s="5">
        <v>1</v>
      </c>
      <c r="P157" s="27">
        <v>1</v>
      </c>
      <c r="Q157" s="26"/>
      <c r="R157" s="74"/>
      <c r="S157" s="55"/>
      <c r="T157" s="55"/>
      <c r="U157" s="55"/>
      <c r="V157" s="168">
        <f t="shared" si="9"/>
        <v>1</v>
      </c>
    </row>
    <row r="158" spans="1:22">
      <c r="A158" s="7"/>
      <c r="B158" s="7"/>
      <c r="C158" s="161" t="s">
        <v>271</v>
      </c>
      <c r="D158" s="56" t="str">
        <f>VLOOKUP(C158,[1]!Tableau_cotisants,2,FALSE)</f>
        <v>LANNE</v>
      </c>
      <c r="E158" s="56" t="str">
        <f>VLOOKUP(C158,[1]!Tableau_cotisants,3,FALSE)</f>
        <v>LANNE</v>
      </c>
      <c r="F158" s="56" t="str">
        <f>VLOOKUP(C158,[1]!Tableau_cotisants,4,FALSE)</f>
        <v>Jeanne</v>
      </c>
      <c r="G158" s="57">
        <f>VLOOKUP(C158,[1]!Tableau_cotisants,5,FALSE)</f>
        <v>0</v>
      </c>
      <c r="H158" s="56">
        <f>VLOOKUP(C158,[1]!Tableau_cotisants,6,FALSE)</f>
        <v>1</v>
      </c>
      <c r="I158" s="56">
        <f>VLOOKUP(C158,[1]!Tableau_cotisants,7,FALSE)</f>
        <v>0</v>
      </c>
      <c r="J158" s="58">
        <f>VLOOKUP(C158,[1]!Tableau_cotisants,8,FALSE)</f>
        <v>31775</v>
      </c>
      <c r="K158" s="54" t="str">
        <f t="shared" si="8"/>
        <v>32 an(s) 6 mois et 2 jour(s)</v>
      </c>
      <c r="L158" s="56" t="str">
        <f>VLOOKUP(C158,[1]!Tableau_cotisants,10,FALSE)</f>
        <v>SEGONZAC</v>
      </c>
      <c r="M158" s="57" t="str">
        <f>VLOOKUP(C158,[1]!Tableau_cotisants,11,FALSE)</f>
        <v>Champagne</v>
      </c>
      <c r="N158" s="6"/>
      <c r="O158" s="5">
        <v>1</v>
      </c>
      <c r="P158" s="27"/>
      <c r="Q158" s="26"/>
      <c r="R158" s="74">
        <v>1</v>
      </c>
      <c r="S158" s="55"/>
      <c r="T158" s="55"/>
      <c r="U158" s="55"/>
      <c r="V158" s="168">
        <f t="shared" si="9"/>
        <v>1</v>
      </c>
    </row>
    <row r="159" spans="1:22">
      <c r="A159" s="7"/>
      <c r="B159" s="7"/>
      <c r="C159" s="161" t="s">
        <v>272</v>
      </c>
      <c r="D159" s="56" t="str">
        <f>VLOOKUP(C159,[1]!Tableau_cotisants,2,FALSE)</f>
        <v>LANNE</v>
      </c>
      <c r="E159" s="56" t="str">
        <f>VLOOKUP(C159,[1]!Tableau_cotisants,3,FALSE)</f>
        <v>LANNE</v>
      </c>
      <c r="F159" s="56" t="str">
        <f>VLOOKUP(C159,[1]!Tableau_cotisants,4,FALSE)</f>
        <v>Raphaël</v>
      </c>
      <c r="G159" s="57">
        <f>VLOOKUP(C159,[1]!Tableau_cotisants,5,FALSE)</f>
        <v>0</v>
      </c>
      <c r="H159" s="56">
        <f>VLOOKUP(C159,[1]!Tableau_cotisants,6,FALSE)</f>
        <v>0</v>
      </c>
      <c r="I159" s="56">
        <f>VLOOKUP(C159,[1]!Tableau_cotisants,7,FALSE)</f>
        <v>1</v>
      </c>
      <c r="J159" s="58">
        <f>VLOOKUP(C159,[1]!Tableau_cotisants,8,FALSE)</f>
        <v>41156</v>
      </c>
      <c r="K159" s="54" t="str">
        <f t="shared" si="8"/>
        <v>6 an(s) 9 mois et 27 jour(s)</v>
      </c>
      <c r="L159" s="56" t="str">
        <f>VLOOKUP(C159,[1]!Tableau_cotisants,10,FALSE)</f>
        <v>SEGONZAC</v>
      </c>
      <c r="M159" s="57" t="str">
        <f>VLOOKUP(C159,[1]!Tableau_cotisants,11,FALSE)</f>
        <v>Champagne</v>
      </c>
      <c r="N159" s="6"/>
      <c r="O159" s="5">
        <v>1</v>
      </c>
      <c r="P159" s="27"/>
      <c r="Q159" s="26"/>
      <c r="R159" s="74">
        <v>1</v>
      </c>
      <c r="S159" s="55"/>
      <c r="T159" s="55"/>
      <c r="U159" s="55"/>
      <c r="V159" s="168">
        <f t="shared" si="9"/>
        <v>1</v>
      </c>
    </row>
    <row r="160" spans="1:22">
      <c r="A160" s="7"/>
      <c r="B160" s="7"/>
      <c r="C160" s="147" t="s">
        <v>214</v>
      </c>
      <c r="D160" s="56" t="str">
        <f>VLOOKUP(C160,[1]!Tableau_cotisants,2,FALSE)</f>
        <v>LACHAUME/MERCIER</v>
      </c>
      <c r="E160" s="56" t="str">
        <f>VLOOKUP(C160,[1]!Tableau_cotisants,3,FALSE)</f>
        <v>LACHAUME</v>
      </c>
      <c r="F160" s="56" t="str">
        <f>VLOOKUP(C160,[1]!Tableau_cotisants,4,FALSE)</f>
        <v>Charline</v>
      </c>
      <c r="G160" s="57">
        <f>VLOOKUP(C160,[1]!Tableau_cotisants,5,FALSE)</f>
        <v>0</v>
      </c>
      <c r="H160" s="56">
        <f>VLOOKUP(C160,[1]!Tableau_cotisants,6,FALSE)</f>
        <v>1</v>
      </c>
      <c r="I160" s="56">
        <f>VLOOKUP(C160,[1]!Tableau_cotisants,7,FALSE)</f>
        <v>0</v>
      </c>
      <c r="J160" s="58">
        <f>VLOOKUP(C160,[1]!Tableau_cotisants,8,FALSE)</f>
        <v>32066</v>
      </c>
      <c r="K160" s="54" t="str">
        <f t="shared" si="8"/>
        <v>31 an(s) 8 mois et 15 jour(s)</v>
      </c>
      <c r="L160" s="56" t="str">
        <f>VLOOKUP(C160,[1]!Tableau_cotisants,10,FALSE)</f>
        <v>Boutiers</v>
      </c>
      <c r="M160" s="57" t="str">
        <f>VLOOKUP(C160,[1]!Tableau_cotisants,11,FALSE)</f>
        <v>Cognac</v>
      </c>
      <c r="N160" s="6"/>
      <c r="O160" s="5">
        <v>1</v>
      </c>
      <c r="P160" s="27"/>
      <c r="Q160" s="26">
        <v>1</v>
      </c>
      <c r="R160" s="74"/>
      <c r="S160" s="55"/>
      <c r="T160" s="55"/>
      <c r="U160" s="55"/>
      <c r="V160" s="168">
        <f t="shared" si="9"/>
        <v>1</v>
      </c>
    </row>
    <row r="161" spans="1:22">
      <c r="A161" s="7"/>
      <c r="B161" s="7"/>
      <c r="C161" s="147" t="s">
        <v>215</v>
      </c>
      <c r="D161" s="56" t="str">
        <f>VLOOKUP(C161,[1]!Tableau_cotisants,2,FALSE)</f>
        <v>LACHAUME/MERCIER</v>
      </c>
      <c r="E161" s="56" t="str">
        <f>VLOOKUP(C161,[1]!Tableau_cotisants,3,FALSE)</f>
        <v>LACHAUME</v>
      </c>
      <c r="F161" s="56" t="str">
        <f>VLOOKUP(C161,[1]!Tableau_cotisants,4,FALSE)</f>
        <v>Valentin</v>
      </c>
      <c r="G161" s="57">
        <f>VLOOKUP(C161,[1]!Tableau_cotisants,5,FALSE)</f>
        <v>0</v>
      </c>
      <c r="H161" s="56">
        <f>VLOOKUP(C161,[1]!Tableau_cotisants,6,FALSE)</f>
        <v>0</v>
      </c>
      <c r="I161" s="56">
        <f>VLOOKUP(C161,[1]!Tableau_cotisants,7,FALSE)</f>
        <v>1</v>
      </c>
      <c r="J161" s="58">
        <f>VLOOKUP(C161,[1]!Tableau_cotisants,8,FALSE)</f>
        <v>42403</v>
      </c>
      <c r="K161" s="54" t="str">
        <f t="shared" si="8"/>
        <v>3 an(s) 4 mois et 28 jour(s)</v>
      </c>
      <c r="L161" s="56" t="str">
        <f>VLOOKUP(C161,[1]!Tableau_cotisants,10,FALSE)</f>
        <v>Boutiers</v>
      </c>
      <c r="M161" s="57" t="str">
        <f>VLOOKUP(C161,[1]!Tableau_cotisants,11,FALSE)</f>
        <v>Cognac</v>
      </c>
      <c r="N161" s="6"/>
      <c r="O161" s="5">
        <v>1</v>
      </c>
      <c r="P161" s="27"/>
      <c r="Q161" s="26">
        <v>1</v>
      </c>
      <c r="R161" s="74"/>
      <c r="S161" s="55"/>
      <c r="T161" s="55"/>
      <c r="U161" s="55"/>
      <c r="V161" s="168">
        <f t="shared" si="9"/>
        <v>1</v>
      </c>
    </row>
    <row r="162" spans="1:22">
      <c r="A162" s="7"/>
      <c r="B162" s="7"/>
      <c r="C162" s="122" t="s">
        <v>303</v>
      </c>
      <c r="D162" s="52" t="str">
        <f>VLOOKUP(C162,[1]!Tableau_cotisants,2,FALSE)</f>
        <v>BOYELDIEU/COUREAUD</v>
      </c>
      <c r="E162" s="52" t="str">
        <f>VLOOKUP(C162,[1]!Tableau_cotisants,3,FALSE)</f>
        <v>COUREAUD</v>
      </c>
      <c r="F162" s="52" t="str">
        <f>VLOOKUP(C162,[1]!Tableau_cotisants,4,FALSE)</f>
        <v>Émilie</v>
      </c>
      <c r="G162" s="53">
        <f>VLOOKUP(C162,[1]!Tableau_cotisants,5,FALSE)</f>
        <v>0</v>
      </c>
      <c r="H162" s="52">
        <f>VLOOKUP(C162,[1]!Tableau_cotisants,6,FALSE)</f>
        <v>1</v>
      </c>
      <c r="I162" s="52">
        <f>VLOOKUP(C162,[1]!Tableau_cotisants,7,FALSE)</f>
        <v>0</v>
      </c>
      <c r="J162" s="54">
        <f>VLOOKUP(C162,[1]!Tableau_cotisants,8,FALSE)</f>
        <v>34856</v>
      </c>
      <c r="K162" s="54" t="str">
        <f t="shared" si="8"/>
        <v>24 an(s) 0 mois et 25 jour(s)</v>
      </c>
      <c r="L162" s="52" t="str">
        <f>VLOOKUP(C162,[1]!Tableau_cotisants,10,FALSE)</f>
        <v>Salignac-sur-Charente</v>
      </c>
      <c r="M162" s="53" t="str">
        <f>VLOOKUP(C162,[1]!Tableau_cotisants,11,FALSE)</f>
        <v>Hors_Charente</v>
      </c>
      <c r="N162" s="6">
        <v>1</v>
      </c>
      <c r="O162" s="5"/>
      <c r="P162" s="27">
        <v>1</v>
      </c>
      <c r="Q162" s="26"/>
      <c r="R162" s="74"/>
      <c r="S162" s="55"/>
      <c r="T162" s="55"/>
      <c r="U162" s="55"/>
      <c r="V162" s="168">
        <f t="shared" si="9"/>
        <v>1</v>
      </c>
    </row>
    <row r="163" spans="1:22">
      <c r="A163" s="7"/>
      <c r="B163" s="7"/>
      <c r="C163" s="122" t="s">
        <v>301</v>
      </c>
      <c r="D163" s="52" t="str">
        <f>VLOOKUP(C163,[1]!Tableau_cotisants,2,FALSE)</f>
        <v>BOYELDIEU/COUREAUD</v>
      </c>
      <c r="E163" s="52" t="str">
        <f>VLOOKUP(C163,[1]!Tableau_cotisants,3,FALSE)</f>
        <v>LEYMAT (enfant gardé)</v>
      </c>
      <c r="F163" s="52" t="str">
        <f>VLOOKUP(C163,[1]!Tableau_cotisants,4,FALSE)</f>
        <v>Eden</v>
      </c>
      <c r="G163" s="53">
        <f>VLOOKUP(C163,[1]!Tableau_cotisants,5,FALSE)</f>
        <v>0</v>
      </c>
      <c r="H163" s="52">
        <f>VLOOKUP(C163,[1]!Tableau_cotisants,6,FALSE)</f>
        <v>1</v>
      </c>
      <c r="I163" s="52">
        <f>VLOOKUP(C163,[1]!Tableau_cotisants,7,FALSE)</f>
        <v>0</v>
      </c>
      <c r="J163" s="54">
        <f>VLOOKUP(C163,[1]!Tableau_cotisants,8,FALSE)</f>
        <v>42552</v>
      </c>
      <c r="K163" s="54" t="str">
        <f t="shared" si="8"/>
        <v>3 an(s) 0 mois et 0 jour(s)</v>
      </c>
      <c r="L163" s="52" t="str">
        <f>VLOOKUP(C163,[1]!Tableau_cotisants,10,FALSE)</f>
        <v>Salignac-sur-Charente</v>
      </c>
      <c r="M163" s="53" t="str">
        <f>VLOOKUP(C163,[1]!Tableau_cotisants,11,FALSE)</f>
        <v>Hors_Charente</v>
      </c>
      <c r="N163" s="6">
        <v>1</v>
      </c>
      <c r="O163" s="5"/>
      <c r="P163" s="27">
        <v>1</v>
      </c>
      <c r="Q163" s="26"/>
      <c r="R163" s="74"/>
      <c r="S163" s="55"/>
      <c r="T163" s="55"/>
      <c r="U163" s="55"/>
      <c r="V163" s="168">
        <f t="shared" si="9"/>
        <v>1</v>
      </c>
    </row>
    <row r="164" spans="1:22">
      <c r="A164" s="7"/>
      <c r="B164" s="7"/>
      <c r="C164" s="122" t="s">
        <v>302</v>
      </c>
      <c r="D164" s="52" t="str">
        <f>VLOOKUP(C164,[1]!Tableau_cotisants,2,FALSE)</f>
        <v>BOYELDIEU/COUREAUD</v>
      </c>
      <c r="E164" s="52" t="str">
        <f>VLOOKUP(C164,[1]!Tableau_cotisants,3,FALSE)</f>
        <v>LEYMAT (enfant gardé)</v>
      </c>
      <c r="F164" s="52" t="str">
        <f>VLOOKUP(C164,[1]!Tableau_cotisants,4,FALSE)</f>
        <v>Ethan</v>
      </c>
      <c r="G164" s="53">
        <f>VLOOKUP(C164,[1]!Tableau_cotisants,5,FALSE)</f>
        <v>0</v>
      </c>
      <c r="H164" s="52">
        <f>VLOOKUP(C164,[1]!Tableau_cotisants,6,FALSE)</f>
        <v>0</v>
      </c>
      <c r="I164" s="52">
        <f>VLOOKUP(C164,[1]!Tableau_cotisants,7,FALSE)</f>
        <v>1</v>
      </c>
      <c r="J164" s="54">
        <f>VLOOKUP(C164,[1]!Tableau_cotisants,8,FALSE)</f>
        <v>43009</v>
      </c>
      <c r="K164" s="54" t="str">
        <f t="shared" si="8"/>
        <v>1 an(s) 9 mois et 0 jour(s)</v>
      </c>
      <c r="L164" s="52" t="str">
        <f>VLOOKUP(C164,[1]!Tableau_cotisants,10,FALSE)</f>
        <v>Salignac-sur-Charente</v>
      </c>
      <c r="M164" s="53" t="str">
        <f>VLOOKUP(C164,[1]!Tableau_cotisants,11,FALSE)</f>
        <v>Hors_Charente</v>
      </c>
      <c r="N164" s="6">
        <v>1</v>
      </c>
      <c r="O164" s="5"/>
      <c r="P164" s="27">
        <v>1</v>
      </c>
      <c r="Q164" s="26"/>
      <c r="R164" s="74"/>
      <c r="S164" s="55"/>
      <c r="T164" s="55"/>
      <c r="U164" s="55"/>
      <c r="V164" s="168">
        <f t="shared" si="9"/>
        <v>1</v>
      </c>
    </row>
    <row r="165" spans="1:22">
      <c r="A165" s="172"/>
      <c r="B165" s="171"/>
      <c r="C165" s="111" t="s">
        <v>172</v>
      </c>
      <c r="D165" s="56" t="str">
        <f>VLOOKUP(C165,[1]!Tableau_cotisants,2,FALSE)</f>
        <v>DUFFAU_LAGAROSSE</v>
      </c>
      <c r="E165" s="56" t="str">
        <f>VLOOKUP(C165,[1]!Tableau_cotisants,3,FALSE)</f>
        <v>GARCIA</v>
      </c>
      <c r="F165" s="56" t="str">
        <f>VLOOKUP(C165,[1]!Tableau_cotisants,4,FALSE)</f>
        <v>Stéphanie</v>
      </c>
      <c r="G165" s="57">
        <f>VLOOKUP(C165,[1]!Tableau_cotisants,5,FALSE)</f>
        <v>0</v>
      </c>
      <c r="H165" s="56">
        <f>VLOOKUP(C165,[1]!Tableau_cotisants,6,FALSE)</f>
        <v>1</v>
      </c>
      <c r="I165" s="56">
        <f>VLOOKUP(C165,[1]!Tableau_cotisants,7,FALSE)</f>
        <v>0</v>
      </c>
      <c r="J165" s="58">
        <f>VLOOKUP(C165,[1]!Tableau_cotisants,8,FALSE)</f>
        <v>30715</v>
      </c>
      <c r="K165" s="54" t="str">
        <f t="shared" si="8"/>
        <v>35 an(s) 4 mois et 28 jour(s)</v>
      </c>
      <c r="L165" s="56" t="str">
        <f>VLOOKUP(C165,[1]!Tableau_cotisants,10,FALSE)</f>
        <v>GENSAC LA PALLUE</v>
      </c>
      <c r="M165" s="57" t="str">
        <f>VLOOKUP(C165,[1]!Tableau_cotisants,11,FALSE)</f>
        <v>Champagne</v>
      </c>
      <c r="N165" s="6"/>
      <c r="O165" s="5">
        <v>1</v>
      </c>
      <c r="P165" s="27">
        <v>1</v>
      </c>
      <c r="Q165" s="26"/>
      <c r="R165" s="74"/>
      <c r="S165" s="55"/>
      <c r="T165" s="55"/>
      <c r="U165" s="55"/>
      <c r="V165" s="168">
        <f t="shared" si="9"/>
        <v>1</v>
      </c>
    </row>
    <row r="166" spans="1:22">
      <c r="A166" s="172"/>
      <c r="B166" s="171"/>
      <c r="C166" s="111" t="s">
        <v>172</v>
      </c>
      <c r="D166" s="52" t="str">
        <f>VLOOKUP(C166,[1]!Tableau_cotisants,2,FALSE)</f>
        <v>DUFFAU_LAGAROSSE</v>
      </c>
      <c r="E166" s="52" t="str">
        <f>VLOOKUP(C166,[1]!Tableau_cotisants,3,FALSE)</f>
        <v>GARCIA</v>
      </c>
      <c r="F166" s="52" t="str">
        <f>VLOOKUP(C166,[1]!Tableau_cotisants,4,FALSE)</f>
        <v>Stéphanie</v>
      </c>
      <c r="G166" s="53">
        <f>VLOOKUP(C166,[1]!Tableau_cotisants,5,FALSE)</f>
        <v>0</v>
      </c>
      <c r="H166" s="52">
        <f>VLOOKUP(C166,[1]!Tableau_cotisants,6,FALSE)</f>
        <v>1</v>
      </c>
      <c r="I166" s="52">
        <f>VLOOKUP(C166,[1]!Tableau_cotisants,7,FALSE)</f>
        <v>0</v>
      </c>
      <c r="J166" s="54">
        <f>VLOOKUP(C166,[1]!Tableau_cotisants,8,FALSE)</f>
        <v>30715</v>
      </c>
      <c r="K166" s="54" t="str">
        <f t="shared" si="8"/>
        <v>35 an(s) 4 mois et 28 jour(s)</v>
      </c>
      <c r="L166" s="52" t="str">
        <f>VLOOKUP(C166,[1]!Tableau_cotisants,10,FALSE)</f>
        <v>GENSAC LA PALLUE</v>
      </c>
      <c r="M166" s="53" t="str">
        <f>VLOOKUP(C166,[1]!Tableau_cotisants,11,FALSE)</f>
        <v>Champagne</v>
      </c>
      <c r="N166" s="6">
        <v>1</v>
      </c>
      <c r="O166" s="5"/>
      <c r="P166" s="27"/>
      <c r="Q166" s="26"/>
      <c r="R166" s="74">
        <v>1</v>
      </c>
      <c r="S166" s="55"/>
      <c r="T166" s="55"/>
      <c r="U166" s="55"/>
      <c r="V166" s="168">
        <f t="shared" si="9"/>
        <v>1</v>
      </c>
    </row>
    <row r="167" spans="1:22">
      <c r="A167" s="7"/>
      <c r="B167" s="7"/>
      <c r="C167" s="111" t="s">
        <v>172</v>
      </c>
      <c r="D167" s="56" t="str">
        <f>VLOOKUP(C167,[1]!Tableau_cotisants,2,FALSE)</f>
        <v>DUFFAU_LAGAROSSE</v>
      </c>
      <c r="E167" s="56" t="str">
        <f>VLOOKUP(C167,[1]!Tableau_cotisants,3,FALSE)</f>
        <v>GARCIA</v>
      </c>
      <c r="F167" s="56" t="str">
        <f>VLOOKUP(C167,[1]!Tableau_cotisants,4,FALSE)</f>
        <v>Stéphanie</v>
      </c>
      <c r="G167" s="57">
        <f>VLOOKUP(C167,[1]!Tableau_cotisants,5,FALSE)</f>
        <v>0</v>
      </c>
      <c r="H167" s="56">
        <f>VLOOKUP(C167,[1]!Tableau_cotisants,6,FALSE)</f>
        <v>1</v>
      </c>
      <c r="I167" s="56">
        <f>VLOOKUP(C167,[1]!Tableau_cotisants,7,FALSE)</f>
        <v>0</v>
      </c>
      <c r="J167" s="58">
        <f>VLOOKUP(C167,[1]!Tableau_cotisants,8,FALSE)</f>
        <v>30715</v>
      </c>
      <c r="K167" s="54" t="str">
        <f t="shared" si="8"/>
        <v>35 an(s) 4 mois et 28 jour(s)</v>
      </c>
      <c r="L167" s="56" t="str">
        <f>VLOOKUP(C167,[1]!Tableau_cotisants,10,FALSE)</f>
        <v>GENSAC LA PALLUE</v>
      </c>
      <c r="M167" s="57" t="str">
        <f>VLOOKUP(C167,[1]!Tableau_cotisants,11,FALSE)</f>
        <v>Champagne</v>
      </c>
      <c r="N167" s="6"/>
      <c r="O167" s="5">
        <v>1</v>
      </c>
      <c r="P167" s="27">
        <v>1</v>
      </c>
      <c r="Q167" s="26"/>
      <c r="R167" s="74"/>
      <c r="S167" s="55"/>
      <c r="T167" s="55"/>
      <c r="U167" s="55"/>
      <c r="V167" s="168">
        <f t="shared" si="9"/>
        <v>1</v>
      </c>
    </row>
    <row r="168" spans="1:22">
      <c r="A168" s="172"/>
      <c r="B168" s="171"/>
      <c r="C168" s="111" t="s">
        <v>173</v>
      </c>
      <c r="D168" s="56" t="str">
        <f>VLOOKUP(C168,[1]!Tableau_cotisants,2,FALSE)</f>
        <v>DUFFAU_LAGAROSSE</v>
      </c>
      <c r="E168" s="56" t="str">
        <f>VLOOKUP(C168,[1]!Tableau_cotisants,3,FALSE)</f>
        <v>DUFFAU_LAGAROSSE</v>
      </c>
      <c r="F168" s="56" t="str">
        <f>VLOOKUP(C168,[1]!Tableau_cotisants,4,FALSE)</f>
        <v>Jean</v>
      </c>
      <c r="G168" s="57">
        <f>VLOOKUP(C168,[1]!Tableau_cotisants,5,FALSE)</f>
        <v>0</v>
      </c>
      <c r="H168" s="56">
        <f>VLOOKUP(C168,[1]!Tableau_cotisants,6,FALSE)</f>
        <v>0</v>
      </c>
      <c r="I168" s="56">
        <f>VLOOKUP(C168,[1]!Tableau_cotisants,7,FALSE)</f>
        <v>1</v>
      </c>
      <c r="J168" s="58">
        <f>VLOOKUP(C168,[1]!Tableau_cotisants,8,FALSE)</f>
        <v>41861</v>
      </c>
      <c r="K168" s="54" t="str">
        <f t="shared" si="8"/>
        <v>4 an(s) 10 mois et 21 jour(s)</v>
      </c>
      <c r="L168" s="56" t="str">
        <f>VLOOKUP(C168,[1]!Tableau_cotisants,10,FALSE)</f>
        <v>GENSAC LA PALLUE</v>
      </c>
      <c r="M168" s="57" t="str">
        <f>VLOOKUP(C168,[1]!Tableau_cotisants,11,FALSE)</f>
        <v>Champagne</v>
      </c>
      <c r="N168" s="6"/>
      <c r="O168" s="5">
        <v>1</v>
      </c>
      <c r="P168" s="27">
        <v>1</v>
      </c>
      <c r="Q168" s="26"/>
      <c r="R168" s="74"/>
      <c r="S168" s="55"/>
      <c r="T168" s="55"/>
      <c r="U168" s="55"/>
      <c r="V168" s="168">
        <f t="shared" si="9"/>
        <v>1</v>
      </c>
    </row>
    <row r="169" spans="1:22">
      <c r="A169" s="172"/>
      <c r="B169" s="171"/>
      <c r="C169" s="111" t="s">
        <v>173</v>
      </c>
      <c r="D169" s="52" t="str">
        <f>VLOOKUP(C169,[1]!Tableau_cotisants,2,FALSE)</f>
        <v>DUFFAU_LAGAROSSE</v>
      </c>
      <c r="E169" s="52" t="str">
        <f>VLOOKUP(C169,[1]!Tableau_cotisants,3,FALSE)</f>
        <v>DUFFAU_LAGAROSSE</v>
      </c>
      <c r="F169" s="52" t="str">
        <f>VLOOKUP(C169,[1]!Tableau_cotisants,4,FALSE)</f>
        <v>Jean</v>
      </c>
      <c r="G169" s="53">
        <f>VLOOKUP(C169,[1]!Tableau_cotisants,5,FALSE)</f>
        <v>0</v>
      </c>
      <c r="H169" s="52">
        <f>VLOOKUP(C169,[1]!Tableau_cotisants,6,FALSE)</f>
        <v>0</v>
      </c>
      <c r="I169" s="52">
        <f>VLOOKUP(C169,[1]!Tableau_cotisants,7,FALSE)</f>
        <v>1</v>
      </c>
      <c r="J169" s="54">
        <f>VLOOKUP(C169,[1]!Tableau_cotisants,8,FALSE)</f>
        <v>41861</v>
      </c>
      <c r="K169" s="54" t="str">
        <f t="shared" si="8"/>
        <v>4 an(s) 10 mois et 21 jour(s)</v>
      </c>
      <c r="L169" s="52" t="str">
        <f>VLOOKUP(C169,[1]!Tableau_cotisants,10,FALSE)</f>
        <v>GENSAC LA PALLUE</v>
      </c>
      <c r="M169" s="53" t="str">
        <f>VLOOKUP(C169,[1]!Tableau_cotisants,11,FALSE)</f>
        <v>Champagne</v>
      </c>
      <c r="N169" s="6">
        <v>1</v>
      </c>
      <c r="O169" s="5"/>
      <c r="P169" s="27"/>
      <c r="Q169" s="26"/>
      <c r="R169" s="74">
        <v>1</v>
      </c>
      <c r="S169" s="55"/>
      <c r="T169" s="55"/>
      <c r="U169" s="55"/>
      <c r="V169" s="168">
        <f t="shared" si="9"/>
        <v>1</v>
      </c>
    </row>
    <row r="170" spans="1:22">
      <c r="A170" s="7"/>
      <c r="B170" s="7"/>
      <c r="C170" s="111" t="s">
        <v>173</v>
      </c>
      <c r="D170" s="56" t="str">
        <f>VLOOKUP(C170,[1]!Tableau_cotisants,2,FALSE)</f>
        <v>DUFFAU_LAGAROSSE</v>
      </c>
      <c r="E170" s="56" t="str">
        <f>VLOOKUP(C170,[1]!Tableau_cotisants,3,FALSE)</f>
        <v>DUFFAU_LAGAROSSE</v>
      </c>
      <c r="F170" s="56" t="str">
        <f>VLOOKUP(C170,[1]!Tableau_cotisants,4,FALSE)</f>
        <v>Jean</v>
      </c>
      <c r="G170" s="57">
        <f>VLOOKUP(C170,[1]!Tableau_cotisants,5,FALSE)</f>
        <v>0</v>
      </c>
      <c r="H170" s="56">
        <f>VLOOKUP(C170,[1]!Tableau_cotisants,6,FALSE)</f>
        <v>0</v>
      </c>
      <c r="I170" s="56">
        <f>VLOOKUP(C170,[1]!Tableau_cotisants,7,FALSE)</f>
        <v>1</v>
      </c>
      <c r="J170" s="58">
        <f>VLOOKUP(C170,[1]!Tableau_cotisants,8,FALSE)</f>
        <v>41861</v>
      </c>
      <c r="K170" s="54" t="str">
        <f t="shared" si="8"/>
        <v>4 an(s) 10 mois et 21 jour(s)</v>
      </c>
      <c r="L170" s="56" t="str">
        <f>VLOOKUP(C170,[1]!Tableau_cotisants,10,FALSE)</f>
        <v>GENSAC LA PALLUE</v>
      </c>
      <c r="M170" s="57" t="str">
        <f>VLOOKUP(C170,[1]!Tableau_cotisants,11,FALSE)</f>
        <v>Champagne</v>
      </c>
      <c r="N170" s="6"/>
      <c r="O170" s="5">
        <v>1</v>
      </c>
      <c r="P170" s="27">
        <v>1</v>
      </c>
      <c r="Q170" s="26"/>
      <c r="R170" s="74"/>
      <c r="S170" s="55"/>
      <c r="T170" s="55"/>
      <c r="U170" s="55"/>
      <c r="V170" s="168">
        <f t="shared" si="9"/>
        <v>1</v>
      </c>
    </row>
    <row r="171" spans="1:22">
      <c r="A171" s="172"/>
      <c r="B171" s="171"/>
      <c r="C171" s="111" t="s">
        <v>174</v>
      </c>
      <c r="D171" s="56" t="str">
        <f>VLOOKUP(C171,[1]!Tableau_cotisants,2,FALSE)</f>
        <v>DUFFAU_LAGAROSSE</v>
      </c>
      <c r="E171" s="56" t="str">
        <f>VLOOKUP(C171,[1]!Tableau_cotisants,3,FALSE)</f>
        <v>DUFFAU_LAGAROSSE</v>
      </c>
      <c r="F171" s="56" t="str">
        <f>VLOOKUP(C171,[1]!Tableau_cotisants,4,FALSE)</f>
        <v>Clovis</v>
      </c>
      <c r="G171" s="57">
        <f>VLOOKUP(C171,[1]!Tableau_cotisants,5,FALSE)</f>
        <v>0</v>
      </c>
      <c r="H171" s="56">
        <f>VLOOKUP(C171,[1]!Tableau_cotisants,6,FALSE)</f>
        <v>0</v>
      </c>
      <c r="I171" s="56">
        <f>VLOOKUP(C171,[1]!Tableau_cotisants,7,FALSE)</f>
        <v>1</v>
      </c>
      <c r="J171" s="58">
        <f>VLOOKUP(C171,[1]!Tableau_cotisants,8,FALSE)</f>
        <v>42693</v>
      </c>
      <c r="K171" s="54" t="str">
        <f t="shared" si="8"/>
        <v>2 an(s) 7 mois et 12 jour(s)</v>
      </c>
      <c r="L171" s="56" t="str">
        <f>VLOOKUP(C171,[1]!Tableau_cotisants,10,FALSE)</f>
        <v>GENSAC LA PALLUE</v>
      </c>
      <c r="M171" s="57" t="str">
        <f>VLOOKUP(C171,[1]!Tableau_cotisants,11,FALSE)</f>
        <v>Champagne</v>
      </c>
      <c r="N171" s="6"/>
      <c r="O171" s="5">
        <v>1</v>
      </c>
      <c r="P171" s="27">
        <v>1</v>
      </c>
      <c r="Q171" s="26"/>
      <c r="R171" s="74"/>
      <c r="S171" s="55"/>
      <c r="T171" s="55"/>
      <c r="U171" s="55"/>
      <c r="V171" s="168">
        <f t="shared" si="9"/>
        <v>1</v>
      </c>
    </row>
    <row r="172" spans="1:22">
      <c r="A172" s="7"/>
      <c r="B172" s="7"/>
      <c r="C172" s="111" t="s">
        <v>174</v>
      </c>
      <c r="D172" s="52" t="str">
        <f>VLOOKUP(C172,[1]!Tableau_cotisants,2,FALSE)</f>
        <v>DUFFAU_LAGAROSSE</v>
      </c>
      <c r="E172" s="52" t="str">
        <f>VLOOKUP(C172,[1]!Tableau_cotisants,3,FALSE)</f>
        <v>DUFFAU_LAGAROSSE</v>
      </c>
      <c r="F172" s="52" t="str">
        <f>VLOOKUP(C172,[1]!Tableau_cotisants,4,FALSE)</f>
        <v>Clovis</v>
      </c>
      <c r="G172" s="53">
        <f>VLOOKUP(C172,[1]!Tableau_cotisants,5,FALSE)</f>
        <v>0</v>
      </c>
      <c r="H172" s="52">
        <f>VLOOKUP(C172,[1]!Tableau_cotisants,6,FALSE)</f>
        <v>0</v>
      </c>
      <c r="I172" s="52">
        <f>VLOOKUP(C172,[1]!Tableau_cotisants,7,FALSE)</f>
        <v>1</v>
      </c>
      <c r="J172" s="54">
        <f>VLOOKUP(C172,[1]!Tableau_cotisants,8,FALSE)</f>
        <v>42693</v>
      </c>
      <c r="K172" s="54" t="str">
        <f t="shared" si="8"/>
        <v>2 an(s) 7 mois et 12 jour(s)</v>
      </c>
      <c r="L172" s="52" t="str">
        <f>VLOOKUP(C172,[1]!Tableau_cotisants,10,FALSE)</f>
        <v>GENSAC LA PALLUE</v>
      </c>
      <c r="M172" s="53" t="str">
        <f>VLOOKUP(C172,[1]!Tableau_cotisants,11,FALSE)</f>
        <v>Champagne</v>
      </c>
      <c r="N172" s="6">
        <v>1</v>
      </c>
      <c r="O172" s="5"/>
      <c r="P172" s="27"/>
      <c r="Q172" s="26"/>
      <c r="R172" s="74">
        <v>1</v>
      </c>
      <c r="S172" s="55"/>
      <c r="T172" s="55"/>
      <c r="U172" s="55"/>
      <c r="V172" s="168">
        <f t="shared" si="9"/>
        <v>1</v>
      </c>
    </row>
    <row r="173" spans="1:22">
      <c r="A173" s="7"/>
      <c r="B173" s="7"/>
      <c r="C173" s="111" t="s">
        <v>174</v>
      </c>
      <c r="D173" s="56" t="str">
        <f>VLOOKUP(C173,[1]!Tableau_cotisants,2,FALSE)</f>
        <v>DUFFAU_LAGAROSSE</v>
      </c>
      <c r="E173" s="56" t="str">
        <f>VLOOKUP(C173,[1]!Tableau_cotisants,3,FALSE)</f>
        <v>DUFFAU_LAGAROSSE</v>
      </c>
      <c r="F173" s="56" t="str">
        <f>VLOOKUP(C173,[1]!Tableau_cotisants,4,FALSE)</f>
        <v>Clovis</v>
      </c>
      <c r="G173" s="57">
        <f>VLOOKUP(C173,[1]!Tableau_cotisants,5,FALSE)</f>
        <v>0</v>
      </c>
      <c r="H173" s="56">
        <f>VLOOKUP(C173,[1]!Tableau_cotisants,6,FALSE)</f>
        <v>0</v>
      </c>
      <c r="I173" s="56">
        <f>VLOOKUP(C173,[1]!Tableau_cotisants,7,FALSE)</f>
        <v>1</v>
      </c>
      <c r="J173" s="58">
        <f>VLOOKUP(C173,[1]!Tableau_cotisants,8,FALSE)</f>
        <v>42693</v>
      </c>
      <c r="K173" s="54" t="str">
        <f t="shared" si="8"/>
        <v>2 an(s) 7 mois et 12 jour(s)</v>
      </c>
      <c r="L173" s="56" t="str">
        <f>VLOOKUP(C173,[1]!Tableau_cotisants,10,FALSE)</f>
        <v>GENSAC LA PALLUE</v>
      </c>
      <c r="M173" s="57" t="str">
        <f>VLOOKUP(C173,[1]!Tableau_cotisants,11,FALSE)</f>
        <v>Champagne</v>
      </c>
      <c r="N173" s="6"/>
      <c r="O173" s="5">
        <v>1</v>
      </c>
      <c r="P173" s="27">
        <v>1</v>
      </c>
      <c r="Q173" s="26"/>
      <c r="R173" s="74"/>
      <c r="S173" s="55"/>
      <c r="T173" s="55"/>
      <c r="U173" s="55"/>
      <c r="V173" s="168">
        <f t="shared" si="9"/>
        <v>1</v>
      </c>
    </row>
    <row r="174" spans="1:22">
      <c r="A174" s="7"/>
      <c r="B174" s="7"/>
      <c r="C174" s="111" t="s">
        <v>201</v>
      </c>
      <c r="D174" s="56" t="str">
        <f>VLOOKUP(C174,[1]!Tableau_cotisants,2,FALSE)</f>
        <v>DUFFAU_LAGAROSSE</v>
      </c>
      <c r="E174" s="56" t="str">
        <f>VLOOKUP(C174,[1]!Tableau_cotisants,3,FALSE)</f>
        <v>DUFFAU_LAGAROSSE</v>
      </c>
      <c r="F174" s="56" t="str">
        <f>VLOOKUP(C174,[1]!Tableau_cotisants,4,FALSE)</f>
        <v>Corentin</v>
      </c>
      <c r="G174" s="57">
        <f>VLOOKUP(C174,[1]!Tableau_cotisants,5,FALSE)</f>
        <v>0</v>
      </c>
      <c r="H174" s="56">
        <f>VLOOKUP(C174,[1]!Tableau_cotisants,6,FALSE)</f>
        <v>0</v>
      </c>
      <c r="I174" s="56">
        <f>VLOOKUP(C174,[1]!Tableau_cotisants,7,FALSE)</f>
        <v>1</v>
      </c>
      <c r="J174" s="58">
        <f>VLOOKUP(C174,[1]!Tableau_cotisants,8,FALSE)</f>
        <v>32564</v>
      </c>
      <c r="K174" s="54" t="str">
        <f t="shared" si="8"/>
        <v>30 an(s) 4 mois et 6 jour(s)</v>
      </c>
      <c r="L174" s="56" t="str">
        <f>VLOOKUP(C174,[1]!Tableau_cotisants,10,FALSE)</f>
        <v>GENSAC LA PALLUE</v>
      </c>
      <c r="M174" s="57" t="str">
        <f>VLOOKUP(C174,[1]!Tableau_cotisants,11,FALSE)</f>
        <v>Champagne</v>
      </c>
      <c r="N174" s="6"/>
      <c r="O174" s="5">
        <v>1</v>
      </c>
      <c r="P174" s="27">
        <v>1</v>
      </c>
      <c r="Q174" s="26"/>
      <c r="R174" s="74"/>
      <c r="S174" s="55"/>
      <c r="T174" s="55"/>
      <c r="U174" s="55"/>
      <c r="V174" s="168">
        <f t="shared" si="9"/>
        <v>1</v>
      </c>
    </row>
    <row r="175" spans="1:22">
      <c r="A175" s="172"/>
      <c r="B175" s="171"/>
      <c r="C175" s="132" t="s">
        <v>155</v>
      </c>
      <c r="D175" s="52" t="str">
        <f>VLOOKUP(C175,[1]!Tableau_cotisants,2,FALSE)</f>
        <v>DEDEBAN</v>
      </c>
      <c r="E175" s="52" t="str">
        <f>VLOOKUP(C175,[1]!Tableau_cotisants,3,FALSE)</f>
        <v>DEDEBAN</v>
      </c>
      <c r="F175" s="52" t="str">
        <f>VLOOKUP(C175,[1]!Tableau_cotisants,4,FALSE)</f>
        <v>Julie</v>
      </c>
      <c r="G175" s="53">
        <f>VLOOKUP(C175,[1]!Tableau_cotisants,5,FALSE)</f>
        <v>0</v>
      </c>
      <c r="H175" s="52">
        <f>VLOOKUP(C175,[1]!Tableau_cotisants,6,FALSE)</f>
        <v>1</v>
      </c>
      <c r="I175" s="52">
        <f>VLOOKUP(C175,[1]!Tableau_cotisants,7,FALSE)</f>
        <v>0</v>
      </c>
      <c r="J175" s="54">
        <f>VLOOKUP(C175,[1]!Tableau_cotisants,8,FALSE)</f>
        <v>29812</v>
      </c>
      <c r="K175" s="54" t="str">
        <f t="shared" si="8"/>
        <v>37 an(s) 10 mois et 17 jour(s)</v>
      </c>
      <c r="L175" s="52" t="str">
        <f>VLOOKUP(C175,[1]!Tableau_cotisants,10,FALSE)</f>
        <v>GENTE</v>
      </c>
      <c r="M175" s="53" t="str">
        <f>VLOOKUP(C175,[1]!Tableau_cotisants,11,FALSE)</f>
        <v>Champagne</v>
      </c>
      <c r="N175" s="99"/>
      <c r="O175" s="57">
        <v>1</v>
      </c>
      <c r="P175" s="68"/>
      <c r="Q175" s="191">
        <v>1</v>
      </c>
      <c r="R175" s="193"/>
      <c r="S175" s="55"/>
      <c r="T175" s="55"/>
      <c r="U175" s="55"/>
      <c r="V175" s="168">
        <f t="shared" si="9"/>
        <v>1</v>
      </c>
    </row>
    <row r="176" spans="1:22">
      <c r="A176" s="172"/>
      <c r="B176" s="171"/>
      <c r="C176" s="120" t="s">
        <v>130</v>
      </c>
      <c r="D176" s="52" t="str">
        <f>VLOOKUP(C176,[1]!Tableau_cotisants,2,FALSE)</f>
        <v>DESSET</v>
      </c>
      <c r="E176" s="52" t="str">
        <f>VLOOKUP(C176,[1]!Tableau_cotisants,3,FALSE)</f>
        <v>DESSET</v>
      </c>
      <c r="F176" s="52" t="str">
        <f>VLOOKUP(C176,[1]!Tableau_cotisants,4,FALSE)</f>
        <v>Yelena</v>
      </c>
      <c r="G176" s="53">
        <f>VLOOKUP(C176,[1]!Tableau_cotisants,5,FALSE)</f>
        <v>0</v>
      </c>
      <c r="H176" s="52">
        <f>VLOOKUP(C176,[1]!Tableau_cotisants,6,FALSE)</f>
        <v>1</v>
      </c>
      <c r="I176" s="52">
        <f>VLOOKUP(C176,[1]!Tableau_cotisants,7,FALSE)</f>
        <v>0</v>
      </c>
      <c r="J176" s="54">
        <f>VLOOKUP(C176,[1]!Tableau_cotisants,8,FALSE)</f>
        <v>40596</v>
      </c>
      <c r="K176" s="54" t="str">
        <f t="shared" si="8"/>
        <v>8 an(s) 4 mois et 9 jour(s)</v>
      </c>
      <c r="L176" s="52" t="str">
        <f>VLOOKUP(C176,[1]!Tableau_cotisants,10,FALSE)</f>
        <v>BOURG-CHARENTE</v>
      </c>
      <c r="M176" s="53" t="str">
        <f>VLOOKUP(C176,[1]!Tableau_cotisants,11,FALSE)</f>
        <v>Jarnac</v>
      </c>
      <c r="N176" s="53">
        <v>1</v>
      </c>
      <c r="O176" s="57"/>
      <c r="P176" s="68"/>
      <c r="Q176" s="191"/>
      <c r="R176" s="193">
        <v>1</v>
      </c>
      <c r="S176" s="55"/>
      <c r="T176" s="55"/>
      <c r="U176" s="55"/>
      <c r="V176" s="168">
        <f t="shared" si="9"/>
        <v>1</v>
      </c>
    </row>
    <row r="177" spans="1:22">
      <c r="A177" s="7"/>
      <c r="B177" s="7"/>
      <c r="C177" s="176" t="s">
        <v>291</v>
      </c>
      <c r="D177" s="52" t="str">
        <f>VLOOKUP(C177,[1]!Tableau_cotisants,2,FALSE)</f>
        <v>DESSET</v>
      </c>
      <c r="E177" s="52" t="str">
        <f>VLOOKUP(C177,[1]!Tableau_cotisants,3,FALSE)</f>
        <v>DESSET</v>
      </c>
      <c r="F177" s="52" t="str">
        <f>VLOOKUP(C177,[1]!Tableau_cotisants,4,FALSE)</f>
        <v>Yekaterina</v>
      </c>
      <c r="G177" s="53">
        <f>VLOOKUP(C177,[1]!Tableau_cotisants,5,FALSE)</f>
        <v>0</v>
      </c>
      <c r="H177" s="52">
        <f>VLOOKUP(C177,[1]!Tableau_cotisants,6,FALSE)</f>
        <v>1</v>
      </c>
      <c r="I177" s="52">
        <f>VLOOKUP(C177,[1]!Tableau_cotisants,7,FALSE)</f>
        <v>0</v>
      </c>
      <c r="J177" s="54">
        <f>VLOOKUP(C177,[1]!Tableau_cotisants,8,FALSE)</f>
        <v>41502</v>
      </c>
      <c r="K177" s="54" t="str">
        <f t="shared" si="8"/>
        <v>5 an(s) 10 mois et 15 jour(s)</v>
      </c>
      <c r="L177" s="52" t="str">
        <f>VLOOKUP(C177,[1]!Tableau_cotisants,10,FALSE)</f>
        <v>BOURG-CHARENTE</v>
      </c>
      <c r="M177" s="53" t="str">
        <f>VLOOKUP(C177,[1]!Tableau_cotisants,11,FALSE)</f>
        <v>Jarnac</v>
      </c>
      <c r="N177" s="6">
        <v>1</v>
      </c>
      <c r="O177" s="5"/>
      <c r="P177" s="27"/>
      <c r="Q177" s="26"/>
      <c r="R177" s="74">
        <v>1</v>
      </c>
      <c r="S177" s="55"/>
      <c r="T177" s="55"/>
      <c r="U177" s="55"/>
      <c r="V177" s="168">
        <f t="shared" si="9"/>
        <v>1</v>
      </c>
    </row>
    <row r="178" spans="1:22">
      <c r="A178" s="172"/>
      <c r="B178" s="171"/>
      <c r="C178" s="176" t="s">
        <v>131</v>
      </c>
      <c r="D178" s="52" t="str">
        <f>VLOOKUP(C178,[1]!Tableau_cotisants,2,FALSE)</f>
        <v>DESSET</v>
      </c>
      <c r="E178" s="52" t="str">
        <f>VLOOKUP(C178,[1]!Tableau_cotisants,3,FALSE)</f>
        <v>MARTINEZ PONCE</v>
      </c>
      <c r="F178" s="52" t="str">
        <f>VLOOKUP(C178,[1]!Tableau_cotisants,4,FALSE)</f>
        <v>Valentina</v>
      </c>
      <c r="G178" s="53">
        <f>VLOOKUP(C178,[1]!Tableau_cotisants,5,FALSE)</f>
        <v>0</v>
      </c>
      <c r="H178" s="52">
        <f>VLOOKUP(C178,[1]!Tableau_cotisants,6,FALSE)</f>
        <v>1</v>
      </c>
      <c r="I178" s="52">
        <f>VLOOKUP(C178,[1]!Tableau_cotisants,7,FALSE)</f>
        <v>0</v>
      </c>
      <c r="J178" s="54">
        <f>VLOOKUP(C178,[1]!Tableau_cotisants,8,FALSE)</f>
        <v>36516</v>
      </c>
      <c r="K178" s="54" t="str">
        <f t="shared" si="8"/>
        <v>19 an(s) 6 mois et 9 jour(s)</v>
      </c>
      <c r="L178" s="52" t="str">
        <f>VLOOKUP(C178,[1]!Tableau_cotisants,10,FALSE)</f>
        <v>BOURG-CHARENTE</v>
      </c>
      <c r="M178" s="53" t="str">
        <f>VLOOKUP(C178,[1]!Tableau_cotisants,11,FALSE)</f>
        <v>Jarnac</v>
      </c>
      <c r="N178" s="53">
        <v>1</v>
      </c>
      <c r="O178" s="57"/>
      <c r="P178" s="68"/>
      <c r="Q178" s="191"/>
      <c r="R178" s="193">
        <v>1</v>
      </c>
      <c r="S178" s="55"/>
      <c r="T178" s="55"/>
      <c r="U178" s="55"/>
      <c r="V178" s="168">
        <f t="shared" si="9"/>
        <v>1</v>
      </c>
    </row>
    <row r="179" spans="1:22">
      <c r="A179" s="7"/>
      <c r="B179" s="7"/>
      <c r="C179" s="176" t="s">
        <v>131</v>
      </c>
      <c r="D179" s="52" t="str">
        <f>VLOOKUP(C179,[1]!Tableau_cotisants,2,FALSE)</f>
        <v>DESSET</v>
      </c>
      <c r="E179" s="52" t="str">
        <f>VLOOKUP(C179,[1]!Tableau_cotisants,3,FALSE)</f>
        <v>MARTINEZ PONCE</v>
      </c>
      <c r="F179" s="52" t="str">
        <f>VLOOKUP(C179,[1]!Tableau_cotisants,4,FALSE)</f>
        <v>Valentina</v>
      </c>
      <c r="G179" s="53">
        <f>VLOOKUP(C179,[1]!Tableau_cotisants,5,FALSE)</f>
        <v>0</v>
      </c>
      <c r="H179" s="52">
        <f>VLOOKUP(C179,[1]!Tableau_cotisants,6,FALSE)</f>
        <v>1</v>
      </c>
      <c r="I179" s="52">
        <f>VLOOKUP(C179,[1]!Tableau_cotisants,7,FALSE)</f>
        <v>0</v>
      </c>
      <c r="J179" s="54">
        <f>VLOOKUP(C179,[1]!Tableau_cotisants,8,FALSE)</f>
        <v>36516</v>
      </c>
      <c r="K179" s="54" t="str">
        <f t="shared" si="8"/>
        <v>19 an(s) 6 mois et 9 jour(s)</v>
      </c>
      <c r="L179" s="52" t="str">
        <f>VLOOKUP(C179,[1]!Tableau_cotisants,10,FALSE)</f>
        <v>BOURG-CHARENTE</v>
      </c>
      <c r="M179" s="53" t="str">
        <f>VLOOKUP(C179,[1]!Tableau_cotisants,11,FALSE)</f>
        <v>Jarnac</v>
      </c>
      <c r="N179" s="6">
        <v>1</v>
      </c>
      <c r="O179" s="5"/>
      <c r="P179" s="27"/>
      <c r="Q179" s="26"/>
      <c r="R179" s="74">
        <v>1</v>
      </c>
      <c r="S179" s="55"/>
      <c r="T179" s="55"/>
      <c r="U179" s="55"/>
      <c r="V179" s="168">
        <f t="shared" si="9"/>
        <v>1</v>
      </c>
    </row>
    <row r="180" spans="1:22">
      <c r="A180" s="7"/>
      <c r="B180" s="7"/>
      <c r="C180" s="177" t="s">
        <v>196</v>
      </c>
      <c r="D180" s="52" t="str">
        <f>VLOOKUP(C180,[1]!Tableau_cotisants,2,FALSE)</f>
        <v>EYMARD/LEHOUX</v>
      </c>
      <c r="E180" s="52" t="str">
        <f>VLOOKUP(C180,[1]!Tableau_cotisants,3,FALSE)</f>
        <v>LEHOUX</v>
      </c>
      <c r="F180" s="52" t="str">
        <f>VLOOKUP(C180,[1]!Tableau_cotisants,4,FALSE)</f>
        <v>Mélanie</v>
      </c>
      <c r="G180" s="53">
        <f>VLOOKUP(C180,[1]!Tableau_cotisants,5,FALSE)</f>
        <v>0</v>
      </c>
      <c r="H180" s="52">
        <f>VLOOKUP(C180,[1]!Tableau_cotisants,6,FALSE)</f>
        <v>1</v>
      </c>
      <c r="I180" s="52">
        <f>VLOOKUP(C180,[1]!Tableau_cotisants,7,FALSE)</f>
        <v>0</v>
      </c>
      <c r="J180" s="54">
        <f>VLOOKUP(C180,[1]!Tableau_cotisants,8,FALSE)</f>
        <v>29361</v>
      </c>
      <c r="K180" s="54" t="str">
        <f t="shared" si="8"/>
        <v>39 an(s) 1 mois et 11 jour(s)</v>
      </c>
      <c r="L180" s="52" t="str">
        <f>VLOOKUP(C180,[1]!Tableau_cotisants,10,FALSE)</f>
        <v>SEGONZAC</v>
      </c>
      <c r="M180" s="53" t="str">
        <f>VLOOKUP(C180,[1]!Tableau_cotisants,11,FALSE)</f>
        <v>Champagne</v>
      </c>
      <c r="N180" s="6">
        <v>1</v>
      </c>
      <c r="O180" s="5"/>
      <c r="P180" s="27">
        <v>1</v>
      </c>
      <c r="Q180" s="26"/>
      <c r="R180" s="74"/>
      <c r="S180" s="55"/>
      <c r="T180" s="55"/>
      <c r="U180" s="55"/>
      <c r="V180" s="168">
        <f t="shared" si="9"/>
        <v>1</v>
      </c>
    </row>
    <row r="181" spans="1:22">
      <c r="A181" s="7"/>
      <c r="B181" s="7"/>
      <c r="C181" s="177" t="s">
        <v>196</v>
      </c>
      <c r="D181" s="56" t="str">
        <f>VLOOKUP(C181,[1]!Tableau_cotisants,2,FALSE)</f>
        <v>EYMARD/LEHOUX</v>
      </c>
      <c r="E181" s="56" t="str">
        <f>VLOOKUP(C181,[1]!Tableau_cotisants,3,FALSE)</f>
        <v>LEHOUX</v>
      </c>
      <c r="F181" s="56" t="str">
        <f>VLOOKUP(C181,[1]!Tableau_cotisants,4,FALSE)</f>
        <v>Mélanie</v>
      </c>
      <c r="G181" s="57">
        <f>VLOOKUP(C181,[1]!Tableau_cotisants,5,FALSE)</f>
        <v>0</v>
      </c>
      <c r="H181" s="56">
        <f>VLOOKUP(C181,[1]!Tableau_cotisants,6,FALSE)</f>
        <v>1</v>
      </c>
      <c r="I181" s="56">
        <f>VLOOKUP(C181,[1]!Tableau_cotisants,7,FALSE)</f>
        <v>0</v>
      </c>
      <c r="J181" s="58">
        <f>VLOOKUP(C181,[1]!Tableau_cotisants,8,FALSE)</f>
        <v>29361</v>
      </c>
      <c r="K181" s="54" t="str">
        <f t="shared" si="8"/>
        <v>39 an(s) 1 mois et 11 jour(s)</v>
      </c>
      <c r="L181" s="56" t="str">
        <f>VLOOKUP(C181,[1]!Tableau_cotisants,10,FALSE)</f>
        <v>SEGONZAC</v>
      </c>
      <c r="M181" s="57" t="str">
        <f>VLOOKUP(C181,[1]!Tableau_cotisants,11,FALSE)</f>
        <v>Champagne</v>
      </c>
      <c r="N181" s="6"/>
      <c r="O181" s="5">
        <v>1</v>
      </c>
      <c r="P181" s="27"/>
      <c r="Q181" s="26">
        <v>1</v>
      </c>
      <c r="R181" s="74"/>
      <c r="S181" s="55"/>
      <c r="T181" s="55"/>
      <c r="U181" s="55"/>
      <c r="V181" s="168">
        <f t="shared" si="9"/>
        <v>1</v>
      </c>
    </row>
    <row r="182" spans="1:22">
      <c r="A182" s="7"/>
      <c r="B182" s="7"/>
      <c r="C182" s="111" t="s">
        <v>221</v>
      </c>
      <c r="D182" s="56" t="str">
        <f>VLOOKUP(C182,[1]!Tableau_cotisants,2,FALSE)</f>
        <v>EYMARD/LEHOUX</v>
      </c>
      <c r="E182" s="56" t="str">
        <f>VLOOKUP(C182,[1]!Tableau_cotisants,3,FALSE)</f>
        <v>EYMARD</v>
      </c>
      <c r="F182" s="56" t="str">
        <f>VLOOKUP(C182,[1]!Tableau_cotisants,4,FALSE)</f>
        <v>Léo</v>
      </c>
      <c r="G182" s="57">
        <f>VLOOKUP(C182,[1]!Tableau_cotisants,5,FALSE)</f>
        <v>0</v>
      </c>
      <c r="H182" s="56">
        <f>VLOOKUP(C182,[1]!Tableau_cotisants,6,FALSE)</f>
        <v>0</v>
      </c>
      <c r="I182" s="56">
        <f>VLOOKUP(C182,[1]!Tableau_cotisants,7,FALSE)</f>
        <v>1</v>
      </c>
      <c r="J182" s="58">
        <f>VLOOKUP(C182,[1]!Tableau_cotisants,8,FALSE)</f>
        <v>41196</v>
      </c>
      <c r="K182" s="54" t="str">
        <f t="shared" si="8"/>
        <v>6 an(s) 8 mois et 17 jour(s)</v>
      </c>
      <c r="L182" s="56" t="str">
        <f>VLOOKUP(C182,[1]!Tableau_cotisants,10,FALSE)</f>
        <v>SEGONZAC</v>
      </c>
      <c r="M182" s="57" t="str">
        <f>VLOOKUP(C182,[1]!Tableau_cotisants,11,FALSE)</f>
        <v>Champagne</v>
      </c>
      <c r="N182" s="6"/>
      <c r="O182" s="5">
        <v>1</v>
      </c>
      <c r="P182" s="27"/>
      <c r="Q182" s="26">
        <v>1</v>
      </c>
      <c r="R182" s="74"/>
      <c r="S182" s="55"/>
      <c r="T182" s="55"/>
      <c r="U182" s="55"/>
      <c r="V182" s="168">
        <f t="shared" si="9"/>
        <v>1</v>
      </c>
    </row>
    <row r="183" spans="1:22">
      <c r="A183" s="7"/>
      <c r="B183" s="7"/>
      <c r="C183" s="111" t="s">
        <v>222</v>
      </c>
      <c r="D183" s="56" t="str">
        <f>VLOOKUP(C183,[1]!Tableau_cotisants,2,FALSE)</f>
        <v>EYMARD/LEHOUX</v>
      </c>
      <c r="E183" s="56" t="str">
        <f>VLOOKUP(C183,[1]!Tableau_cotisants,3,FALSE)</f>
        <v>EYMARD</v>
      </c>
      <c r="F183" s="56" t="str">
        <f>VLOOKUP(C183,[1]!Tableau_cotisants,4,FALSE)</f>
        <v>Victoire</v>
      </c>
      <c r="G183" s="57">
        <f>VLOOKUP(C183,[1]!Tableau_cotisants,5,FALSE)</f>
        <v>0</v>
      </c>
      <c r="H183" s="56">
        <f>VLOOKUP(C183,[1]!Tableau_cotisants,6,FALSE)</f>
        <v>1</v>
      </c>
      <c r="I183" s="56">
        <f>VLOOKUP(C183,[1]!Tableau_cotisants,7,FALSE)</f>
        <v>0</v>
      </c>
      <c r="J183" s="58">
        <f>VLOOKUP(C183,[1]!Tableau_cotisants,8,FALSE)</f>
        <v>41603</v>
      </c>
      <c r="K183" s="54" t="str">
        <f t="shared" si="8"/>
        <v>5 an(s) 7 mois et 6 jour(s)</v>
      </c>
      <c r="L183" s="56" t="str">
        <f>VLOOKUP(C183,[1]!Tableau_cotisants,10,FALSE)</f>
        <v>SEGONZAC</v>
      </c>
      <c r="M183" s="57" t="str">
        <f>VLOOKUP(C183,[1]!Tableau_cotisants,11,FALSE)</f>
        <v>Champagne</v>
      </c>
      <c r="N183" s="6"/>
      <c r="O183" s="5">
        <v>1</v>
      </c>
      <c r="P183" s="27"/>
      <c r="Q183" s="26">
        <v>1</v>
      </c>
      <c r="R183" s="74"/>
      <c r="S183" s="55"/>
      <c r="T183" s="55"/>
      <c r="U183" s="55"/>
      <c r="V183" s="168">
        <f t="shared" si="9"/>
        <v>1</v>
      </c>
    </row>
    <row r="184" spans="1:22">
      <c r="A184" s="7"/>
      <c r="B184" s="7"/>
      <c r="C184" s="111" t="s">
        <v>197</v>
      </c>
      <c r="D184" s="52" t="str">
        <f>VLOOKUP(C184,[1]!Tableau_cotisants,2,FALSE)</f>
        <v>EYMARD/LEHOUX</v>
      </c>
      <c r="E184" s="52" t="str">
        <f>VLOOKUP(C184,[1]!Tableau_cotisants,3,FALSE)</f>
        <v>EYMARD</v>
      </c>
      <c r="F184" s="52" t="str">
        <f>VLOOKUP(C184,[1]!Tableau_cotisants,4,FALSE)</f>
        <v>Marius</v>
      </c>
      <c r="G184" s="53">
        <f>VLOOKUP(C184,[1]!Tableau_cotisants,5,FALSE)</f>
        <v>0</v>
      </c>
      <c r="H184" s="52">
        <f>VLOOKUP(C184,[1]!Tableau_cotisants,6,FALSE)</f>
        <v>0</v>
      </c>
      <c r="I184" s="52">
        <f>VLOOKUP(C184,[1]!Tableau_cotisants,7,FALSE)</f>
        <v>1</v>
      </c>
      <c r="J184" s="54">
        <f>VLOOKUP(C184,[1]!Tableau_cotisants,8,FALSE)</f>
        <v>43320</v>
      </c>
      <c r="K184" s="54" t="str">
        <f t="shared" si="8"/>
        <v>0 an(s) 10 mois et 23 jour(s)</v>
      </c>
      <c r="L184" s="52" t="str">
        <f>VLOOKUP(C184,[1]!Tableau_cotisants,10,FALSE)</f>
        <v>SEGONZAC</v>
      </c>
      <c r="M184" s="53" t="str">
        <f>VLOOKUP(C184,[1]!Tableau_cotisants,11,FALSE)</f>
        <v>Champagne</v>
      </c>
      <c r="N184" s="6">
        <v>1</v>
      </c>
      <c r="O184" s="5"/>
      <c r="P184" s="27">
        <v>1</v>
      </c>
      <c r="Q184" s="26"/>
      <c r="R184" s="74"/>
      <c r="S184" s="55"/>
      <c r="T184" s="55"/>
      <c r="U184" s="55"/>
      <c r="V184" s="168">
        <f t="shared" si="9"/>
        <v>1</v>
      </c>
    </row>
    <row r="185" spans="1:22">
      <c r="A185" s="7"/>
      <c r="B185" s="7"/>
      <c r="C185" s="111" t="s">
        <v>197</v>
      </c>
      <c r="D185" s="56" t="str">
        <f>VLOOKUP(C185,[1]!Tableau_cotisants,2,FALSE)</f>
        <v>EYMARD/LEHOUX</v>
      </c>
      <c r="E185" s="56" t="str">
        <f>VLOOKUP(C185,[1]!Tableau_cotisants,3,FALSE)</f>
        <v>EYMARD</v>
      </c>
      <c r="F185" s="56" t="str">
        <f>VLOOKUP(C185,[1]!Tableau_cotisants,4,FALSE)</f>
        <v>Marius</v>
      </c>
      <c r="G185" s="57">
        <f>VLOOKUP(C185,[1]!Tableau_cotisants,5,FALSE)</f>
        <v>0</v>
      </c>
      <c r="H185" s="56">
        <f>VLOOKUP(C185,[1]!Tableau_cotisants,6,FALSE)</f>
        <v>0</v>
      </c>
      <c r="I185" s="56">
        <f>VLOOKUP(C185,[1]!Tableau_cotisants,7,FALSE)</f>
        <v>1</v>
      </c>
      <c r="J185" s="58">
        <f>VLOOKUP(C185,[1]!Tableau_cotisants,8,FALSE)</f>
        <v>43320</v>
      </c>
      <c r="K185" s="54" t="str">
        <f t="shared" si="8"/>
        <v>0 an(s) 10 mois et 23 jour(s)</v>
      </c>
      <c r="L185" s="56" t="str">
        <f>VLOOKUP(C185,[1]!Tableau_cotisants,10,FALSE)</f>
        <v>SEGONZAC</v>
      </c>
      <c r="M185" s="57" t="str">
        <f>VLOOKUP(C185,[1]!Tableau_cotisants,11,FALSE)</f>
        <v>Champagne</v>
      </c>
      <c r="N185" s="6"/>
      <c r="O185" s="5">
        <v>1</v>
      </c>
      <c r="P185" s="27"/>
      <c r="Q185" s="26">
        <v>1</v>
      </c>
      <c r="R185" s="74"/>
      <c r="S185" s="55"/>
      <c r="T185" s="55"/>
      <c r="U185" s="55"/>
      <c r="V185" s="168">
        <f t="shared" si="9"/>
        <v>1</v>
      </c>
    </row>
    <row r="186" spans="1:22">
      <c r="A186" s="7"/>
      <c r="B186" s="7"/>
      <c r="C186" s="189" t="s">
        <v>198</v>
      </c>
      <c r="D186" s="56" t="str">
        <f>VLOOKUP(C186,[1]!Tableau_cotisants,2,FALSE)</f>
        <v>LOISEL/ROY</v>
      </c>
      <c r="E186" s="56" t="str">
        <f>VLOOKUP(C186,[1]!Tableau_cotisants,3,FALSE)</f>
        <v>LOISEL</v>
      </c>
      <c r="F186" s="56" t="str">
        <f>VLOOKUP(C186,[1]!Tableau_cotisants,4,FALSE)</f>
        <v>Romain</v>
      </c>
      <c r="G186" s="57">
        <f>VLOOKUP(C186,[1]!Tableau_cotisants,5,FALSE)</f>
        <v>0</v>
      </c>
      <c r="H186" s="56">
        <f>VLOOKUP(C186,[1]!Tableau_cotisants,6,FALSE)</f>
        <v>0</v>
      </c>
      <c r="I186" s="56">
        <f>VLOOKUP(C186,[1]!Tableau_cotisants,7,FALSE)</f>
        <v>1</v>
      </c>
      <c r="J186" s="58">
        <f>VLOOKUP(C186,[1]!Tableau_cotisants,8,FALSE)</f>
        <v>29789</v>
      </c>
      <c r="K186" s="54" t="str">
        <f t="shared" si="8"/>
        <v>37 an(s) 11 mois et 9 jour(s)</v>
      </c>
      <c r="L186" s="56" t="str">
        <f>VLOOKUP(C186,[1]!Tableau_cotisants,10,FALSE)</f>
        <v>GENTE</v>
      </c>
      <c r="M186" s="57" t="str">
        <f>VLOOKUP(C186,[1]!Tableau_cotisants,11,FALSE)</f>
        <v>Champagne</v>
      </c>
      <c r="N186" s="6"/>
      <c r="O186" s="5">
        <v>1</v>
      </c>
      <c r="P186" s="27"/>
      <c r="Q186" s="26">
        <v>1</v>
      </c>
      <c r="R186" s="74"/>
      <c r="S186" s="55"/>
      <c r="T186" s="55"/>
      <c r="U186" s="55"/>
      <c r="V186" s="168">
        <f t="shared" si="9"/>
        <v>1</v>
      </c>
    </row>
    <row r="187" spans="1:22">
      <c r="A187" s="7"/>
      <c r="B187" s="7"/>
      <c r="C187" s="103" t="s">
        <v>279</v>
      </c>
      <c r="D187" s="52" t="str">
        <f>VLOOKUP(C187,[1]!Tableau_cotisants,2,FALSE)</f>
        <v>LOUVET</v>
      </c>
      <c r="E187" s="52" t="str">
        <f>VLOOKUP(C187,[1]!Tableau_cotisants,3,FALSE)</f>
        <v>LOUVET</v>
      </c>
      <c r="F187" s="52" t="str">
        <f>VLOOKUP(C187,[1]!Tableau_cotisants,4,FALSE)</f>
        <v>Anne-Sophie</v>
      </c>
      <c r="G187" s="53">
        <f>VLOOKUP(C187,[1]!Tableau_cotisants,5,FALSE)</f>
        <v>0</v>
      </c>
      <c r="H187" s="52">
        <f>VLOOKUP(C187,[1]!Tableau_cotisants,6,FALSE)</f>
        <v>1</v>
      </c>
      <c r="I187" s="52">
        <f>VLOOKUP(C187,[1]!Tableau_cotisants,7,FALSE)</f>
        <v>0</v>
      </c>
      <c r="J187" s="54">
        <f>VLOOKUP(C187,[1]!Tableau_cotisants,8,FALSE)</f>
        <v>21832</v>
      </c>
      <c r="K187" s="54" t="str">
        <f t="shared" si="8"/>
        <v>59 an(s) 8 mois et 22 jour(s)</v>
      </c>
      <c r="L187" s="52" t="str">
        <f>VLOOKUP(C187,[1]!Tableau_cotisants,10,FALSE)</f>
        <v>SEGONZAC</v>
      </c>
      <c r="M187" s="53" t="str">
        <f>VLOOKUP(C187,[1]!Tableau_cotisants,11,FALSE)</f>
        <v>Champagne</v>
      </c>
      <c r="N187" s="6">
        <v>1</v>
      </c>
      <c r="O187" s="5"/>
      <c r="P187" s="27"/>
      <c r="Q187" s="26"/>
      <c r="R187" s="74">
        <v>1</v>
      </c>
      <c r="S187" s="55"/>
      <c r="T187" s="55"/>
      <c r="U187" s="55"/>
      <c r="V187" s="168">
        <f t="shared" si="9"/>
        <v>1</v>
      </c>
    </row>
    <row r="188" spans="1:22">
      <c r="A188" s="7"/>
      <c r="B188" s="7"/>
      <c r="C188" s="103" t="s">
        <v>280</v>
      </c>
      <c r="D188" s="52" t="str">
        <f>VLOOKUP(C188,[1]!Tableau_cotisants,2,FALSE)</f>
        <v>LOUVET</v>
      </c>
      <c r="E188" s="52" t="str">
        <f>VLOOKUP(C188,[1]!Tableau_cotisants,3,FALSE)</f>
        <v>FREDES</v>
      </c>
      <c r="F188" s="52" t="str">
        <f>VLOOKUP(C188,[1]!Tableau_cotisants,4,FALSE)</f>
        <v>Fausto</v>
      </c>
      <c r="G188" s="53">
        <f>VLOOKUP(C188,[1]!Tableau_cotisants,5,FALSE)</f>
        <v>0</v>
      </c>
      <c r="H188" s="52">
        <f>VLOOKUP(C188,[1]!Tableau_cotisants,6,FALSE)</f>
        <v>0</v>
      </c>
      <c r="I188" s="52">
        <f>VLOOKUP(C188,[1]!Tableau_cotisants,7,FALSE)</f>
        <v>1</v>
      </c>
      <c r="J188" s="54">
        <f>VLOOKUP(C188,[1]!Tableau_cotisants,8,FALSE)</f>
        <v>40080</v>
      </c>
      <c r="K188" s="54" t="str">
        <f t="shared" si="8"/>
        <v>9 an(s) 9 mois et 7 jour(s)</v>
      </c>
      <c r="L188" s="52" t="str">
        <f>VLOOKUP(C188,[1]!Tableau_cotisants,10,FALSE)</f>
        <v>SEGONZAC</v>
      </c>
      <c r="M188" s="53" t="str">
        <f>VLOOKUP(C188,[1]!Tableau_cotisants,11,FALSE)</f>
        <v>Champagne</v>
      </c>
      <c r="N188" s="6">
        <v>1</v>
      </c>
      <c r="O188" s="5"/>
      <c r="P188" s="27"/>
      <c r="Q188" s="26"/>
      <c r="R188" s="74">
        <v>1</v>
      </c>
      <c r="S188" s="55"/>
      <c r="T188" s="55"/>
      <c r="U188" s="55"/>
      <c r="V188" s="168">
        <f t="shared" si="9"/>
        <v>1</v>
      </c>
    </row>
    <row r="189" spans="1:22">
      <c r="A189" s="172"/>
      <c r="B189" s="171"/>
      <c r="C189" s="173" t="s">
        <v>125</v>
      </c>
      <c r="D189" s="52" t="str">
        <f>VLOOKUP(C189,[1]!Tableau_cotisants,2,FALSE)</f>
        <v>SANSAUD/MOREAU</v>
      </c>
      <c r="E189" s="52" t="str">
        <f>VLOOKUP(C189,[1]!Tableau_cotisants,3,FALSE)</f>
        <v>MOREAU</v>
      </c>
      <c r="F189" s="52" t="str">
        <f>VLOOKUP(C189,[1]!Tableau_cotisants,4,FALSE)</f>
        <v>Emmanuelle</v>
      </c>
      <c r="G189" s="53">
        <f>VLOOKUP(C189,[1]!Tableau_cotisants,5,FALSE)</f>
        <v>0</v>
      </c>
      <c r="H189" s="52">
        <f>VLOOKUP(C189,[1]!Tableau_cotisants,6,FALSE)</f>
        <v>1</v>
      </c>
      <c r="I189" s="52">
        <f>VLOOKUP(C189,[1]!Tableau_cotisants,7,FALSE)</f>
        <v>0</v>
      </c>
      <c r="J189" s="54">
        <f>VLOOKUP(C189,[1]!Tableau_cotisants,8,FALSE)</f>
        <v>29187</v>
      </c>
      <c r="K189" s="54" t="str">
        <f t="shared" si="8"/>
        <v>39 an(s) 7 mois et 3 jour(s)</v>
      </c>
      <c r="L189" s="52" t="str">
        <f>VLOOKUP(C189,[1]!Tableau_cotisants,10,FALSE)</f>
        <v>SEGONZAC</v>
      </c>
      <c r="M189" s="53" t="str">
        <f>VLOOKUP(C189,[1]!Tableau_cotisants,11,FALSE)</f>
        <v>Champagne</v>
      </c>
      <c r="N189" s="99"/>
      <c r="O189" s="57">
        <v>1</v>
      </c>
      <c r="P189" s="68">
        <v>1</v>
      </c>
      <c r="Q189" s="191"/>
      <c r="R189" s="193"/>
      <c r="S189" s="55"/>
      <c r="T189" s="55"/>
      <c r="U189" s="55"/>
      <c r="V189" s="168">
        <f t="shared" si="9"/>
        <v>1</v>
      </c>
    </row>
    <row r="190" spans="1:22">
      <c r="A190" s="172"/>
      <c r="B190" s="171"/>
      <c r="C190" s="173" t="s">
        <v>125</v>
      </c>
      <c r="D190" s="56" t="str">
        <f>VLOOKUP(C190,[1]!Tableau_cotisants,2,FALSE)</f>
        <v>SANSAUD/MOREAU</v>
      </c>
      <c r="E190" s="56" t="str">
        <f>VLOOKUP(C190,[1]!Tableau_cotisants,3,FALSE)</f>
        <v>MOREAU</v>
      </c>
      <c r="F190" s="56" t="str">
        <f>VLOOKUP(C190,[1]!Tableau_cotisants,4,FALSE)</f>
        <v>Emmanuelle</v>
      </c>
      <c r="G190" s="57">
        <f>VLOOKUP(C190,[1]!Tableau_cotisants,5,FALSE)</f>
        <v>0</v>
      </c>
      <c r="H190" s="56">
        <f>VLOOKUP(C190,[1]!Tableau_cotisants,6,FALSE)</f>
        <v>1</v>
      </c>
      <c r="I190" s="56">
        <f>VLOOKUP(C190,[1]!Tableau_cotisants,7,FALSE)</f>
        <v>0</v>
      </c>
      <c r="J190" s="58">
        <f>VLOOKUP(C190,[1]!Tableau_cotisants,8,FALSE)</f>
        <v>29187</v>
      </c>
      <c r="K190" s="54" t="str">
        <f t="shared" si="8"/>
        <v>39 an(s) 7 mois et 3 jour(s)</v>
      </c>
      <c r="L190" s="56" t="str">
        <f>VLOOKUP(C190,[1]!Tableau_cotisants,10,FALSE)</f>
        <v>SEGONZAC</v>
      </c>
      <c r="M190" s="57" t="str">
        <f>VLOOKUP(C190,[1]!Tableau_cotisants,11,FALSE)</f>
        <v>Champagne</v>
      </c>
      <c r="N190" s="99"/>
      <c r="O190" s="57">
        <v>1</v>
      </c>
      <c r="P190" s="68"/>
      <c r="Q190" s="191"/>
      <c r="R190" s="193">
        <v>1</v>
      </c>
      <c r="S190" s="55"/>
      <c r="T190" s="55"/>
      <c r="U190" s="55"/>
      <c r="V190" s="168">
        <f t="shared" si="9"/>
        <v>1</v>
      </c>
    </row>
    <row r="191" spans="1:22">
      <c r="A191" s="172"/>
      <c r="B191" s="171"/>
      <c r="C191" s="173" t="s">
        <v>125</v>
      </c>
      <c r="D191" s="56" t="str">
        <f>VLOOKUP(C191,[1]!Tableau_cotisants,2,FALSE)</f>
        <v>SANSAUD/MOREAU</v>
      </c>
      <c r="E191" s="56" t="str">
        <f>VLOOKUP(C191,[1]!Tableau_cotisants,3,FALSE)</f>
        <v>MOREAU</v>
      </c>
      <c r="F191" s="56" t="str">
        <f>VLOOKUP(C191,[1]!Tableau_cotisants,4,FALSE)</f>
        <v>Emmanuelle</v>
      </c>
      <c r="G191" s="57">
        <f>VLOOKUP(C191,[1]!Tableau_cotisants,5,FALSE)</f>
        <v>0</v>
      </c>
      <c r="H191" s="56">
        <f>VLOOKUP(C191,[1]!Tableau_cotisants,6,FALSE)</f>
        <v>1</v>
      </c>
      <c r="I191" s="56">
        <f>VLOOKUP(C191,[1]!Tableau_cotisants,7,FALSE)</f>
        <v>0</v>
      </c>
      <c r="J191" s="58">
        <f>VLOOKUP(C191,[1]!Tableau_cotisants,8,FALSE)</f>
        <v>29187</v>
      </c>
      <c r="K191" s="54" t="str">
        <f t="shared" si="8"/>
        <v>39 an(s) 7 mois et 3 jour(s)</v>
      </c>
      <c r="L191" s="56" t="str">
        <f>VLOOKUP(C191,[1]!Tableau_cotisants,10,FALSE)</f>
        <v>SEGONZAC</v>
      </c>
      <c r="M191" s="57" t="str">
        <f>VLOOKUP(C191,[1]!Tableau_cotisants,11,FALSE)</f>
        <v>Champagne</v>
      </c>
      <c r="N191" s="6"/>
      <c r="O191" s="5">
        <v>1</v>
      </c>
      <c r="P191" s="27"/>
      <c r="Q191" s="26"/>
      <c r="R191" s="74">
        <v>1</v>
      </c>
      <c r="S191" s="55"/>
      <c r="T191" s="55"/>
      <c r="U191" s="55"/>
      <c r="V191" s="168">
        <f t="shared" si="9"/>
        <v>1</v>
      </c>
    </row>
    <row r="192" spans="1:22">
      <c r="A192" s="172"/>
      <c r="B192" s="171"/>
      <c r="C192" s="173" t="s">
        <v>125</v>
      </c>
      <c r="D192" s="56" t="str">
        <f>VLOOKUP(C192,[1]!Tableau_cotisants,2,FALSE)</f>
        <v>SANSAUD/MOREAU</v>
      </c>
      <c r="E192" s="56" t="str">
        <f>VLOOKUP(C192,[1]!Tableau_cotisants,3,FALSE)</f>
        <v>MOREAU</v>
      </c>
      <c r="F192" s="56" t="str">
        <f>VLOOKUP(C192,[1]!Tableau_cotisants,4,FALSE)</f>
        <v>Emmanuelle</v>
      </c>
      <c r="G192" s="57">
        <f>VLOOKUP(C192,[1]!Tableau_cotisants,5,FALSE)</f>
        <v>0</v>
      </c>
      <c r="H192" s="56">
        <f>VLOOKUP(C192,[1]!Tableau_cotisants,6,FALSE)</f>
        <v>1</v>
      </c>
      <c r="I192" s="56">
        <f>VLOOKUP(C192,[1]!Tableau_cotisants,7,FALSE)</f>
        <v>0</v>
      </c>
      <c r="J192" s="58">
        <f>VLOOKUP(C192,[1]!Tableau_cotisants,8,FALSE)</f>
        <v>29187</v>
      </c>
      <c r="K192" s="54" t="str">
        <f t="shared" si="8"/>
        <v>39 an(s) 7 mois et 3 jour(s)</v>
      </c>
      <c r="L192" s="56" t="str">
        <f>VLOOKUP(C192,[1]!Tableau_cotisants,10,FALSE)</f>
        <v>SEGONZAC</v>
      </c>
      <c r="M192" s="57" t="str">
        <f>VLOOKUP(C192,[1]!Tableau_cotisants,11,FALSE)</f>
        <v>Champagne</v>
      </c>
      <c r="N192" s="6"/>
      <c r="O192" s="5">
        <v>1</v>
      </c>
      <c r="P192" s="27">
        <v>1</v>
      </c>
      <c r="Q192" s="26"/>
      <c r="R192" s="74"/>
      <c r="S192" s="55"/>
      <c r="T192" s="55"/>
      <c r="U192" s="55"/>
      <c r="V192" s="168">
        <f t="shared" si="9"/>
        <v>1</v>
      </c>
    </row>
    <row r="193" spans="1:22">
      <c r="A193" s="7"/>
      <c r="B193" s="7"/>
      <c r="C193" s="173" t="s">
        <v>125</v>
      </c>
      <c r="D193" s="56" t="str">
        <f>VLOOKUP(C193,[1]!Tableau_cotisants,2,FALSE)</f>
        <v>SANSAUD/MOREAU</v>
      </c>
      <c r="E193" s="56" t="str">
        <f>VLOOKUP(C193,[1]!Tableau_cotisants,3,FALSE)</f>
        <v>MOREAU</v>
      </c>
      <c r="F193" s="56" t="str">
        <f>VLOOKUP(C193,[1]!Tableau_cotisants,4,FALSE)</f>
        <v>Emmanuelle</v>
      </c>
      <c r="G193" s="57">
        <f>VLOOKUP(C193,[1]!Tableau_cotisants,5,FALSE)</f>
        <v>0</v>
      </c>
      <c r="H193" s="56">
        <f>VLOOKUP(C193,[1]!Tableau_cotisants,6,FALSE)</f>
        <v>1</v>
      </c>
      <c r="I193" s="56">
        <f>VLOOKUP(C193,[1]!Tableau_cotisants,7,FALSE)</f>
        <v>0</v>
      </c>
      <c r="J193" s="58">
        <f>VLOOKUP(C193,[1]!Tableau_cotisants,8,FALSE)</f>
        <v>29187</v>
      </c>
      <c r="K193" s="54" t="str">
        <f t="shared" si="8"/>
        <v>39 an(s) 7 mois et 3 jour(s)</v>
      </c>
      <c r="L193" s="56" t="str">
        <f>VLOOKUP(C193,[1]!Tableau_cotisants,10,FALSE)</f>
        <v>SEGONZAC</v>
      </c>
      <c r="M193" s="57" t="str">
        <f>VLOOKUP(C193,[1]!Tableau_cotisants,11,FALSE)</f>
        <v>Champagne</v>
      </c>
      <c r="N193" s="6"/>
      <c r="O193" s="5">
        <v>1</v>
      </c>
      <c r="P193" s="27"/>
      <c r="Q193" s="26"/>
      <c r="R193" s="74">
        <v>1</v>
      </c>
      <c r="S193" s="55"/>
      <c r="T193" s="55"/>
      <c r="U193" s="55"/>
      <c r="V193" s="168">
        <f t="shared" si="9"/>
        <v>1</v>
      </c>
    </row>
    <row r="194" spans="1:22">
      <c r="A194" s="7"/>
      <c r="B194" s="7"/>
      <c r="C194" s="173" t="s">
        <v>125</v>
      </c>
      <c r="D194" s="56" t="str">
        <f>VLOOKUP(C194,[1]!Tableau_cotisants,2,FALSE)</f>
        <v>SANSAUD/MOREAU</v>
      </c>
      <c r="E194" s="56" t="str">
        <f>VLOOKUP(C194,[1]!Tableau_cotisants,3,FALSE)</f>
        <v>MOREAU</v>
      </c>
      <c r="F194" s="56" t="str">
        <f>VLOOKUP(C194,[1]!Tableau_cotisants,4,FALSE)</f>
        <v>Emmanuelle</v>
      </c>
      <c r="G194" s="57">
        <f>VLOOKUP(C194,[1]!Tableau_cotisants,5,FALSE)</f>
        <v>0</v>
      </c>
      <c r="H194" s="56">
        <f>VLOOKUP(C194,[1]!Tableau_cotisants,6,FALSE)</f>
        <v>1</v>
      </c>
      <c r="I194" s="56">
        <f>VLOOKUP(C194,[1]!Tableau_cotisants,7,FALSE)</f>
        <v>0</v>
      </c>
      <c r="J194" s="58">
        <f>VLOOKUP(C194,[1]!Tableau_cotisants,8,FALSE)</f>
        <v>29187</v>
      </c>
      <c r="K194" s="54" t="str">
        <f t="shared" si="8"/>
        <v>39 an(s) 7 mois et 3 jour(s)</v>
      </c>
      <c r="L194" s="56" t="str">
        <f>VLOOKUP(C194,[1]!Tableau_cotisants,10,FALSE)</f>
        <v>SEGONZAC</v>
      </c>
      <c r="M194" s="57" t="str">
        <f>VLOOKUP(C194,[1]!Tableau_cotisants,11,FALSE)</f>
        <v>Champagne</v>
      </c>
      <c r="N194" s="6"/>
      <c r="O194" s="5">
        <v>1</v>
      </c>
      <c r="P194" s="27"/>
      <c r="Q194" s="26"/>
      <c r="R194" s="74">
        <v>1</v>
      </c>
      <c r="S194" s="55"/>
      <c r="T194" s="55"/>
      <c r="U194" s="55"/>
      <c r="V194" s="168">
        <f t="shared" si="9"/>
        <v>1</v>
      </c>
    </row>
    <row r="195" spans="1:22">
      <c r="A195" s="7"/>
      <c r="B195" s="7"/>
      <c r="C195" s="173" t="s">
        <v>125</v>
      </c>
      <c r="D195" s="56" t="str">
        <f>VLOOKUP(C195,[1]!Tableau_cotisants,2,FALSE)</f>
        <v>SANSAUD/MOREAU</v>
      </c>
      <c r="E195" s="56" t="str">
        <f>VLOOKUP(C195,[1]!Tableau_cotisants,3,FALSE)</f>
        <v>MOREAU</v>
      </c>
      <c r="F195" s="56" t="str">
        <f>VLOOKUP(C195,[1]!Tableau_cotisants,4,FALSE)</f>
        <v>Emmanuelle</v>
      </c>
      <c r="G195" s="57">
        <f>VLOOKUP(C195,[1]!Tableau_cotisants,5,FALSE)</f>
        <v>0</v>
      </c>
      <c r="H195" s="56">
        <f>VLOOKUP(C195,[1]!Tableau_cotisants,6,FALSE)</f>
        <v>1</v>
      </c>
      <c r="I195" s="56">
        <f>VLOOKUP(C195,[1]!Tableau_cotisants,7,FALSE)</f>
        <v>0</v>
      </c>
      <c r="J195" s="58">
        <f>VLOOKUP(C195,[1]!Tableau_cotisants,8,FALSE)</f>
        <v>29187</v>
      </c>
      <c r="K195" s="54" t="str">
        <f t="shared" si="8"/>
        <v>39 an(s) 7 mois et 3 jour(s)</v>
      </c>
      <c r="L195" s="56" t="str">
        <f>VLOOKUP(C195,[1]!Tableau_cotisants,10,FALSE)</f>
        <v>SEGONZAC</v>
      </c>
      <c r="M195" s="57" t="str">
        <f>VLOOKUP(C195,[1]!Tableau_cotisants,11,FALSE)</f>
        <v>Champagne</v>
      </c>
      <c r="N195" s="6"/>
      <c r="O195" s="5">
        <v>1</v>
      </c>
      <c r="P195" s="27">
        <v>1</v>
      </c>
      <c r="Q195" s="26"/>
      <c r="R195" s="74"/>
      <c r="S195" s="55"/>
      <c r="T195" s="55"/>
      <c r="U195" s="55"/>
      <c r="V195" s="168">
        <f t="shared" si="9"/>
        <v>1</v>
      </c>
    </row>
    <row r="196" spans="1:22">
      <c r="A196" s="7"/>
      <c r="B196" s="7"/>
      <c r="C196" s="117" t="s">
        <v>125</v>
      </c>
      <c r="D196" s="56" t="str">
        <f>VLOOKUP(C196,[1]!Tableau_cotisants,2,FALSE)</f>
        <v>SANSAUD/MOREAU</v>
      </c>
      <c r="E196" s="56" t="str">
        <f>VLOOKUP(C196,[1]!Tableau_cotisants,3,FALSE)</f>
        <v>MOREAU</v>
      </c>
      <c r="F196" s="56" t="str">
        <f>VLOOKUP(C196,[1]!Tableau_cotisants,4,FALSE)</f>
        <v>Emmanuelle</v>
      </c>
      <c r="G196" s="57">
        <f>VLOOKUP(C196,[1]!Tableau_cotisants,5,FALSE)</f>
        <v>0</v>
      </c>
      <c r="H196" s="56">
        <f>VLOOKUP(C196,[1]!Tableau_cotisants,6,FALSE)</f>
        <v>1</v>
      </c>
      <c r="I196" s="56">
        <f>VLOOKUP(C196,[1]!Tableau_cotisants,7,FALSE)</f>
        <v>0</v>
      </c>
      <c r="J196" s="58">
        <f>VLOOKUP(C196,[1]!Tableau_cotisants,8,FALSE)</f>
        <v>29187</v>
      </c>
      <c r="K196" s="54" t="str">
        <f t="shared" ref="K196:K259" si="10">DATEDIF(J196,Date_de_reference,"y") &amp; " an(s) " &amp; DATEDIF(J196,Date_de_reference,"ym") &amp; " mois et " &amp; DATEDIF(J196,Date_de_reference,"md") &amp; " jour(s)"</f>
        <v>39 an(s) 7 mois et 3 jour(s)</v>
      </c>
      <c r="L196" s="56" t="str">
        <f>VLOOKUP(C196,[1]!Tableau_cotisants,10,FALSE)</f>
        <v>SEGONZAC</v>
      </c>
      <c r="M196" s="57" t="str">
        <f>VLOOKUP(C196,[1]!Tableau_cotisants,11,FALSE)</f>
        <v>Champagne</v>
      </c>
      <c r="N196" s="6"/>
      <c r="O196" s="5">
        <v>1</v>
      </c>
      <c r="P196" s="27">
        <v>1</v>
      </c>
      <c r="Q196" s="26"/>
      <c r="R196" s="74"/>
      <c r="S196" s="55"/>
      <c r="T196" s="55"/>
      <c r="U196" s="55"/>
      <c r="V196" s="168">
        <f t="shared" ref="V196:V259" si="11">N196+O196</f>
        <v>1</v>
      </c>
    </row>
    <row r="197" spans="1:22">
      <c r="A197" s="7"/>
      <c r="B197" s="7"/>
      <c r="C197" s="117" t="s">
        <v>125</v>
      </c>
      <c r="D197" s="56" t="str">
        <f>VLOOKUP(C197,[1]!Tableau_cotisants,2,FALSE)</f>
        <v>SANSAUD/MOREAU</v>
      </c>
      <c r="E197" s="56" t="str">
        <f>VLOOKUP(C197,[1]!Tableau_cotisants,3,FALSE)</f>
        <v>MOREAU</v>
      </c>
      <c r="F197" s="56" t="str">
        <f>VLOOKUP(C197,[1]!Tableau_cotisants,4,FALSE)</f>
        <v>Emmanuelle</v>
      </c>
      <c r="G197" s="57">
        <f>VLOOKUP(C197,[1]!Tableau_cotisants,5,FALSE)</f>
        <v>0</v>
      </c>
      <c r="H197" s="56">
        <f>VLOOKUP(C197,[1]!Tableau_cotisants,6,FALSE)</f>
        <v>1</v>
      </c>
      <c r="I197" s="56">
        <f>VLOOKUP(C197,[1]!Tableau_cotisants,7,FALSE)</f>
        <v>0</v>
      </c>
      <c r="J197" s="58">
        <f>VLOOKUP(C197,[1]!Tableau_cotisants,8,FALSE)</f>
        <v>29187</v>
      </c>
      <c r="K197" s="54" t="str">
        <f t="shared" si="10"/>
        <v>39 an(s) 7 mois et 3 jour(s)</v>
      </c>
      <c r="L197" s="56" t="str">
        <f>VLOOKUP(C197,[1]!Tableau_cotisants,10,FALSE)</f>
        <v>SEGONZAC</v>
      </c>
      <c r="M197" s="57" t="str">
        <f>VLOOKUP(C197,[1]!Tableau_cotisants,11,FALSE)</f>
        <v>Champagne</v>
      </c>
      <c r="N197" s="6"/>
      <c r="O197" s="5">
        <v>1</v>
      </c>
      <c r="P197" s="27"/>
      <c r="Q197" s="26"/>
      <c r="R197" s="74">
        <v>1</v>
      </c>
      <c r="S197" s="55"/>
      <c r="T197" s="55"/>
      <c r="U197" s="55"/>
      <c r="V197" s="168">
        <f t="shared" si="11"/>
        <v>1</v>
      </c>
    </row>
    <row r="198" spans="1:22">
      <c r="A198" s="7"/>
      <c r="B198" s="7"/>
      <c r="C198" s="117" t="s">
        <v>125</v>
      </c>
      <c r="D198" s="56" t="str">
        <f>VLOOKUP(C198,[1]!Tableau_cotisants,2,FALSE)</f>
        <v>SANSAUD/MOREAU</v>
      </c>
      <c r="E198" s="56" t="str">
        <f>VLOOKUP(C198,[1]!Tableau_cotisants,3,FALSE)</f>
        <v>MOREAU</v>
      </c>
      <c r="F198" s="56" t="str">
        <f>VLOOKUP(C198,[1]!Tableau_cotisants,4,FALSE)</f>
        <v>Emmanuelle</v>
      </c>
      <c r="G198" s="57">
        <f>VLOOKUP(C198,[1]!Tableau_cotisants,5,FALSE)</f>
        <v>0</v>
      </c>
      <c r="H198" s="56">
        <f>VLOOKUP(C198,[1]!Tableau_cotisants,6,FALSE)</f>
        <v>1</v>
      </c>
      <c r="I198" s="56">
        <f>VLOOKUP(C198,[1]!Tableau_cotisants,7,FALSE)</f>
        <v>0</v>
      </c>
      <c r="J198" s="58">
        <f>VLOOKUP(C198,[1]!Tableau_cotisants,8,FALSE)</f>
        <v>29187</v>
      </c>
      <c r="K198" s="54" t="str">
        <f t="shared" si="10"/>
        <v>39 an(s) 7 mois et 3 jour(s)</v>
      </c>
      <c r="L198" s="56" t="str">
        <f>VLOOKUP(C198,[1]!Tableau_cotisants,10,FALSE)</f>
        <v>SEGONZAC</v>
      </c>
      <c r="M198" s="57" t="str">
        <f>VLOOKUP(C198,[1]!Tableau_cotisants,11,FALSE)</f>
        <v>Champagne</v>
      </c>
      <c r="N198" s="6"/>
      <c r="O198" s="5">
        <v>1</v>
      </c>
      <c r="P198" s="27"/>
      <c r="Q198" s="26"/>
      <c r="R198" s="74">
        <v>1</v>
      </c>
      <c r="S198" s="55"/>
      <c r="T198" s="55"/>
      <c r="U198" s="55"/>
      <c r="V198" s="168">
        <f t="shared" si="11"/>
        <v>1</v>
      </c>
    </row>
    <row r="199" spans="1:22">
      <c r="C199" s="117" t="s">
        <v>125</v>
      </c>
      <c r="D199" s="56" t="str">
        <f>VLOOKUP(C199,[1]!Tableau_cotisants,2,FALSE)</f>
        <v>SANSAUD/MOREAU</v>
      </c>
      <c r="E199" s="56" t="str">
        <f>VLOOKUP(C199,[1]!Tableau_cotisants,3,FALSE)</f>
        <v>MOREAU</v>
      </c>
      <c r="F199" s="56" t="str">
        <f>VLOOKUP(C199,[1]!Tableau_cotisants,4,FALSE)</f>
        <v>Emmanuelle</v>
      </c>
      <c r="G199" s="57">
        <f>VLOOKUP(C199,[1]!Tableau_cotisants,5,FALSE)</f>
        <v>0</v>
      </c>
      <c r="H199" s="56">
        <f>VLOOKUP(C199,[1]!Tableau_cotisants,6,FALSE)</f>
        <v>1</v>
      </c>
      <c r="I199" s="56">
        <f>VLOOKUP(C199,[1]!Tableau_cotisants,7,FALSE)</f>
        <v>0</v>
      </c>
      <c r="J199" s="58">
        <f>VLOOKUP(C199,[1]!Tableau_cotisants,8,FALSE)</f>
        <v>29187</v>
      </c>
      <c r="K199" s="54" t="str">
        <f t="shared" si="10"/>
        <v>39 an(s) 7 mois et 3 jour(s)</v>
      </c>
      <c r="L199" s="56" t="str">
        <f>VLOOKUP(C199,[1]!Tableau_cotisants,10,FALSE)</f>
        <v>SEGONZAC</v>
      </c>
      <c r="M199" s="57" t="str">
        <f>VLOOKUP(C199,[1]!Tableau_cotisants,11,FALSE)</f>
        <v>Champagne</v>
      </c>
      <c r="N199" s="6"/>
      <c r="O199" s="5">
        <v>1</v>
      </c>
      <c r="P199" s="27"/>
      <c r="Q199" s="26"/>
      <c r="R199" s="74">
        <v>1</v>
      </c>
      <c r="S199" s="55"/>
      <c r="T199" s="55"/>
      <c r="U199" s="55"/>
      <c r="V199" s="168">
        <f t="shared" si="11"/>
        <v>1</v>
      </c>
    </row>
    <row r="200" spans="1:22">
      <c r="A200" s="172"/>
      <c r="B200" s="171"/>
      <c r="C200" s="117" t="s">
        <v>126</v>
      </c>
      <c r="D200" s="52" t="str">
        <f>VLOOKUP(C200,[1]!Tableau_cotisants,2,FALSE)</f>
        <v>SANSAUD/MOREAU</v>
      </c>
      <c r="E200" s="52" t="str">
        <f>VLOOKUP(C200,[1]!Tableau_cotisants,3,FALSE)</f>
        <v>SANSAUD</v>
      </c>
      <c r="F200" s="52" t="str">
        <f>VLOOKUP(C200,[1]!Tableau_cotisants,4,FALSE)</f>
        <v>Ethan</v>
      </c>
      <c r="G200" s="53">
        <f>VLOOKUP(C200,[1]!Tableau_cotisants,5,FALSE)</f>
        <v>0</v>
      </c>
      <c r="H200" s="52">
        <f>VLOOKUP(C200,[1]!Tableau_cotisants,6,FALSE)</f>
        <v>0</v>
      </c>
      <c r="I200" s="52">
        <f>VLOOKUP(C200,[1]!Tableau_cotisants,7,FALSE)</f>
        <v>1</v>
      </c>
      <c r="J200" s="54">
        <f>VLOOKUP(C200,[1]!Tableau_cotisants,8,FALSE)</f>
        <v>41015</v>
      </c>
      <c r="K200" s="54" t="str">
        <f t="shared" si="10"/>
        <v>7 an(s) 2 mois et 15 jour(s)</v>
      </c>
      <c r="L200" s="52" t="str">
        <f>VLOOKUP(C200,[1]!Tableau_cotisants,10,FALSE)</f>
        <v>SEGONZAC</v>
      </c>
      <c r="M200" s="53" t="str">
        <f>VLOOKUP(C200,[1]!Tableau_cotisants,11,FALSE)</f>
        <v>Champagne</v>
      </c>
      <c r="N200" s="99"/>
      <c r="O200" s="57">
        <v>1</v>
      </c>
      <c r="P200" s="68">
        <v>1</v>
      </c>
      <c r="Q200" s="191"/>
      <c r="R200" s="193"/>
      <c r="S200" s="55"/>
      <c r="T200" s="55"/>
      <c r="U200" s="55"/>
      <c r="V200" s="168">
        <f t="shared" si="11"/>
        <v>1</v>
      </c>
    </row>
    <row r="201" spans="1:22">
      <c r="A201" s="172"/>
      <c r="B201" s="171"/>
      <c r="C201" s="117" t="s">
        <v>126</v>
      </c>
      <c r="D201" s="56" t="str">
        <f>VLOOKUP(C201,[1]!Tableau_cotisants,2,FALSE)</f>
        <v>SANSAUD/MOREAU</v>
      </c>
      <c r="E201" s="56" t="str">
        <f>VLOOKUP(C201,[1]!Tableau_cotisants,3,FALSE)</f>
        <v>SANSAUD</v>
      </c>
      <c r="F201" s="56" t="str">
        <f>VLOOKUP(C201,[1]!Tableau_cotisants,4,FALSE)</f>
        <v>Ethan</v>
      </c>
      <c r="G201" s="57">
        <f>VLOOKUP(C201,[1]!Tableau_cotisants,5,FALSE)</f>
        <v>0</v>
      </c>
      <c r="H201" s="56">
        <f>VLOOKUP(C201,[1]!Tableau_cotisants,6,FALSE)</f>
        <v>0</v>
      </c>
      <c r="I201" s="56">
        <f>VLOOKUP(C201,[1]!Tableau_cotisants,7,FALSE)</f>
        <v>1</v>
      </c>
      <c r="J201" s="58">
        <f>VLOOKUP(C201,[1]!Tableau_cotisants,8,FALSE)</f>
        <v>41015</v>
      </c>
      <c r="K201" s="54" t="str">
        <f t="shared" si="10"/>
        <v>7 an(s) 2 mois et 15 jour(s)</v>
      </c>
      <c r="L201" s="56" t="str">
        <f>VLOOKUP(C201,[1]!Tableau_cotisants,10,FALSE)</f>
        <v>SEGONZAC</v>
      </c>
      <c r="M201" s="57" t="str">
        <f>VLOOKUP(C201,[1]!Tableau_cotisants,11,FALSE)</f>
        <v>Champagne</v>
      </c>
      <c r="N201" s="99"/>
      <c r="O201" s="57">
        <v>1</v>
      </c>
      <c r="P201" s="68"/>
      <c r="Q201" s="191"/>
      <c r="R201" s="193">
        <v>1</v>
      </c>
      <c r="S201" s="55"/>
      <c r="T201" s="55"/>
      <c r="U201" s="55"/>
      <c r="V201" s="168">
        <f t="shared" si="11"/>
        <v>1</v>
      </c>
    </row>
    <row r="202" spans="1:22">
      <c r="A202" s="172"/>
      <c r="B202" s="171"/>
      <c r="C202" s="117" t="s">
        <v>126</v>
      </c>
      <c r="D202" s="56" t="str">
        <f>VLOOKUP(C202,[1]!Tableau_cotisants,2,FALSE)</f>
        <v>SANSAUD/MOREAU</v>
      </c>
      <c r="E202" s="56" t="str">
        <f>VLOOKUP(C202,[1]!Tableau_cotisants,3,FALSE)</f>
        <v>SANSAUD</v>
      </c>
      <c r="F202" s="56" t="str">
        <f>VLOOKUP(C202,[1]!Tableau_cotisants,4,FALSE)</f>
        <v>Ethan</v>
      </c>
      <c r="G202" s="57">
        <f>VLOOKUP(C202,[1]!Tableau_cotisants,5,FALSE)</f>
        <v>0</v>
      </c>
      <c r="H202" s="56">
        <f>VLOOKUP(C202,[1]!Tableau_cotisants,6,FALSE)</f>
        <v>0</v>
      </c>
      <c r="I202" s="56">
        <f>VLOOKUP(C202,[1]!Tableau_cotisants,7,FALSE)</f>
        <v>1</v>
      </c>
      <c r="J202" s="58">
        <f>VLOOKUP(C202,[1]!Tableau_cotisants,8,FALSE)</f>
        <v>41015</v>
      </c>
      <c r="K202" s="54" t="str">
        <f t="shared" si="10"/>
        <v>7 an(s) 2 mois et 15 jour(s)</v>
      </c>
      <c r="L202" s="56" t="str">
        <f>VLOOKUP(C202,[1]!Tableau_cotisants,10,FALSE)</f>
        <v>SEGONZAC</v>
      </c>
      <c r="M202" s="57" t="str">
        <f>VLOOKUP(C202,[1]!Tableau_cotisants,11,FALSE)</f>
        <v>Champagne</v>
      </c>
      <c r="N202" s="6"/>
      <c r="O202" s="5">
        <v>1</v>
      </c>
      <c r="P202" s="27"/>
      <c r="Q202" s="26"/>
      <c r="R202" s="74">
        <v>1</v>
      </c>
      <c r="S202" s="55"/>
      <c r="T202" s="55"/>
      <c r="U202" s="55"/>
      <c r="V202" s="168">
        <f t="shared" si="11"/>
        <v>1</v>
      </c>
    </row>
    <row r="203" spans="1:22">
      <c r="A203" s="172"/>
      <c r="B203" s="171"/>
      <c r="C203" s="117" t="s">
        <v>126</v>
      </c>
      <c r="D203" s="56" t="str">
        <f>VLOOKUP(C203,[1]!Tableau_cotisants,2,FALSE)</f>
        <v>SANSAUD/MOREAU</v>
      </c>
      <c r="E203" s="56" t="str">
        <f>VLOOKUP(C203,[1]!Tableau_cotisants,3,FALSE)</f>
        <v>SANSAUD</v>
      </c>
      <c r="F203" s="56" t="str">
        <f>VLOOKUP(C203,[1]!Tableau_cotisants,4,FALSE)</f>
        <v>Ethan</v>
      </c>
      <c r="G203" s="57">
        <f>VLOOKUP(C203,[1]!Tableau_cotisants,5,FALSE)</f>
        <v>0</v>
      </c>
      <c r="H203" s="56">
        <f>VLOOKUP(C203,[1]!Tableau_cotisants,6,FALSE)</f>
        <v>0</v>
      </c>
      <c r="I203" s="56">
        <f>VLOOKUP(C203,[1]!Tableau_cotisants,7,FALSE)</f>
        <v>1</v>
      </c>
      <c r="J203" s="58">
        <f>VLOOKUP(C203,[1]!Tableau_cotisants,8,FALSE)</f>
        <v>41015</v>
      </c>
      <c r="K203" s="54" t="str">
        <f t="shared" si="10"/>
        <v>7 an(s) 2 mois et 15 jour(s)</v>
      </c>
      <c r="L203" s="56" t="str">
        <f>VLOOKUP(C203,[1]!Tableau_cotisants,10,FALSE)</f>
        <v>SEGONZAC</v>
      </c>
      <c r="M203" s="57" t="str">
        <f>VLOOKUP(C203,[1]!Tableau_cotisants,11,FALSE)</f>
        <v>Champagne</v>
      </c>
      <c r="N203" s="6"/>
      <c r="O203" s="5">
        <v>1</v>
      </c>
      <c r="P203" s="27">
        <v>1</v>
      </c>
      <c r="Q203" s="26"/>
      <c r="R203" s="74"/>
      <c r="S203" s="55"/>
      <c r="T203" s="55"/>
      <c r="U203" s="55"/>
      <c r="V203" s="168">
        <f t="shared" si="11"/>
        <v>1</v>
      </c>
    </row>
    <row r="204" spans="1:22">
      <c r="A204" s="7"/>
      <c r="B204" s="7"/>
      <c r="C204" s="117" t="s">
        <v>126</v>
      </c>
      <c r="D204" s="56" t="str">
        <f>VLOOKUP(C204,[1]!Tableau_cotisants,2,FALSE)</f>
        <v>SANSAUD/MOREAU</v>
      </c>
      <c r="E204" s="56" t="str">
        <f>VLOOKUP(C204,[1]!Tableau_cotisants,3,FALSE)</f>
        <v>SANSAUD</v>
      </c>
      <c r="F204" s="56" t="str">
        <f>VLOOKUP(C204,[1]!Tableau_cotisants,4,FALSE)</f>
        <v>Ethan</v>
      </c>
      <c r="G204" s="57">
        <f>VLOOKUP(C204,[1]!Tableau_cotisants,5,FALSE)</f>
        <v>0</v>
      </c>
      <c r="H204" s="56">
        <f>VLOOKUP(C204,[1]!Tableau_cotisants,6,FALSE)</f>
        <v>0</v>
      </c>
      <c r="I204" s="56">
        <f>VLOOKUP(C204,[1]!Tableau_cotisants,7,FALSE)</f>
        <v>1</v>
      </c>
      <c r="J204" s="58">
        <f>VLOOKUP(C204,[1]!Tableau_cotisants,8,FALSE)</f>
        <v>41015</v>
      </c>
      <c r="K204" s="54" t="str">
        <f t="shared" si="10"/>
        <v>7 an(s) 2 mois et 15 jour(s)</v>
      </c>
      <c r="L204" s="56" t="str">
        <f>VLOOKUP(C204,[1]!Tableau_cotisants,10,FALSE)</f>
        <v>SEGONZAC</v>
      </c>
      <c r="M204" s="57" t="str">
        <f>VLOOKUP(C204,[1]!Tableau_cotisants,11,FALSE)</f>
        <v>Champagne</v>
      </c>
      <c r="N204" s="6"/>
      <c r="O204" s="5">
        <v>1</v>
      </c>
      <c r="P204" s="27"/>
      <c r="Q204" s="26"/>
      <c r="R204" s="74">
        <v>1</v>
      </c>
      <c r="S204" s="55"/>
      <c r="T204" s="55"/>
      <c r="U204" s="55"/>
      <c r="V204" s="168">
        <f t="shared" si="11"/>
        <v>1</v>
      </c>
    </row>
    <row r="205" spans="1:22">
      <c r="A205" s="7"/>
      <c r="B205" s="7"/>
      <c r="C205" s="117" t="s">
        <v>126</v>
      </c>
      <c r="D205" s="56" t="str">
        <f>VLOOKUP(C205,[1]!Tableau_cotisants,2,FALSE)</f>
        <v>SANSAUD/MOREAU</v>
      </c>
      <c r="E205" s="56" t="str">
        <f>VLOOKUP(C205,[1]!Tableau_cotisants,3,FALSE)</f>
        <v>SANSAUD</v>
      </c>
      <c r="F205" s="56" t="str">
        <f>VLOOKUP(C205,[1]!Tableau_cotisants,4,FALSE)</f>
        <v>Ethan</v>
      </c>
      <c r="G205" s="57">
        <f>VLOOKUP(C205,[1]!Tableau_cotisants,5,FALSE)</f>
        <v>0</v>
      </c>
      <c r="H205" s="56">
        <f>VLOOKUP(C205,[1]!Tableau_cotisants,6,FALSE)</f>
        <v>0</v>
      </c>
      <c r="I205" s="56">
        <f>VLOOKUP(C205,[1]!Tableau_cotisants,7,FALSE)</f>
        <v>1</v>
      </c>
      <c r="J205" s="58">
        <f>VLOOKUP(C205,[1]!Tableau_cotisants,8,FALSE)</f>
        <v>41015</v>
      </c>
      <c r="K205" s="54" t="str">
        <f t="shared" si="10"/>
        <v>7 an(s) 2 mois et 15 jour(s)</v>
      </c>
      <c r="L205" s="56" t="str">
        <f>VLOOKUP(C205,[1]!Tableau_cotisants,10,FALSE)</f>
        <v>SEGONZAC</v>
      </c>
      <c r="M205" s="57" t="str">
        <f>VLOOKUP(C205,[1]!Tableau_cotisants,11,FALSE)</f>
        <v>Champagne</v>
      </c>
      <c r="N205" s="6"/>
      <c r="O205" s="5">
        <v>1</v>
      </c>
      <c r="P205" s="27"/>
      <c r="Q205" s="26"/>
      <c r="R205" s="74">
        <v>1</v>
      </c>
      <c r="S205" s="55"/>
      <c r="T205" s="55"/>
      <c r="U205" s="55"/>
      <c r="V205" s="168">
        <f t="shared" si="11"/>
        <v>1</v>
      </c>
    </row>
    <row r="206" spans="1:22">
      <c r="A206" s="7"/>
      <c r="B206" s="7"/>
      <c r="C206" s="117" t="s">
        <v>126</v>
      </c>
      <c r="D206" s="56" t="str">
        <f>VLOOKUP(C206,[1]!Tableau_cotisants,2,FALSE)</f>
        <v>SANSAUD/MOREAU</v>
      </c>
      <c r="E206" s="56" t="str">
        <f>VLOOKUP(C206,[1]!Tableau_cotisants,3,FALSE)</f>
        <v>SANSAUD</v>
      </c>
      <c r="F206" s="56" t="str">
        <f>VLOOKUP(C206,[1]!Tableau_cotisants,4,FALSE)</f>
        <v>Ethan</v>
      </c>
      <c r="G206" s="57">
        <f>VLOOKUP(C206,[1]!Tableau_cotisants,5,FALSE)</f>
        <v>0</v>
      </c>
      <c r="H206" s="56">
        <f>VLOOKUP(C206,[1]!Tableau_cotisants,6,FALSE)</f>
        <v>0</v>
      </c>
      <c r="I206" s="56">
        <f>VLOOKUP(C206,[1]!Tableau_cotisants,7,FALSE)</f>
        <v>1</v>
      </c>
      <c r="J206" s="58">
        <f>VLOOKUP(C206,[1]!Tableau_cotisants,8,FALSE)</f>
        <v>41015</v>
      </c>
      <c r="K206" s="54" t="str">
        <f t="shared" si="10"/>
        <v>7 an(s) 2 mois et 15 jour(s)</v>
      </c>
      <c r="L206" s="56" t="str">
        <f>VLOOKUP(C206,[1]!Tableau_cotisants,10,FALSE)</f>
        <v>SEGONZAC</v>
      </c>
      <c r="M206" s="57" t="str">
        <f>VLOOKUP(C206,[1]!Tableau_cotisants,11,FALSE)</f>
        <v>Champagne</v>
      </c>
      <c r="N206" s="6"/>
      <c r="O206" s="5">
        <v>1</v>
      </c>
      <c r="P206" s="27">
        <v>1</v>
      </c>
      <c r="Q206" s="26"/>
      <c r="R206" s="74"/>
      <c r="S206" s="55"/>
      <c r="T206" s="55"/>
      <c r="U206" s="55"/>
      <c r="V206" s="168">
        <f t="shared" si="11"/>
        <v>1</v>
      </c>
    </row>
    <row r="207" spans="1:22">
      <c r="A207" s="7"/>
      <c r="B207" s="7"/>
      <c r="C207" s="117" t="s">
        <v>126</v>
      </c>
      <c r="D207" s="56" t="str">
        <f>VLOOKUP(C207,[1]!Tableau_cotisants,2,FALSE)</f>
        <v>SANSAUD/MOREAU</v>
      </c>
      <c r="E207" s="56" t="str">
        <f>VLOOKUP(C207,[1]!Tableau_cotisants,3,FALSE)</f>
        <v>SANSAUD</v>
      </c>
      <c r="F207" s="56" t="str">
        <f>VLOOKUP(C207,[1]!Tableau_cotisants,4,FALSE)</f>
        <v>Ethan</v>
      </c>
      <c r="G207" s="57">
        <f>VLOOKUP(C207,[1]!Tableau_cotisants,5,FALSE)</f>
        <v>0</v>
      </c>
      <c r="H207" s="56">
        <f>VLOOKUP(C207,[1]!Tableau_cotisants,6,FALSE)</f>
        <v>0</v>
      </c>
      <c r="I207" s="56">
        <f>VLOOKUP(C207,[1]!Tableau_cotisants,7,FALSE)</f>
        <v>1</v>
      </c>
      <c r="J207" s="58">
        <f>VLOOKUP(C207,[1]!Tableau_cotisants,8,FALSE)</f>
        <v>41015</v>
      </c>
      <c r="K207" s="54" t="str">
        <f t="shared" si="10"/>
        <v>7 an(s) 2 mois et 15 jour(s)</v>
      </c>
      <c r="L207" s="56" t="str">
        <f>VLOOKUP(C207,[1]!Tableau_cotisants,10,FALSE)</f>
        <v>SEGONZAC</v>
      </c>
      <c r="M207" s="57" t="str">
        <f>VLOOKUP(C207,[1]!Tableau_cotisants,11,FALSE)</f>
        <v>Champagne</v>
      </c>
      <c r="N207" s="6"/>
      <c r="O207" s="5">
        <v>1</v>
      </c>
      <c r="P207" s="27">
        <v>1</v>
      </c>
      <c r="Q207" s="26"/>
      <c r="R207" s="74"/>
      <c r="S207" s="55"/>
      <c r="T207" s="55"/>
      <c r="U207" s="55"/>
      <c r="V207" s="168">
        <f t="shared" si="11"/>
        <v>1</v>
      </c>
    </row>
    <row r="208" spans="1:22">
      <c r="A208" s="7"/>
      <c r="B208" s="7"/>
      <c r="C208" s="117" t="s">
        <v>126</v>
      </c>
      <c r="D208" s="56" t="str">
        <f>VLOOKUP(C208,[1]!Tableau_cotisants,2,FALSE)</f>
        <v>SANSAUD/MOREAU</v>
      </c>
      <c r="E208" s="56" t="str">
        <f>VLOOKUP(C208,[1]!Tableau_cotisants,3,FALSE)</f>
        <v>SANSAUD</v>
      </c>
      <c r="F208" s="56" t="str">
        <f>VLOOKUP(C208,[1]!Tableau_cotisants,4,FALSE)</f>
        <v>Ethan</v>
      </c>
      <c r="G208" s="57">
        <f>VLOOKUP(C208,[1]!Tableau_cotisants,5,FALSE)</f>
        <v>0</v>
      </c>
      <c r="H208" s="56">
        <f>VLOOKUP(C208,[1]!Tableau_cotisants,6,FALSE)</f>
        <v>0</v>
      </c>
      <c r="I208" s="56">
        <f>VLOOKUP(C208,[1]!Tableau_cotisants,7,FALSE)</f>
        <v>1</v>
      </c>
      <c r="J208" s="58">
        <f>VLOOKUP(C208,[1]!Tableau_cotisants,8,FALSE)</f>
        <v>41015</v>
      </c>
      <c r="K208" s="54" t="str">
        <f t="shared" si="10"/>
        <v>7 an(s) 2 mois et 15 jour(s)</v>
      </c>
      <c r="L208" s="56" t="str">
        <f>VLOOKUP(C208,[1]!Tableau_cotisants,10,FALSE)</f>
        <v>SEGONZAC</v>
      </c>
      <c r="M208" s="57" t="str">
        <f>VLOOKUP(C208,[1]!Tableau_cotisants,11,FALSE)</f>
        <v>Champagne</v>
      </c>
      <c r="N208" s="6"/>
      <c r="O208" s="5">
        <v>1</v>
      </c>
      <c r="P208" s="27"/>
      <c r="Q208" s="26"/>
      <c r="R208" s="74">
        <v>1</v>
      </c>
      <c r="S208" s="55"/>
      <c r="T208" s="55"/>
      <c r="U208" s="55"/>
      <c r="V208" s="168">
        <f t="shared" si="11"/>
        <v>1</v>
      </c>
    </row>
    <row r="209" spans="1:22">
      <c r="A209" s="7"/>
      <c r="B209" s="7"/>
      <c r="C209" s="117" t="s">
        <v>126</v>
      </c>
      <c r="D209" s="56" t="str">
        <f>VLOOKUP(C209,[1]!Tableau_cotisants,2,FALSE)</f>
        <v>SANSAUD/MOREAU</v>
      </c>
      <c r="E209" s="56" t="str">
        <f>VLOOKUP(C209,[1]!Tableau_cotisants,3,FALSE)</f>
        <v>SANSAUD</v>
      </c>
      <c r="F209" s="56" t="str">
        <f>VLOOKUP(C209,[1]!Tableau_cotisants,4,FALSE)</f>
        <v>Ethan</v>
      </c>
      <c r="G209" s="57">
        <f>VLOOKUP(C209,[1]!Tableau_cotisants,5,FALSE)</f>
        <v>0</v>
      </c>
      <c r="H209" s="56">
        <f>VLOOKUP(C209,[1]!Tableau_cotisants,6,FALSE)</f>
        <v>0</v>
      </c>
      <c r="I209" s="56">
        <f>VLOOKUP(C209,[1]!Tableau_cotisants,7,FALSE)</f>
        <v>1</v>
      </c>
      <c r="J209" s="58">
        <f>VLOOKUP(C209,[1]!Tableau_cotisants,8,FALSE)</f>
        <v>41015</v>
      </c>
      <c r="K209" s="54" t="str">
        <f t="shared" si="10"/>
        <v>7 an(s) 2 mois et 15 jour(s)</v>
      </c>
      <c r="L209" s="56" t="str">
        <f>VLOOKUP(C209,[1]!Tableau_cotisants,10,FALSE)</f>
        <v>SEGONZAC</v>
      </c>
      <c r="M209" s="57" t="str">
        <f>VLOOKUP(C209,[1]!Tableau_cotisants,11,FALSE)</f>
        <v>Champagne</v>
      </c>
      <c r="N209" s="6"/>
      <c r="O209" s="5">
        <v>1</v>
      </c>
      <c r="P209" s="27"/>
      <c r="Q209" s="26"/>
      <c r="R209" s="74">
        <v>1</v>
      </c>
      <c r="S209" s="55"/>
      <c r="T209" s="55"/>
      <c r="U209" s="55"/>
      <c r="V209" s="168">
        <f t="shared" si="11"/>
        <v>1</v>
      </c>
    </row>
    <row r="210" spans="1:22">
      <c r="C210" s="117" t="s">
        <v>126</v>
      </c>
      <c r="D210" s="56" t="str">
        <f>VLOOKUP(C210,[1]!Tableau_cotisants,2,FALSE)</f>
        <v>SANSAUD/MOREAU</v>
      </c>
      <c r="E210" s="56" t="str">
        <f>VLOOKUP(C210,[1]!Tableau_cotisants,3,FALSE)</f>
        <v>SANSAUD</v>
      </c>
      <c r="F210" s="56" t="str">
        <f>VLOOKUP(C210,[1]!Tableau_cotisants,4,FALSE)</f>
        <v>Ethan</v>
      </c>
      <c r="G210" s="57">
        <f>VLOOKUP(C210,[1]!Tableau_cotisants,5,FALSE)</f>
        <v>0</v>
      </c>
      <c r="H210" s="56">
        <f>VLOOKUP(C210,[1]!Tableau_cotisants,6,FALSE)</f>
        <v>0</v>
      </c>
      <c r="I210" s="56">
        <f>VLOOKUP(C210,[1]!Tableau_cotisants,7,FALSE)</f>
        <v>1</v>
      </c>
      <c r="J210" s="58">
        <f>VLOOKUP(C210,[1]!Tableau_cotisants,8,FALSE)</f>
        <v>41015</v>
      </c>
      <c r="K210" s="54" t="str">
        <f t="shared" si="10"/>
        <v>7 an(s) 2 mois et 15 jour(s)</v>
      </c>
      <c r="L210" s="56" t="str">
        <f>VLOOKUP(C210,[1]!Tableau_cotisants,10,FALSE)</f>
        <v>SEGONZAC</v>
      </c>
      <c r="M210" s="57" t="str">
        <f>VLOOKUP(C210,[1]!Tableau_cotisants,11,FALSE)</f>
        <v>Champagne</v>
      </c>
      <c r="N210" s="6"/>
      <c r="O210" s="5">
        <v>1</v>
      </c>
      <c r="P210" s="27"/>
      <c r="Q210" s="26"/>
      <c r="R210" s="74">
        <v>1</v>
      </c>
      <c r="S210" s="55"/>
      <c r="T210" s="55"/>
      <c r="U210" s="55"/>
      <c r="V210" s="168">
        <f t="shared" si="11"/>
        <v>1</v>
      </c>
    </row>
    <row r="211" spans="1:22">
      <c r="A211" s="172"/>
      <c r="B211" s="171"/>
      <c r="C211" s="117" t="s">
        <v>127</v>
      </c>
      <c r="D211" s="52" t="str">
        <f>VLOOKUP(C211,[1]!Tableau_cotisants,2,FALSE)</f>
        <v>SANSAUD/MOREAU</v>
      </c>
      <c r="E211" s="52" t="str">
        <f>VLOOKUP(C211,[1]!Tableau_cotisants,3,FALSE)</f>
        <v>SANSAUD</v>
      </c>
      <c r="F211" s="52" t="str">
        <f>VLOOKUP(C211,[1]!Tableau_cotisants,4,FALSE)</f>
        <v>Axel</v>
      </c>
      <c r="G211" s="53">
        <f>VLOOKUP(C211,[1]!Tableau_cotisants,5,FALSE)</f>
        <v>0</v>
      </c>
      <c r="H211" s="52">
        <f>VLOOKUP(C211,[1]!Tableau_cotisants,6,FALSE)</f>
        <v>0</v>
      </c>
      <c r="I211" s="52">
        <f>VLOOKUP(C211,[1]!Tableau_cotisants,7,FALSE)</f>
        <v>1</v>
      </c>
      <c r="J211" s="54">
        <f>VLOOKUP(C211,[1]!Tableau_cotisants,8,FALSE)</f>
        <v>42407</v>
      </c>
      <c r="K211" s="54" t="str">
        <f t="shared" si="10"/>
        <v>3 an(s) 4 mois et 24 jour(s)</v>
      </c>
      <c r="L211" s="52" t="str">
        <f>VLOOKUP(C211,[1]!Tableau_cotisants,10,FALSE)</f>
        <v>SEGONZAC</v>
      </c>
      <c r="M211" s="53" t="str">
        <f>VLOOKUP(C211,[1]!Tableau_cotisants,11,FALSE)</f>
        <v>Champagne</v>
      </c>
      <c r="N211" s="99"/>
      <c r="O211" s="57">
        <v>1</v>
      </c>
      <c r="P211" s="68">
        <v>1</v>
      </c>
      <c r="Q211" s="191"/>
      <c r="R211" s="193"/>
      <c r="S211" s="55"/>
      <c r="T211" s="55"/>
      <c r="U211" s="55"/>
      <c r="V211" s="168">
        <f t="shared" si="11"/>
        <v>1</v>
      </c>
    </row>
    <row r="212" spans="1:22">
      <c r="A212" s="172"/>
      <c r="B212" s="171"/>
      <c r="C212" s="117" t="s">
        <v>127</v>
      </c>
      <c r="D212" s="56" t="str">
        <f>VLOOKUP(C212,[1]!Tableau_cotisants,2,FALSE)</f>
        <v>SANSAUD/MOREAU</v>
      </c>
      <c r="E212" s="56" t="str">
        <f>VLOOKUP(C212,[1]!Tableau_cotisants,3,FALSE)</f>
        <v>SANSAUD</v>
      </c>
      <c r="F212" s="56" t="str">
        <f>VLOOKUP(C212,[1]!Tableau_cotisants,4,FALSE)</f>
        <v>Axel</v>
      </c>
      <c r="G212" s="57">
        <f>VLOOKUP(C212,[1]!Tableau_cotisants,5,FALSE)</f>
        <v>0</v>
      </c>
      <c r="H212" s="56">
        <f>VLOOKUP(C212,[1]!Tableau_cotisants,6,FALSE)</f>
        <v>0</v>
      </c>
      <c r="I212" s="56">
        <f>VLOOKUP(C212,[1]!Tableau_cotisants,7,FALSE)</f>
        <v>1</v>
      </c>
      <c r="J212" s="58">
        <f>VLOOKUP(C212,[1]!Tableau_cotisants,8,FALSE)</f>
        <v>42407</v>
      </c>
      <c r="K212" s="54" t="str">
        <f t="shared" si="10"/>
        <v>3 an(s) 4 mois et 24 jour(s)</v>
      </c>
      <c r="L212" s="56" t="str">
        <f>VLOOKUP(C212,[1]!Tableau_cotisants,10,FALSE)</f>
        <v>SEGONZAC</v>
      </c>
      <c r="M212" s="57" t="str">
        <f>VLOOKUP(C212,[1]!Tableau_cotisants,11,FALSE)</f>
        <v>Champagne</v>
      </c>
      <c r="N212" s="99"/>
      <c r="O212" s="57">
        <v>1</v>
      </c>
      <c r="P212" s="68"/>
      <c r="Q212" s="191"/>
      <c r="R212" s="193">
        <v>1</v>
      </c>
      <c r="S212" s="55"/>
      <c r="T212" s="55"/>
      <c r="U212" s="55"/>
      <c r="V212" s="168">
        <f t="shared" si="11"/>
        <v>1</v>
      </c>
    </row>
    <row r="213" spans="1:22">
      <c r="A213" s="172"/>
      <c r="B213" s="171"/>
      <c r="C213" s="117" t="s">
        <v>127</v>
      </c>
      <c r="D213" s="56" t="str">
        <f>VLOOKUP(C213,[1]!Tableau_cotisants,2,FALSE)</f>
        <v>SANSAUD/MOREAU</v>
      </c>
      <c r="E213" s="56" t="str">
        <f>VLOOKUP(C213,[1]!Tableau_cotisants,3,FALSE)</f>
        <v>SANSAUD</v>
      </c>
      <c r="F213" s="56" t="str">
        <f>VLOOKUP(C213,[1]!Tableau_cotisants,4,FALSE)</f>
        <v>Axel</v>
      </c>
      <c r="G213" s="57">
        <f>VLOOKUP(C213,[1]!Tableau_cotisants,5,FALSE)</f>
        <v>0</v>
      </c>
      <c r="H213" s="56">
        <f>VLOOKUP(C213,[1]!Tableau_cotisants,6,FALSE)</f>
        <v>0</v>
      </c>
      <c r="I213" s="56">
        <f>VLOOKUP(C213,[1]!Tableau_cotisants,7,FALSE)</f>
        <v>1</v>
      </c>
      <c r="J213" s="58">
        <f>VLOOKUP(C213,[1]!Tableau_cotisants,8,FALSE)</f>
        <v>42407</v>
      </c>
      <c r="K213" s="54" t="str">
        <f t="shared" si="10"/>
        <v>3 an(s) 4 mois et 24 jour(s)</v>
      </c>
      <c r="L213" s="56" t="str">
        <f>VLOOKUP(C213,[1]!Tableau_cotisants,10,FALSE)</f>
        <v>SEGONZAC</v>
      </c>
      <c r="M213" s="57" t="str">
        <f>VLOOKUP(C213,[1]!Tableau_cotisants,11,FALSE)</f>
        <v>Champagne</v>
      </c>
      <c r="N213" s="6"/>
      <c r="O213" s="5">
        <v>1</v>
      </c>
      <c r="P213" s="27"/>
      <c r="Q213" s="26"/>
      <c r="R213" s="74">
        <v>1</v>
      </c>
      <c r="S213" s="55"/>
      <c r="T213" s="55"/>
      <c r="U213" s="55"/>
      <c r="V213" s="168">
        <f t="shared" si="11"/>
        <v>1</v>
      </c>
    </row>
    <row r="214" spans="1:22">
      <c r="A214" s="172"/>
      <c r="B214" s="171"/>
      <c r="C214" s="117" t="s">
        <v>127</v>
      </c>
      <c r="D214" s="56" t="str">
        <f>VLOOKUP(C214,[1]!Tableau_cotisants,2,FALSE)</f>
        <v>SANSAUD/MOREAU</v>
      </c>
      <c r="E214" s="56" t="str">
        <f>VLOOKUP(C214,[1]!Tableau_cotisants,3,FALSE)</f>
        <v>SANSAUD</v>
      </c>
      <c r="F214" s="56" t="str">
        <f>VLOOKUP(C214,[1]!Tableau_cotisants,4,FALSE)</f>
        <v>Axel</v>
      </c>
      <c r="G214" s="57">
        <f>VLOOKUP(C214,[1]!Tableau_cotisants,5,FALSE)</f>
        <v>0</v>
      </c>
      <c r="H214" s="56">
        <f>VLOOKUP(C214,[1]!Tableau_cotisants,6,FALSE)</f>
        <v>0</v>
      </c>
      <c r="I214" s="56">
        <f>VLOOKUP(C214,[1]!Tableau_cotisants,7,FALSE)</f>
        <v>1</v>
      </c>
      <c r="J214" s="58">
        <f>VLOOKUP(C214,[1]!Tableau_cotisants,8,FALSE)</f>
        <v>42407</v>
      </c>
      <c r="K214" s="54" t="str">
        <f t="shared" si="10"/>
        <v>3 an(s) 4 mois et 24 jour(s)</v>
      </c>
      <c r="L214" s="56" t="str">
        <f>VLOOKUP(C214,[1]!Tableau_cotisants,10,FALSE)</f>
        <v>SEGONZAC</v>
      </c>
      <c r="M214" s="57" t="str">
        <f>VLOOKUP(C214,[1]!Tableau_cotisants,11,FALSE)</f>
        <v>Champagne</v>
      </c>
      <c r="N214" s="6"/>
      <c r="O214" s="5">
        <v>1</v>
      </c>
      <c r="P214" s="27">
        <v>1</v>
      </c>
      <c r="Q214" s="26"/>
      <c r="R214" s="74"/>
      <c r="S214" s="55"/>
      <c r="T214" s="55"/>
      <c r="U214" s="55"/>
      <c r="V214" s="168">
        <f t="shared" si="11"/>
        <v>1</v>
      </c>
    </row>
    <row r="215" spans="1:22">
      <c r="A215" s="7"/>
      <c r="B215" s="7"/>
      <c r="C215" s="173" t="s">
        <v>127</v>
      </c>
      <c r="D215" s="56" t="str">
        <f>VLOOKUP(C215,[1]!Tableau_cotisants,2,FALSE)</f>
        <v>SANSAUD/MOREAU</v>
      </c>
      <c r="E215" s="56" t="str">
        <f>VLOOKUP(C215,[1]!Tableau_cotisants,3,FALSE)</f>
        <v>SANSAUD</v>
      </c>
      <c r="F215" s="56" t="str">
        <f>VLOOKUP(C215,[1]!Tableau_cotisants,4,FALSE)</f>
        <v>Axel</v>
      </c>
      <c r="G215" s="57">
        <f>VLOOKUP(C215,[1]!Tableau_cotisants,5,FALSE)</f>
        <v>0</v>
      </c>
      <c r="H215" s="56">
        <f>VLOOKUP(C215,[1]!Tableau_cotisants,6,FALSE)</f>
        <v>0</v>
      </c>
      <c r="I215" s="56">
        <f>VLOOKUP(C215,[1]!Tableau_cotisants,7,FALSE)</f>
        <v>1</v>
      </c>
      <c r="J215" s="58">
        <f>VLOOKUP(C215,[1]!Tableau_cotisants,8,FALSE)</f>
        <v>42407</v>
      </c>
      <c r="K215" s="54" t="str">
        <f t="shared" si="10"/>
        <v>3 an(s) 4 mois et 24 jour(s)</v>
      </c>
      <c r="L215" s="56" t="str">
        <f>VLOOKUP(C215,[1]!Tableau_cotisants,10,FALSE)</f>
        <v>SEGONZAC</v>
      </c>
      <c r="M215" s="57" t="str">
        <f>VLOOKUP(C215,[1]!Tableau_cotisants,11,FALSE)</f>
        <v>Champagne</v>
      </c>
      <c r="N215" s="6"/>
      <c r="O215" s="5">
        <v>1</v>
      </c>
      <c r="P215" s="27"/>
      <c r="Q215" s="26"/>
      <c r="R215" s="74">
        <v>1</v>
      </c>
      <c r="S215" s="55"/>
      <c r="T215" s="55"/>
      <c r="U215" s="55"/>
      <c r="V215" s="168">
        <f t="shared" si="11"/>
        <v>1</v>
      </c>
    </row>
    <row r="216" spans="1:22">
      <c r="A216" s="7"/>
      <c r="B216" s="7"/>
      <c r="C216" s="117" t="s">
        <v>127</v>
      </c>
      <c r="D216" s="56" t="str">
        <f>VLOOKUP(C216,[1]!Tableau_cotisants,2,FALSE)</f>
        <v>SANSAUD/MOREAU</v>
      </c>
      <c r="E216" s="56" t="str">
        <f>VLOOKUP(C216,[1]!Tableau_cotisants,3,FALSE)</f>
        <v>SANSAUD</v>
      </c>
      <c r="F216" s="56" t="str">
        <f>VLOOKUP(C216,[1]!Tableau_cotisants,4,FALSE)</f>
        <v>Axel</v>
      </c>
      <c r="G216" s="57">
        <f>VLOOKUP(C216,[1]!Tableau_cotisants,5,FALSE)</f>
        <v>0</v>
      </c>
      <c r="H216" s="56">
        <f>VLOOKUP(C216,[1]!Tableau_cotisants,6,FALSE)</f>
        <v>0</v>
      </c>
      <c r="I216" s="56">
        <f>VLOOKUP(C216,[1]!Tableau_cotisants,7,FALSE)</f>
        <v>1</v>
      </c>
      <c r="J216" s="58">
        <f>VLOOKUP(C216,[1]!Tableau_cotisants,8,FALSE)</f>
        <v>42407</v>
      </c>
      <c r="K216" s="54" t="str">
        <f t="shared" si="10"/>
        <v>3 an(s) 4 mois et 24 jour(s)</v>
      </c>
      <c r="L216" s="56" t="str">
        <f>VLOOKUP(C216,[1]!Tableau_cotisants,10,FALSE)</f>
        <v>SEGONZAC</v>
      </c>
      <c r="M216" s="57" t="str">
        <f>VLOOKUP(C216,[1]!Tableau_cotisants,11,FALSE)</f>
        <v>Champagne</v>
      </c>
      <c r="N216" s="6"/>
      <c r="O216" s="5">
        <v>1</v>
      </c>
      <c r="P216" s="27"/>
      <c r="Q216" s="26"/>
      <c r="R216" s="74">
        <v>1</v>
      </c>
      <c r="S216" s="55"/>
      <c r="T216" s="55"/>
      <c r="U216" s="55"/>
      <c r="V216" s="168">
        <f t="shared" si="11"/>
        <v>1</v>
      </c>
    </row>
    <row r="217" spans="1:22">
      <c r="A217" s="7"/>
      <c r="B217" s="7"/>
      <c r="C217" s="117" t="s">
        <v>127</v>
      </c>
      <c r="D217" s="56" t="str">
        <f>VLOOKUP(C217,[1]!Tableau_cotisants,2,FALSE)</f>
        <v>SANSAUD/MOREAU</v>
      </c>
      <c r="E217" s="56" t="str">
        <f>VLOOKUP(C217,[1]!Tableau_cotisants,3,FALSE)</f>
        <v>SANSAUD</v>
      </c>
      <c r="F217" s="56" t="str">
        <f>VLOOKUP(C217,[1]!Tableau_cotisants,4,FALSE)</f>
        <v>Axel</v>
      </c>
      <c r="G217" s="57">
        <f>VLOOKUP(C217,[1]!Tableau_cotisants,5,FALSE)</f>
        <v>0</v>
      </c>
      <c r="H217" s="56">
        <f>VLOOKUP(C217,[1]!Tableau_cotisants,6,FALSE)</f>
        <v>0</v>
      </c>
      <c r="I217" s="56">
        <f>VLOOKUP(C217,[1]!Tableau_cotisants,7,FALSE)</f>
        <v>1</v>
      </c>
      <c r="J217" s="58">
        <f>VLOOKUP(C217,[1]!Tableau_cotisants,8,FALSE)</f>
        <v>42407</v>
      </c>
      <c r="K217" s="54" t="str">
        <f t="shared" si="10"/>
        <v>3 an(s) 4 mois et 24 jour(s)</v>
      </c>
      <c r="L217" s="56" t="str">
        <f>VLOOKUP(C217,[1]!Tableau_cotisants,10,FALSE)</f>
        <v>SEGONZAC</v>
      </c>
      <c r="M217" s="57" t="str">
        <f>VLOOKUP(C217,[1]!Tableau_cotisants,11,FALSE)</f>
        <v>Champagne</v>
      </c>
      <c r="N217" s="6"/>
      <c r="O217" s="5">
        <v>1</v>
      </c>
      <c r="P217" s="27">
        <v>1</v>
      </c>
      <c r="Q217" s="26"/>
      <c r="R217" s="74"/>
      <c r="S217" s="55"/>
      <c r="T217" s="55"/>
      <c r="U217" s="55"/>
      <c r="V217" s="168">
        <f t="shared" si="11"/>
        <v>1</v>
      </c>
    </row>
    <row r="218" spans="1:22">
      <c r="A218" s="7"/>
      <c r="B218" s="7"/>
      <c r="C218" s="117" t="s">
        <v>127</v>
      </c>
      <c r="D218" s="56" t="str">
        <f>VLOOKUP(C218,[1]!Tableau_cotisants,2,FALSE)</f>
        <v>SANSAUD/MOREAU</v>
      </c>
      <c r="E218" s="56" t="str">
        <f>VLOOKUP(C218,[1]!Tableau_cotisants,3,FALSE)</f>
        <v>SANSAUD</v>
      </c>
      <c r="F218" s="56" t="str">
        <f>VLOOKUP(C218,[1]!Tableau_cotisants,4,FALSE)</f>
        <v>Axel</v>
      </c>
      <c r="G218" s="57">
        <f>VLOOKUP(C218,[1]!Tableau_cotisants,5,FALSE)</f>
        <v>0</v>
      </c>
      <c r="H218" s="56">
        <f>VLOOKUP(C218,[1]!Tableau_cotisants,6,FALSE)</f>
        <v>0</v>
      </c>
      <c r="I218" s="56">
        <f>VLOOKUP(C218,[1]!Tableau_cotisants,7,FALSE)</f>
        <v>1</v>
      </c>
      <c r="J218" s="58">
        <f>VLOOKUP(C218,[1]!Tableau_cotisants,8,FALSE)</f>
        <v>42407</v>
      </c>
      <c r="K218" s="54" t="str">
        <f t="shared" si="10"/>
        <v>3 an(s) 4 mois et 24 jour(s)</v>
      </c>
      <c r="L218" s="56" t="str">
        <f>VLOOKUP(C218,[1]!Tableau_cotisants,10,FALSE)</f>
        <v>SEGONZAC</v>
      </c>
      <c r="M218" s="57" t="str">
        <f>VLOOKUP(C218,[1]!Tableau_cotisants,11,FALSE)</f>
        <v>Champagne</v>
      </c>
      <c r="N218" s="6"/>
      <c r="O218" s="5">
        <v>1</v>
      </c>
      <c r="P218" s="27">
        <v>1</v>
      </c>
      <c r="Q218" s="26"/>
      <c r="R218" s="74"/>
      <c r="S218" s="55"/>
      <c r="T218" s="55"/>
      <c r="U218" s="55"/>
      <c r="V218" s="168">
        <f t="shared" si="11"/>
        <v>1</v>
      </c>
    </row>
    <row r="219" spans="1:22">
      <c r="A219" s="7"/>
      <c r="B219" s="7"/>
      <c r="C219" s="117" t="s">
        <v>127</v>
      </c>
      <c r="D219" s="56" t="str">
        <f>VLOOKUP(C219,[1]!Tableau_cotisants,2,FALSE)</f>
        <v>SANSAUD/MOREAU</v>
      </c>
      <c r="E219" s="56" t="str">
        <f>VLOOKUP(C219,[1]!Tableau_cotisants,3,FALSE)</f>
        <v>SANSAUD</v>
      </c>
      <c r="F219" s="56" t="str">
        <f>VLOOKUP(C219,[1]!Tableau_cotisants,4,FALSE)</f>
        <v>Axel</v>
      </c>
      <c r="G219" s="57">
        <f>VLOOKUP(C219,[1]!Tableau_cotisants,5,FALSE)</f>
        <v>0</v>
      </c>
      <c r="H219" s="56">
        <f>VLOOKUP(C219,[1]!Tableau_cotisants,6,FALSE)</f>
        <v>0</v>
      </c>
      <c r="I219" s="56">
        <f>VLOOKUP(C219,[1]!Tableau_cotisants,7,FALSE)</f>
        <v>1</v>
      </c>
      <c r="J219" s="58">
        <f>VLOOKUP(C219,[1]!Tableau_cotisants,8,FALSE)</f>
        <v>42407</v>
      </c>
      <c r="K219" s="54" t="str">
        <f t="shared" si="10"/>
        <v>3 an(s) 4 mois et 24 jour(s)</v>
      </c>
      <c r="L219" s="56" t="str">
        <f>VLOOKUP(C219,[1]!Tableau_cotisants,10,FALSE)</f>
        <v>SEGONZAC</v>
      </c>
      <c r="M219" s="57" t="str">
        <f>VLOOKUP(C219,[1]!Tableau_cotisants,11,FALSE)</f>
        <v>Champagne</v>
      </c>
      <c r="N219" s="6"/>
      <c r="O219" s="5">
        <v>1</v>
      </c>
      <c r="P219" s="27"/>
      <c r="Q219" s="26"/>
      <c r="R219" s="74">
        <v>1</v>
      </c>
      <c r="S219" s="55"/>
      <c r="T219" s="55"/>
      <c r="U219" s="55"/>
      <c r="V219" s="168">
        <f t="shared" si="11"/>
        <v>1</v>
      </c>
    </row>
    <row r="220" spans="1:22">
      <c r="A220" s="7"/>
      <c r="B220" s="7"/>
      <c r="C220" s="117" t="s">
        <v>127</v>
      </c>
      <c r="D220" s="56" t="str">
        <f>VLOOKUP(C220,[1]!Tableau_cotisants,2,FALSE)</f>
        <v>SANSAUD/MOREAU</v>
      </c>
      <c r="E220" s="56" t="str">
        <f>VLOOKUP(C220,[1]!Tableau_cotisants,3,FALSE)</f>
        <v>SANSAUD</v>
      </c>
      <c r="F220" s="56" t="str">
        <f>VLOOKUP(C220,[1]!Tableau_cotisants,4,FALSE)</f>
        <v>Axel</v>
      </c>
      <c r="G220" s="57">
        <f>VLOOKUP(C220,[1]!Tableau_cotisants,5,FALSE)</f>
        <v>0</v>
      </c>
      <c r="H220" s="56">
        <f>VLOOKUP(C220,[1]!Tableau_cotisants,6,FALSE)</f>
        <v>0</v>
      </c>
      <c r="I220" s="56">
        <f>VLOOKUP(C220,[1]!Tableau_cotisants,7,FALSE)</f>
        <v>1</v>
      </c>
      <c r="J220" s="58">
        <f>VLOOKUP(C220,[1]!Tableau_cotisants,8,FALSE)</f>
        <v>42407</v>
      </c>
      <c r="K220" s="54" t="str">
        <f t="shared" si="10"/>
        <v>3 an(s) 4 mois et 24 jour(s)</v>
      </c>
      <c r="L220" s="56" t="str">
        <f>VLOOKUP(C220,[1]!Tableau_cotisants,10,FALSE)</f>
        <v>SEGONZAC</v>
      </c>
      <c r="M220" s="57" t="str">
        <f>VLOOKUP(C220,[1]!Tableau_cotisants,11,FALSE)</f>
        <v>Champagne</v>
      </c>
      <c r="N220" s="6"/>
      <c r="O220" s="5">
        <v>1</v>
      </c>
      <c r="P220" s="27"/>
      <c r="Q220" s="26"/>
      <c r="R220" s="74">
        <v>1</v>
      </c>
      <c r="S220" s="55"/>
      <c r="T220" s="55"/>
      <c r="U220" s="55"/>
      <c r="V220" s="168">
        <f t="shared" si="11"/>
        <v>1</v>
      </c>
    </row>
    <row r="221" spans="1:22">
      <c r="C221" s="117" t="s">
        <v>127</v>
      </c>
      <c r="D221" s="56" t="str">
        <f>VLOOKUP(C221,[1]!Tableau_cotisants,2,FALSE)</f>
        <v>SANSAUD/MOREAU</v>
      </c>
      <c r="E221" s="56" t="str">
        <f>VLOOKUP(C221,[1]!Tableau_cotisants,3,FALSE)</f>
        <v>SANSAUD</v>
      </c>
      <c r="F221" s="56" t="str">
        <f>VLOOKUP(C221,[1]!Tableau_cotisants,4,FALSE)</f>
        <v>Axel</v>
      </c>
      <c r="G221" s="57">
        <f>VLOOKUP(C221,[1]!Tableau_cotisants,5,FALSE)</f>
        <v>0</v>
      </c>
      <c r="H221" s="56">
        <f>VLOOKUP(C221,[1]!Tableau_cotisants,6,FALSE)</f>
        <v>0</v>
      </c>
      <c r="I221" s="56">
        <f>VLOOKUP(C221,[1]!Tableau_cotisants,7,FALSE)</f>
        <v>1</v>
      </c>
      <c r="J221" s="58">
        <f>VLOOKUP(C221,[1]!Tableau_cotisants,8,FALSE)</f>
        <v>42407</v>
      </c>
      <c r="K221" s="54" t="str">
        <f t="shared" si="10"/>
        <v>3 an(s) 4 mois et 24 jour(s)</v>
      </c>
      <c r="L221" s="56" t="str">
        <f>VLOOKUP(C221,[1]!Tableau_cotisants,10,FALSE)</f>
        <v>SEGONZAC</v>
      </c>
      <c r="M221" s="57" t="str">
        <f>VLOOKUP(C221,[1]!Tableau_cotisants,11,FALSE)</f>
        <v>Champagne</v>
      </c>
      <c r="N221" s="6"/>
      <c r="O221" s="5">
        <v>1</v>
      </c>
      <c r="P221" s="27"/>
      <c r="Q221" s="26"/>
      <c r="R221" s="74">
        <v>1</v>
      </c>
      <c r="S221" s="55"/>
      <c r="T221" s="55"/>
      <c r="U221" s="55"/>
      <c r="V221" s="168">
        <f t="shared" si="11"/>
        <v>1</v>
      </c>
    </row>
    <row r="222" spans="1:22">
      <c r="A222" s="7"/>
      <c r="B222" s="7"/>
      <c r="C222" s="122" t="s">
        <v>250</v>
      </c>
      <c r="D222" s="56" t="str">
        <f>VLOOKUP(C222,[1]!Tableau_cotisants,2,FALSE)</f>
        <v>MOREAU</v>
      </c>
      <c r="E222" s="56" t="str">
        <f>VLOOKUP(C222,[1]!Tableau_cotisants,3,FALSE)</f>
        <v>MOREAU</v>
      </c>
      <c r="F222" s="56" t="str">
        <f>VLOOKUP(C222,[1]!Tableau_cotisants,4,FALSE)</f>
        <v>Caroline</v>
      </c>
      <c r="G222" s="57">
        <f>VLOOKUP(C222,[1]!Tableau_cotisants,5,FALSE)</f>
        <v>0</v>
      </c>
      <c r="H222" s="56">
        <f>VLOOKUP(C222,[1]!Tableau_cotisants,6,FALSE)</f>
        <v>1</v>
      </c>
      <c r="I222" s="56">
        <f>VLOOKUP(C222,[1]!Tableau_cotisants,7,FALSE)</f>
        <v>0</v>
      </c>
      <c r="J222" s="58">
        <f>VLOOKUP(C222,[1]!Tableau_cotisants,8,FALSE)</f>
        <v>29123</v>
      </c>
      <c r="K222" s="54" t="str">
        <f t="shared" si="10"/>
        <v>39 an(s) 9 mois et 6 jour(s)</v>
      </c>
      <c r="L222" s="56" t="str">
        <f>VLOOKUP(C222,[1]!Tableau_cotisants,10,FALSE)</f>
        <v>SEGONZAC</v>
      </c>
      <c r="M222" s="57" t="str">
        <f>VLOOKUP(C222,[1]!Tableau_cotisants,11,FALSE)</f>
        <v>Champagne</v>
      </c>
      <c r="N222" s="6"/>
      <c r="O222" s="5">
        <v>1</v>
      </c>
      <c r="P222" s="27">
        <v>1</v>
      </c>
      <c r="Q222" s="26"/>
      <c r="R222" s="74"/>
      <c r="S222" s="55"/>
      <c r="T222" s="55"/>
      <c r="U222" s="55">
        <v>1</v>
      </c>
      <c r="V222" s="168">
        <f t="shared" si="11"/>
        <v>1</v>
      </c>
    </row>
    <row r="223" spans="1:22">
      <c r="A223" s="7"/>
      <c r="B223" s="7"/>
      <c r="C223" s="122" t="s">
        <v>248</v>
      </c>
      <c r="D223" s="56" t="str">
        <f>VLOOKUP(C223,[1]!Tableau_cotisants,2,FALSE)</f>
        <v>MOREAU</v>
      </c>
      <c r="E223" s="56" t="str">
        <f>VLOOKUP(C223,[1]!Tableau_cotisants,3,FALSE)</f>
        <v>MOREAU</v>
      </c>
      <c r="F223" s="56" t="str">
        <f>VLOOKUP(C223,[1]!Tableau_cotisants,4,FALSE)</f>
        <v>Eliot</v>
      </c>
      <c r="G223" s="57">
        <f>VLOOKUP(C223,[1]!Tableau_cotisants,5,FALSE)</f>
        <v>0</v>
      </c>
      <c r="H223" s="56">
        <f>VLOOKUP(C223,[1]!Tableau_cotisants,6,FALSE)</f>
        <v>0</v>
      </c>
      <c r="I223" s="56">
        <f>VLOOKUP(C223,[1]!Tableau_cotisants,7,FALSE)</f>
        <v>1</v>
      </c>
      <c r="J223" s="58">
        <f>VLOOKUP(C223,[1]!Tableau_cotisants,8,FALSE)</f>
        <v>40452</v>
      </c>
      <c r="K223" s="54" t="str">
        <f t="shared" si="10"/>
        <v>8 an(s) 9 mois et 0 jour(s)</v>
      </c>
      <c r="L223" s="56" t="str">
        <f>VLOOKUP(C223,[1]!Tableau_cotisants,10,FALSE)</f>
        <v>SEGONZAC</v>
      </c>
      <c r="M223" s="57" t="str">
        <f>VLOOKUP(C223,[1]!Tableau_cotisants,11,FALSE)</f>
        <v>Champagne</v>
      </c>
      <c r="N223" s="6"/>
      <c r="O223" s="5">
        <v>1</v>
      </c>
      <c r="P223" s="27">
        <v>1</v>
      </c>
      <c r="Q223" s="26"/>
      <c r="R223" s="74"/>
      <c r="S223" s="55"/>
      <c r="T223" s="55"/>
      <c r="U223" s="55">
        <v>1</v>
      </c>
      <c r="V223" s="168">
        <f t="shared" si="11"/>
        <v>1</v>
      </c>
    </row>
    <row r="224" spans="1:22">
      <c r="A224" s="7"/>
      <c r="B224" s="7"/>
      <c r="C224" s="183" t="s">
        <v>249</v>
      </c>
      <c r="D224" s="56" t="str">
        <f>VLOOKUP(C224,[1]!Tableau_cotisants,2,FALSE)</f>
        <v>MOREAU</v>
      </c>
      <c r="E224" s="56" t="str">
        <f>VLOOKUP(C224,[1]!Tableau_cotisants,3,FALSE)</f>
        <v>MOREAU</v>
      </c>
      <c r="F224" s="56" t="str">
        <f>VLOOKUP(C224,[1]!Tableau_cotisants,4,FALSE)</f>
        <v>Lily</v>
      </c>
      <c r="G224" s="57">
        <f>VLOOKUP(C224,[1]!Tableau_cotisants,5,FALSE)</f>
        <v>0</v>
      </c>
      <c r="H224" s="56">
        <f>VLOOKUP(C224,[1]!Tableau_cotisants,6,FALSE)</f>
        <v>1</v>
      </c>
      <c r="I224" s="56">
        <f>VLOOKUP(C224,[1]!Tableau_cotisants,7,FALSE)</f>
        <v>0</v>
      </c>
      <c r="J224" s="58">
        <f>VLOOKUP(C224,[1]!Tableau_cotisants,8,FALSE)</f>
        <v>41223</v>
      </c>
      <c r="K224" s="54" t="str">
        <f t="shared" si="10"/>
        <v>6 an(s) 7 mois et 21 jour(s)</v>
      </c>
      <c r="L224" s="56" t="str">
        <f>VLOOKUP(C224,[1]!Tableau_cotisants,10,FALSE)</f>
        <v>SEGONZAC</v>
      </c>
      <c r="M224" s="57" t="str">
        <f>VLOOKUP(C224,[1]!Tableau_cotisants,11,FALSE)</f>
        <v>Champagne</v>
      </c>
      <c r="N224" s="6"/>
      <c r="O224" s="5">
        <v>1</v>
      </c>
      <c r="P224" s="27">
        <v>1</v>
      </c>
      <c r="Q224" s="26"/>
      <c r="R224" s="74"/>
      <c r="S224" s="55"/>
      <c r="T224" s="55"/>
      <c r="U224" s="55">
        <v>1</v>
      </c>
      <c r="V224" s="168">
        <f t="shared" si="11"/>
        <v>1</v>
      </c>
    </row>
    <row r="225" spans="1:22">
      <c r="A225" s="7"/>
      <c r="B225" s="7"/>
      <c r="C225" s="108" t="s">
        <v>186</v>
      </c>
      <c r="D225" s="56" t="str">
        <f>VLOOKUP(C225,[1]!Tableau_cotisants,2,FALSE)</f>
        <v>SUIRE/GIRAUD</v>
      </c>
      <c r="E225" s="56" t="str">
        <f>VLOOKUP(C225,[1]!Tableau_cotisants,3,FALSE)</f>
        <v>GIRAUD</v>
      </c>
      <c r="F225" s="56" t="str">
        <f>VLOOKUP(C225,[1]!Tableau_cotisants,4,FALSE)</f>
        <v>Julie</v>
      </c>
      <c r="G225" s="57">
        <f>VLOOKUP(C225,[1]!Tableau_cotisants,5,FALSE)</f>
        <v>0</v>
      </c>
      <c r="H225" s="56">
        <f>VLOOKUP(C225,[1]!Tableau_cotisants,6,FALSE)</f>
        <v>1</v>
      </c>
      <c r="I225" s="56">
        <f>VLOOKUP(C225,[1]!Tableau_cotisants,7,FALSE)</f>
        <v>0</v>
      </c>
      <c r="J225" s="58">
        <f>VLOOKUP(C225,[1]!Tableau_cotisants,8,FALSE)</f>
        <v>31503</v>
      </c>
      <c r="K225" s="54" t="str">
        <f t="shared" si="10"/>
        <v>33 an(s) 3 mois et 0 jour(s)</v>
      </c>
      <c r="L225" s="56" t="str">
        <f>VLOOKUP(C225,[1]!Tableau_cotisants,10,FALSE)</f>
        <v>SEGONZAC</v>
      </c>
      <c r="M225" s="57" t="str">
        <f>VLOOKUP(C225,[1]!Tableau_cotisants,11,FALSE)</f>
        <v>Champagne</v>
      </c>
      <c r="N225" s="6"/>
      <c r="O225" s="5">
        <v>1</v>
      </c>
      <c r="P225" s="27">
        <v>1</v>
      </c>
      <c r="Q225" s="26"/>
      <c r="R225" s="74"/>
      <c r="S225" s="55"/>
      <c r="T225" s="55"/>
      <c r="U225" s="55"/>
      <c r="V225" s="168">
        <f t="shared" si="11"/>
        <v>1</v>
      </c>
    </row>
    <row r="226" spans="1:22">
      <c r="A226" s="7"/>
      <c r="B226" s="7"/>
      <c r="C226" s="108" t="s">
        <v>187</v>
      </c>
      <c r="D226" s="56" t="str">
        <f>VLOOKUP(C226,[1]!Tableau_cotisants,2,FALSE)</f>
        <v>SUIRE/GIRAUD</v>
      </c>
      <c r="E226" s="56" t="str">
        <f>VLOOKUP(C226,[1]!Tableau_cotisants,3,FALSE)</f>
        <v>SUIRE</v>
      </c>
      <c r="F226" s="56" t="str">
        <f>VLOOKUP(C226,[1]!Tableau_cotisants,4,FALSE)</f>
        <v>Romy</v>
      </c>
      <c r="G226" s="57">
        <f>VLOOKUP(C226,[1]!Tableau_cotisants,5,FALSE)</f>
        <v>0</v>
      </c>
      <c r="H226" s="56">
        <f>VLOOKUP(C226,[1]!Tableau_cotisants,6,FALSE)</f>
        <v>1</v>
      </c>
      <c r="I226" s="56">
        <f>VLOOKUP(C226,[1]!Tableau_cotisants,7,FALSE)</f>
        <v>0</v>
      </c>
      <c r="J226" s="58">
        <f>VLOOKUP(C226,[1]!Tableau_cotisants,8,FALSE)</f>
        <v>41837</v>
      </c>
      <c r="K226" s="54" t="str">
        <f t="shared" si="10"/>
        <v>4 an(s) 11 mois et 14 jour(s)</v>
      </c>
      <c r="L226" s="56" t="str">
        <f>VLOOKUP(C226,[1]!Tableau_cotisants,10,FALSE)</f>
        <v>SEGONZAC</v>
      </c>
      <c r="M226" s="57" t="str">
        <f>VLOOKUP(C226,[1]!Tableau_cotisants,11,FALSE)</f>
        <v>Champagne</v>
      </c>
      <c r="N226" s="6"/>
      <c r="O226" s="5">
        <v>1</v>
      </c>
      <c r="P226" s="27">
        <v>1</v>
      </c>
      <c r="Q226" s="26"/>
      <c r="R226" s="74"/>
      <c r="S226" s="55"/>
      <c r="T226" s="55"/>
      <c r="U226" s="55"/>
      <c r="V226" s="168">
        <f t="shared" si="11"/>
        <v>1</v>
      </c>
    </row>
    <row r="227" spans="1:22">
      <c r="A227" s="7"/>
      <c r="B227" s="7"/>
      <c r="C227" s="108" t="s">
        <v>188</v>
      </c>
      <c r="D227" s="56" t="str">
        <f>VLOOKUP(C227,[1]!Tableau_cotisants,2,FALSE)</f>
        <v>SUIRE/GIRAUD</v>
      </c>
      <c r="E227" s="56" t="str">
        <f>VLOOKUP(C227,[1]!Tableau_cotisants,3,FALSE)</f>
        <v>SUIRE</v>
      </c>
      <c r="F227" s="56" t="str">
        <f>VLOOKUP(C227,[1]!Tableau_cotisants,4,FALSE)</f>
        <v>Giulia</v>
      </c>
      <c r="G227" s="57">
        <f>VLOOKUP(C227,[1]!Tableau_cotisants,5,FALSE)</f>
        <v>0</v>
      </c>
      <c r="H227" s="56">
        <f>VLOOKUP(C227,[1]!Tableau_cotisants,6,FALSE)</f>
        <v>1</v>
      </c>
      <c r="I227" s="56">
        <f>VLOOKUP(C227,[1]!Tableau_cotisants,7,FALSE)</f>
        <v>0</v>
      </c>
      <c r="J227" s="58">
        <f>VLOOKUP(C227,[1]!Tableau_cotisants,8,FALSE)</f>
        <v>43038</v>
      </c>
      <c r="K227" s="54" t="str">
        <f t="shared" si="10"/>
        <v>1 an(s) 8 mois et 1 jour(s)</v>
      </c>
      <c r="L227" s="56" t="str">
        <f>VLOOKUP(C227,[1]!Tableau_cotisants,10,FALSE)</f>
        <v>SEGONZAC</v>
      </c>
      <c r="M227" s="57" t="str">
        <f>VLOOKUP(C227,[1]!Tableau_cotisants,11,FALSE)</f>
        <v>Champagne</v>
      </c>
      <c r="N227" s="6"/>
      <c r="O227" s="5">
        <v>1</v>
      </c>
      <c r="P227" s="27">
        <v>1</v>
      </c>
      <c r="Q227" s="26"/>
      <c r="R227" s="74"/>
      <c r="S227" s="55"/>
      <c r="T227" s="55"/>
      <c r="U227" s="55"/>
      <c r="V227" s="168">
        <f t="shared" si="11"/>
        <v>1</v>
      </c>
    </row>
    <row r="228" spans="1:22">
      <c r="A228" s="172"/>
      <c r="B228" s="171"/>
      <c r="C228" s="130" t="s">
        <v>147</v>
      </c>
      <c r="D228" s="52" t="str">
        <f>VLOOKUP(C228,[1]!Tableau_cotisants,2,FALSE)</f>
        <v>OZANNE</v>
      </c>
      <c r="E228" s="52" t="str">
        <f>VLOOKUP(C228,[1]!Tableau_cotisants,3,FALSE)</f>
        <v>OZANNE</v>
      </c>
      <c r="F228" s="52" t="str">
        <f>VLOOKUP(C228,[1]!Tableau_cotisants,4,FALSE)</f>
        <v>Hortense</v>
      </c>
      <c r="G228" s="53">
        <f>VLOOKUP(C228,[1]!Tableau_cotisants,5,FALSE)</f>
        <v>0</v>
      </c>
      <c r="H228" s="52">
        <f>VLOOKUP(C228,[1]!Tableau_cotisants,6,FALSE)</f>
        <v>1</v>
      </c>
      <c r="I228" s="52">
        <f>VLOOKUP(C228,[1]!Tableau_cotisants,7,FALSE)</f>
        <v>0</v>
      </c>
      <c r="J228" s="54">
        <f>VLOOKUP(C228,[1]!Tableau_cotisants,8,FALSE)</f>
        <v>30312</v>
      </c>
      <c r="K228" s="54" t="str">
        <f t="shared" si="10"/>
        <v>36 an(s) 6 mois et 4 jour(s)</v>
      </c>
      <c r="L228" s="52" t="str">
        <f>VLOOKUP(C228,[1]!Tableau_cotisants,10,FALSE)</f>
        <v>Cognac</v>
      </c>
      <c r="M228" s="53" t="str">
        <f>VLOOKUP(C228,[1]!Tableau_cotisants,11,FALSE)</f>
        <v>Cognac</v>
      </c>
      <c r="N228" s="99"/>
      <c r="O228" s="57">
        <v>1</v>
      </c>
      <c r="P228" s="68">
        <v>1</v>
      </c>
      <c r="Q228" s="191"/>
      <c r="R228" s="193"/>
      <c r="S228" s="55"/>
      <c r="T228" s="55"/>
      <c r="U228" s="55"/>
      <c r="V228" s="168">
        <f t="shared" si="11"/>
        <v>1</v>
      </c>
    </row>
    <row r="229" spans="1:22">
      <c r="A229" s="172"/>
      <c r="B229" s="171"/>
      <c r="C229" s="181" t="s">
        <v>148</v>
      </c>
      <c r="D229" s="52" t="str">
        <f>VLOOKUP(C229,[1]!Tableau_cotisants,2,FALSE)</f>
        <v>OZANNE</v>
      </c>
      <c r="E229" s="52" t="str">
        <f>VLOOKUP(C229,[1]!Tableau_cotisants,3,FALSE)</f>
        <v>OZANNE</v>
      </c>
      <c r="F229" s="52" t="str">
        <f>VLOOKUP(C229,[1]!Tableau_cotisants,4,FALSE)</f>
        <v>Georges</v>
      </c>
      <c r="G229" s="53">
        <f>VLOOKUP(C229,[1]!Tableau_cotisants,5,FALSE)</f>
        <v>0</v>
      </c>
      <c r="H229" s="52">
        <f>VLOOKUP(C229,[1]!Tableau_cotisants,6,FALSE)</f>
        <v>0</v>
      </c>
      <c r="I229" s="52">
        <f>VLOOKUP(C229,[1]!Tableau_cotisants,7,FALSE)</f>
        <v>1</v>
      </c>
      <c r="J229" s="54">
        <f>VLOOKUP(C229,[1]!Tableau_cotisants,8,FALSE)</f>
        <v>41702</v>
      </c>
      <c r="K229" s="54" t="str">
        <f t="shared" si="10"/>
        <v>5 an(s) 3 mois et 27 jour(s)</v>
      </c>
      <c r="L229" s="52" t="str">
        <f>VLOOKUP(C229,[1]!Tableau_cotisants,10,FALSE)</f>
        <v>Cognac</v>
      </c>
      <c r="M229" s="53" t="str">
        <f>VLOOKUP(C229,[1]!Tableau_cotisants,11,FALSE)</f>
        <v>Cognac</v>
      </c>
      <c r="N229" s="99"/>
      <c r="O229" s="57">
        <v>1</v>
      </c>
      <c r="P229" s="68">
        <v>1</v>
      </c>
      <c r="Q229" s="191"/>
      <c r="R229" s="193"/>
      <c r="S229" s="55"/>
      <c r="T229" s="55"/>
      <c r="U229" s="55"/>
      <c r="V229" s="168">
        <f t="shared" si="11"/>
        <v>1</v>
      </c>
    </row>
    <row r="230" spans="1:22">
      <c r="A230" s="172"/>
      <c r="B230" s="171"/>
      <c r="C230" s="181" t="s">
        <v>149</v>
      </c>
      <c r="D230" s="52" t="str">
        <f>VLOOKUP(C230,[1]!Tableau_cotisants,2,FALSE)</f>
        <v>OZANNE</v>
      </c>
      <c r="E230" s="52" t="str">
        <f>VLOOKUP(C230,[1]!Tableau_cotisants,3,FALSE)</f>
        <v>OZANNE</v>
      </c>
      <c r="F230" s="52" t="str">
        <f>VLOOKUP(C230,[1]!Tableau_cotisants,4,FALSE)</f>
        <v>Arnaud</v>
      </c>
      <c r="G230" s="53">
        <f>VLOOKUP(C230,[1]!Tableau_cotisants,5,FALSE)</f>
        <v>0</v>
      </c>
      <c r="H230" s="52">
        <f>VLOOKUP(C230,[1]!Tableau_cotisants,6,FALSE)</f>
        <v>0</v>
      </c>
      <c r="I230" s="52">
        <f>VLOOKUP(C230,[1]!Tableau_cotisants,7,FALSE)</f>
        <v>1</v>
      </c>
      <c r="J230" s="54">
        <f>VLOOKUP(C230,[1]!Tableau_cotisants,8,FALSE)</f>
        <v>42313</v>
      </c>
      <c r="K230" s="54" t="str">
        <f t="shared" si="10"/>
        <v>3 an(s) 7 mois et 26 jour(s)</v>
      </c>
      <c r="L230" s="52" t="str">
        <f>VLOOKUP(C230,[1]!Tableau_cotisants,10,FALSE)</f>
        <v>Cognac</v>
      </c>
      <c r="M230" s="53" t="str">
        <f>VLOOKUP(C230,[1]!Tableau_cotisants,11,FALSE)</f>
        <v>Cognac</v>
      </c>
      <c r="N230" s="99"/>
      <c r="O230" s="57">
        <v>1</v>
      </c>
      <c r="P230" s="68">
        <v>1</v>
      </c>
      <c r="Q230" s="191"/>
      <c r="R230" s="193"/>
      <c r="S230" s="55"/>
      <c r="T230" s="55"/>
      <c r="U230" s="55"/>
      <c r="V230" s="168">
        <f t="shared" si="11"/>
        <v>1</v>
      </c>
    </row>
    <row r="231" spans="1:22">
      <c r="A231" s="172"/>
      <c r="B231" s="171"/>
      <c r="C231" s="181" t="s">
        <v>150</v>
      </c>
      <c r="D231" s="52" t="str">
        <f>VLOOKUP(C231,[1]!Tableau_cotisants,2,FALSE)</f>
        <v>OZANNE</v>
      </c>
      <c r="E231" s="52" t="str">
        <f>VLOOKUP(C231,[1]!Tableau_cotisants,3,FALSE)</f>
        <v>OZANNE</v>
      </c>
      <c r="F231" s="52" t="str">
        <f>VLOOKUP(C231,[1]!Tableau_cotisants,4,FALSE)</f>
        <v>Constantin</v>
      </c>
      <c r="G231" s="53">
        <f>VLOOKUP(C231,[1]!Tableau_cotisants,5,FALSE)</f>
        <v>0</v>
      </c>
      <c r="H231" s="52">
        <f>VLOOKUP(C231,[1]!Tableau_cotisants,6,FALSE)</f>
        <v>0</v>
      </c>
      <c r="I231" s="52">
        <f>VLOOKUP(C231,[1]!Tableau_cotisants,7,FALSE)</f>
        <v>1</v>
      </c>
      <c r="J231" s="54">
        <f>VLOOKUP(C231,[1]!Tableau_cotisants,8,FALSE)</f>
        <v>43119</v>
      </c>
      <c r="K231" s="54" t="str">
        <f t="shared" si="10"/>
        <v>1 an(s) 5 mois et 12 jour(s)</v>
      </c>
      <c r="L231" s="52" t="str">
        <f>VLOOKUP(C231,[1]!Tableau_cotisants,10,FALSE)</f>
        <v>Cognac</v>
      </c>
      <c r="M231" s="53" t="str">
        <f>VLOOKUP(C231,[1]!Tableau_cotisants,11,FALSE)</f>
        <v>Cognac</v>
      </c>
      <c r="N231" s="99"/>
      <c r="O231" s="57">
        <v>1</v>
      </c>
      <c r="P231" s="68">
        <v>1</v>
      </c>
      <c r="Q231" s="191"/>
      <c r="R231" s="193"/>
      <c r="S231" s="55"/>
      <c r="T231" s="55"/>
      <c r="U231" s="55"/>
      <c r="V231" s="168">
        <f t="shared" si="11"/>
        <v>1</v>
      </c>
    </row>
    <row r="232" spans="1:22">
      <c r="A232" s="172"/>
      <c r="B232" s="171"/>
      <c r="C232" s="110" t="s">
        <v>104</v>
      </c>
      <c r="D232" s="52" t="str">
        <f>VLOOKUP(C232,[1]!Tableau_cotisants,2,FALSE)</f>
        <v>BOUBEE-SAUNIER</v>
      </c>
      <c r="E232" s="52" t="str">
        <f>VLOOKUP(C232,[1]!Tableau_cotisants,3,FALSE)</f>
        <v>SAUNIER</v>
      </c>
      <c r="F232" s="52" t="str">
        <f>VLOOKUP(C232,[1]!Tableau_cotisants,4,FALSE)</f>
        <v>Amélie</v>
      </c>
      <c r="G232" s="53">
        <f>VLOOKUP(C232,[1]!Tableau_cotisants,5,FALSE)</f>
        <v>0</v>
      </c>
      <c r="H232" s="52">
        <f>VLOOKUP(C232,[1]!Tableau_cotisants,6,FALSE)</f>
        <v>1</v>
      </c>
      <c r="I232" s="52">
        <f>VLOOKUP(C232,[1]!Tableau_cotisants,7,FALSE)</f>
        <v>0</v>
      </c>
      <c r="J232" s="54">
        <f>VLOOKUP(C232,[1]!Tableau_cotisants,8,FALSE)</f>
        <v>31304</v>
      </c>
      <c r="K232" s="54" t="str">
        <f t="shared" si="10"/>
        <v>33 an(s) 9 mois et 17 jour(s)</v>
      </c>
      <c r="L232" s="52" t="str">
        <f>VLOOKUP(C232,[1]!Tableau_cotisants,10,FALSE)</f>
        <v>SEGONZAC</v>
      </c>
      <c r="M232" s="53" t="str">
        <f>VLOOKUP(C232,[1]!Tableau_cotisants,11,FALSE)</f>
        <v>Champagne</v>
      </c>
      <c r="N232" s="6">
        <v>1</v>
      </c>
      <c r="O232" s="5"/>
      <c r="P232" s="27">
        <v>1</v>
      </c>
      <c r="Q232" s="26"/>
      <c r="R232" s="74"/>
      <c r="S232" s="55"/>
      <c r="T232" s="55"/>
      <c r="U232" s="55"/>
      <c r="V232" s="168">
        <f t="shared" si="11"/>
        <v>1</v>
      </c>
    </row>
    <row r="233" spans="1:22">
      <c r="A233" s="7"/>
      <c r="B233" s="7"/>
      <c r="C233" s="110" t="s">
        <v>104</v>
      </c>
      <c r="D233" s="56" t="str">
        <f>VLOOKUP(C233,[1]!Tableau_cotisants,2,FALSE)</f>
        <v>BOUBEE-SAUNIER</v>
      </c>
      <c r="E233" s="56" t="str">
        <f>VLOOKUP(C233,[1]!Tableau_cotisants,3,FALSE)</f>
        <v>SAUNIER</v>
      </c>
      <c r="F233" s="56" t="str">
        <f>VLOOKUP(C233,[1]!Tableau_cotisants,4,FALSE)</f>
        <v>Amélie</v>
      </c>
      <c r="G233" s="57">
        <f>VLOOKUP(C233,[1]!Tableau_cotisants,5,FALSE)</f>
        <v>0</v>
      </c>
      <c r="H233" s="56">
        <f>VLOOKUP(C233,[1]!Tableau_cotisants,6,FALSE)</f>
        <v>1</v>
      </c>
      <c r="I233" s="56">
        <f>VLOOKUP(C233,[1]!Tableau_cotisants,7,FALSE)</f>
        <v>0</v>
      </c>
      <c r="J233" s="58">
        <f>VLOOKUP(C233,[1]!Tableau_cotisants,8,FALSE)</f>
        <v>31304</v>
      </c>
      <c r="K233" s="54" t="str">
        <f t="shared" si="10"/>
        <v>33 an(s) 9 mois et 17 jour(s)</v>
      </c>
      <c r="L233" s="56" t="str">
        <f>VLOOKUP(C233,[1]!Tableau_cotisants,10,FALSE)</f>
        <v>SEGONZAC</v>
      </c>
      <c r="M233" s="57" t="str">
        <f>VLOOKUP(C233,[1]!Tableau_cotisants,11,FALSE)</f>
        <v>Champagne</v>
      </c>
      <c r="N233" s="6"/>
      <c r="O233" s="5">
        <v>1</v>
      </c>
      <c r="P233" s="27">
        <v>1</v>
      </c>
      <c r="Q233" s="26"/>
      <c r="R233" s="74"/>
      <c r="S233" s="55"/>
      <c r="T233" s="55"/>
      <c r="U233" s="55"/>
      <c r="V233" s="168">
        <f t="shared" si="11"/>
        <v>1</v>
      </c>
    </row>
    <row r="234" spans="1:22">
      <c r="A234" s="172"/>
      <c r="B234" s="171"/>
      <c r="C234" s="110" t="s">
        <v>105</v>
      </c>
      <c r="D234" s="52" t="str">
        <f>VLOOKUP(C234,[1]!Tableau_cotisants,2,FALSE)</f>
        <v>BOUBEE-SAUNIER</v>
      </c>
      <c r="E234" s="52" t="str">
        <f>VLOOKUP(C234,[1]!Tableau_cotisants,3,FALSE)</f>
        <v>BOUBEE-SAUNIER</v>
      </c>
      <c r="F234" s="52" t="str">
        <f>VLOOKUP(C234,[1]!Tableau_cotisants,4,FALSE)</f>
        <v>Lisa</v>
      </c>
      <c r="G234" s="53">
        <f>VLOOKUP(C234,[1]!Tableau_cotisants,5,FALSE)</f>
        <v>0</v>
      </c>
      <c r="H234" s="52">
        <f>VLOOKUP(C234,[1]!Tableau_cotisants,6,FALSE)</f>
        <v>1</v>
      </c>
      <c r="I234" s="52">
        <f>VLOOKUP(C234,[1]!Tableau_cotisants,7,FALSE)</f>
        <v>0</v>
      </c>
      <c r="J234" s="54">
        <f>VLOOKUP(C234,[1]!Tableau_cotisants,8,FALSE)</f>
        <v>41245</v>
      </c>
      <c r="K234" s="54" t="str">
        <f t="shared" si="10"/>
        <v>6 an(s) 6 mois et 29 jour(s)</v>
      </c>
      <c r="L234" s="52" t="str">
        <f>VLOOKUP(C234,[1]!Tableau_cotisants,10,FALSE)</f>
        <v>SEGONZAC</v>
      </c>
      <c r="M234" s="53" t="str">
        <f>VLOOKUP(C234,[1]!Tableau_cotisants,11,FALSE)</f>
        <v>Champagne</v>
      </c>
      <c r="N234" s="6">
        <v>1</v>
      </c>
      <c r="O234" s="5"/>
      <c r="P234" s="27">
        <v>1</v>
      </c>
      <c r="Q234" s="26"/>
      <c r="R234" s="74"/>
      <c r="S234" s="55"/>
      <c r="T234" s="55"/>
      <c r="U234" s="55"/>
      <c r="V234" s="168">
        <f t="shared" si="11"/>
        <v>1</v>
      </c>
    </row>
    <row r="235" spans="1:22">
      <c r="A235" s="7"/>
      <c r="B235" s="7"/>
      <c r="C235" s="179" t="s">
        <v>105</v>
      </c>
      <c r="D235" s="56" t="str">
        <f>VLOOKUP(C235,[1]!Tableau_cotisants,2,FALSE)</f>
        <v>BOUBEE-SAUNIER</v>
      </c>
      <c r="E235" s="56" t="str">
        <f>VLOOKUP(C235,[1]!Tableau_cotisants,3,FALSE)</f>
        <v>BOUBEE-SAUNIER</v>
      </c>
      <c r="F235" s="56" t="str">
        <f>VLOOKUP(C235,[1]!Tableau_cotisants,4,FALSE)</f>
        <v>Lisa</v>
      </c>
      <c r="G235" s="57">
        <f>VLOOKUP(C235,[1]!Tableau_cotisants,5,FALSE)</f>
        <v>0</v>
      </c>
      <c r="H235" s="56">
        <f>VLOOKUP(C235,[1]!Tableau_cotisants,6,FALSE)</f>
        <v>1</v>
      </c>
      <c r="I235" s="56">
        <f>VLOOKUP(C235,[1]!Tableau_cotisants,7,FALSE)</f>
        <v>0</v>
      </c>
      <c r="J235" s="58">
        <f>VLOOKUP(C235,[1]!Tableau_cotisants,8,FALSE)</f>
        <v>41245</v>
      </c>
      <c r="K235" s="54" t="str">
        <f t="shared" si="10"/>
        <v>6 an(s) 6 mois et 29 jour(s)</v>
      </c>
      <c r="L235" s="56" t="str">
        <f>VLOOKUP(C235,[1]!Tableau_cotisants,10,FALSE)</f>
        <v>SEGONZAC</v>
      </c>
      <c r="M235" s="57" t="str">
        <f>VLOOKUP(C235,[1]!Tableau_cotisants,11,FALSE)</f>
        <v>Champagne</v>
      </c>
      <c r="N235" s="6"/>
      <c r="O235" s="5">
        <v>1</v>
      </c>
      <c r="P235" s="27">
        <v>1</v>
      </c>
      <c r="Q235" s="26"/>
      <c r="R235" s="74"/>
      <c r="S235" s="55"/>
      <c r="T235" s="55"/>
      <c r="U235" s="55"/>
      <c r="V235" s="168">
        <f t="shared" si="11"/>
        <v>1</v>
      </c>
    </row>
    <row r="236" spans="1:22">
      <c r="A236" s="172"/>
      <c r="B236" s="171"/>
      <c r="C236" s="110" t="s">
        <v>106</v>
      </c>
      <c r="D236" s="52" t="str">
        <f>VLOOKUP(C236,[1]!Tableau_cotisants,2,FALSE)</f>
        <v>BOUBEE-SAUNIER</v>
      </c>
      <c r="E236" s="52" t="str">
        <f>VLOOKUP(C236,[1]!Tableau_cotisants,3,FALSE)</f>
        <v>BOUBEE-SAUNIER</v>
      </c>
      <c r="F236" s="52" t="str">
        <f>VLOOKUP(C236,[1]!Tableau_cotisants,4,FALSE)</f>
        <v>Lucas</v>
      </c>
      <c r="G236" s="53">
        <f>VLOOKUP(C236,[1]!Tableau_cotisants,5,FALSE)</f>
        <v>0</v>
      </c>
      <c r="H236" s="52">
        <f>VLOOKUP(C236,[1]!Tableau_cotisants,6,FALSE)</f>
        <v>0</v>
      </c>
      <c r="I236" s="52">
        <f>VLOOKUP(C236,[1]!Tableau_cotisants,7,FALSE)</f>
        <v>1</v>
      </c>
      <c r="J236" s="54">
        <f>VLOOKUP(C236,[1]!Tableau_cotisants,8,FALSE)</f>
        <v>42216</v>
      </c>
      <c r="K236" s="54" t="str">
        <f t="shared" si="10"/>
        <v>3 an(s) 11 mois et 0 jour(s)</v>
      </c>
      <c r="L236" s="52" t="str">
        <f>VLOOKUP(C236,[1]!Tableau_cotisants,10,FALSE)</f>
        <v>SEGONZAC</v>
      </c>
      <c r="M236" s="53" t="str">
        <f>VLOOKUP(C236,[1]!Tableau_cotisants,11,FALSE)</f>
        <v>Champagne</v>
      </c>
      <c r="N236" s="6">
        <v>1</v>
      </c>
      <c r="O236" s="5"/>
      <c r="P236" s="27">
        <v>1</v>
      </c>
      <c r="Q236" s="26"/>
      <c r="R236" s="74"/>
      <c r="S236" s="55"/>
      <c r="T236" s="55"/>
      <c r="U236" s="55"/>
      <c r="V236" s="168">
        <f t="shared" si="11"/>
        <v>1</v>
      </c>
    </row>
    <row r="237" spans="1:22">
      <c r="A237" s="7"/>
      <c r="B237" s="7"/>
      <c r="C237" s="110" t="s">
        <v>106</v>
      </c>
      <c r="D237" s="56" t="str">
        <f>VLOOKUP(C237,[1]!Tableau_cotisants,2,FALSE)</f>
        <v>BOUBEE-SAUNIER</v>
      </c>
      <c r="E237" s="56" t="str">
        <f>VLOOKUP(C237,[1]!Tableau_cotisants,3,FALSE)</f>
        <v>BOUBEE-SAUNIER</v>
      </c>
      <c r="F237" s="56" t="str">
        <f>VLOOKUP(C237,[1]!Tableau_cotisants,4,FALSE)</f>
        <v>Lucas</v>
      </c>
      <c r="G237" s="57">
        <f>VLOOKUP(C237,[1]!Tableau_cotisants,5,FALSE)</f>
        <v>0</v>
      </c>
      <c r="H237" s="56">
        <f>VLOOKUP(C237,[1]!Tableau_cotisants,6,FALSE)</f>
        <v>0</v>
      </c>
      <c r="I237" s="56">
        <f>VLOOKUP(C237,[1]!Tableau_cotisants,7,FALSE)</f>
        <v>1</v>
      </c>
      <c r="J237" s="58">
        <f>VLOOKUP(C237,[1]!Tableau_cotisants,8,FALSE)</f>
        <v>42216</v>
      </c>
      <c r="K237" s="54" t="str">
        <f t="shared" si="10"/>
        <v>3 an(s) 11 mois et 0 jour(s)</v>
      </c>
      <c r="L237" s="56" t="str">
        <f>VLOOKUP(C237,[1]!Tableau_cotisants,10,FALSE)</f>
        <v>SEGONZAC</v>
      </c>
      <c r="M237" s="57" t="str">
        <f>VLOOKUP(C237,[1]!Tableau_cotisants,11,FALSE)</f>
        <v>Champagne</v>
      </c>
      <c r="N237" s="6"/>
      <c r="O237" s="5">
        <v>1</v>
      </c>
      <c r="P237" s="27">
        <v>1</v>
      </c>
      <c r="Q237" s="26"/>
      <c r="R237" s="74"/>
      <c r="S237" s="55"/>
      <c r="T237" s="55"/>
      <c r="U237" s="55"/>
      <c r="V237" s="168">
        <f t="shared" si="11"/>
        <v>1</v>
      </c>
    </row>
    <row r="238" spans="1:22">
      <c r="A238" s="172"/>
      <c r="B238" s="171"/>
      <c r="C238" s="122" t="s">
        <v>134</v>
      </c>
      <c r="D238" s="52" t="str">
        <f>VLOOKUP(C238,[1]!Tableau_cotisants,2,FALSE)</f>
        <v>RATIE/LONJARD</v>
      </c>
      <c r="E238" s="52" t="str">
        <f>VLOOKUP(C238,[1]!Tableau_cotisants,3,FALSE)</f>
        <v>LONJARD</v>
      </c>
      <c r="F238" s="52" t="str">
        <f>VLOOKUP(C238,[1]!Tableau_cotisants,4,FALSE)</f>
        <v>Nathalie</v>
      </c>
      <c r="G238" s="53">
        <f>VLOOKUP(C238,[1]!Tableau_cotisants,5,FALSE)</f>
        <v>0</v>
      </c>
      <c r="H238" s="52">
        <f>VLOOKUP(C238,[1]!Tableau_cotisants,6,FALSE)</f>
        <v>1</v>
      </c>
      <c r="I238" s="52">
        <f>VLOOKUP(C238,[1]!Tableau_cotisants,7,FALSE)</f>
        <v>0</v>
      </c>
      <c r="J238" s="54">
        <f>VLOOKUP(C238,[1]!Tableau_cotisants,8,FALSE)</f>
        <v>23531</v>
      </c>
      <c r="K238" s="54" t="str">
        <f t="shared" si="10"/>
        <v>55 an(s) 0 mois et 28 jour(s)</v>
      </c>
      <c r="L238" s="52" t="str">
        <f>VLOOKUP(C238,[1]!Tableau_cotisants,10,FALSE)</f>
        <v>SEGONZAC</v>
      </c>
      <c r="M238" s="53" t="str">
        <f>VLOOKUP(C238,[1]!Tableau_cotisants,11,FALSE)</f>
        <v>Champagne</v>
      </c>
      <c r="N238" s="85">
        <v>1</v>
      </c>
      <c r="O238" s="57"/>
      <c r="P238" s="68"/>
      <c r="Q238" s="191">
        <v>1</v>
      </c>
      <c r="R238" s="193"/>
      <c r="S238" s="55"/>
      <c r="T238" s="55"/>
      <c r="U238" s="55"/>
      <c r="V238" s="168">
        <f t="shared" si="11"/>
        <v>1</v>
      </c>
    </row>
    <row r="239" spans="1:22">
      <c r="A239" s="7"/>
      <c r="B239" s="7"/>
      <c r="C239" s="109" t="s">
        <v>134</v>
      </c>
      <c r="D239" s="52" t="str">
        <f>VLOOKUP(C239,[1]!Tableau_cotisants,2,FALSE)</f>
        <v>RATIE/LONJARD</v>
      </c>
      <c r="E239" s="52" t="str">
        <f>VLOOKUP(C239,[1]!Tableau_cotisants,3,FALSE)</f>
        <v>LONJARD</v>
      </c>
      <c r="F239" s="52" t="str">
        <f>VLOOKUP(C239,[1]!Tableau_cotisants,4,FALSE)</f>
        <v>Nathalie</v>
      </c>
      <c r="G239" s="53">
        <f>VLOOKUP(C239,[1]!Tableau_cotisants,5,FALSE)</f>
        <v>0</v>
      </c>
      <c r="H239" s="52">
        <f>VLOOKUP(C239,[1]!Tableau_cotisants,6,FALSE)</f>
        <v>1</v>
      </c>
      <c r="I239" s="52">
        <f>VLOOKUP(C239,[1]!Tableau_cotisants,7,FALSE)</f>
        <v>0</v>
      </c>
      <c r="J239" s="54">
        <f>VLOOKUP(C239,[1]!Tableau_cotisants,8,FALSE)</f>
        <v>23531</v>
      </c>
      <c r="K239" s="54" t="str">
        <f t="shared" si="10"/>
        <v>55 an(s) 0 mois et 28 jour(s)</v>
      </c>
      <c r="L239" s="52" t="str">
        <f>VLOOKUP(C239,[1]!Tableau_cotisants,10,FALSE)</f>
        <v>SEGONZAC</v>
      </c>
      <c r="M239" s="53" t="str">
        <f>VLOOKUP(C239,[1]!Tableau_cotisants,11,FALSE)</f>
        <v>Champagne</v>
      </c>
      <c r="N239" s="6">
        <v>1</v>
      </c>
      <c r="O239" s="5"/>
      <c r="P239" s="27"/>
      <c r="Q239" s="26">
        <v>1</v>
      </c>
      <c r="R239" s="74"/>
      <c r="S239" s="55"/>
      <c r="T239" s="55"/>
      <c r="U239" s="55"/>
      <c r="V239" s="168">
        <f t="shared" si="11"/>
        <v>1</v>
      </c>
    </row>
    <row r="240" spans="1:22">
      <c r="A240" s="7"/>
      <c r="B240" s="7"/>
      <c r="C240" s="122" t="s">
        <v>134</v>
      </c>
      <c r="D240" s="56" t="str">
        <f>VLOOKUP(C240,[1]!Tableau_cotisants,2,FALSE)</f>
        <v>RATIE/LONJARD</v>
      </c>
      <c r="E240" s="56" t="str">
        <f>VLOOKUP(C240,[1]!Tableau_cotisants,3,FALSE)</f>
        <v>LONJARD</v>
      </c>
      <c r="F240" s="56" t="str">
        <f>VLOOKUP(C240,[1]!Tableau_cotisants,4,FALSE)</f>
        <v>Nathalie</v>
      </c>
      <c r="G240" s="57">
        <f>VLOOKUP(C240,[1]!Tableau_cotisants,5,FALSE)</f>
        <v>0</v>
      </c>
      <c r="H240" s="56">
        <f>VLOOKUP(C240,[1]!Tableau_cotisants,6,FALSE)</f>
        <v>1</v>
      </c>
      <c r="I240" s="56">
        <f>VLOOKUP(C240,[1]!Tableau_cotisants,7,FALSE)</f>
        <v>0</v>
      </c>
      <c r="J240" s="58">
        <f>VLOOKUP(C240,[1]!Tableau_cotisants,8,FALSE)</f>
        <v>23531</v>
      </c>
      <c r="K240" s="54" t="str">
        <f t="shared" si="10"/>
        <v>55 an(s) 0 mois et 28 jour(s)</v>
      </c>
      <c r="L240" s="56" t="str">
        <f>VLOOKUP(C240,[1]!Tableau_cotisants,10,FALSE)</f>
        <v>SEGONZAC</v>
      </c>
      <c r="M240" s="57" t="str">
        <f>VLOOKUP(C240,[1]!Tableau_cotisants,11,FALSE)</f>
        <v>Champagne</v>
      </c>
      <c r="N240" s="6"/>
      <c r="O240" s="5">
        <v>1</v>
      </c>
      <c r="P240" s="27"/>
      <c r="Q240" s="26">
        <v>1</v>
      </c>
      <c r="R240" s="74"/>
      <c r="S240" s="55"/>
      <c r="T240" s="55"/>
      <c r="U240" s="55"/>
      <c r="V240" s="168">
        <f t="shared" si="11"/>
        <v>1</v>
      </c>
    </row>
    <row r="241" spans="1:22">
      <c r="A241" s="172"/>
      <c r="B241" s="171"/>
      <c r="C241" s="122" t="s">
        <v>135</v>
      </c>
      <c r="D241" s="52" t="str">
        <f>VLOOKUP(C241,[1]!Tableau_cotisants,2,FALSE)</f>
        <v>RATIE/LONJARD</v>
      </c>
      <c r="E241" s="52" t="str">
        <f>VLOOKUP(C241,[1]!Tableau_cotisants,3,FALSE)</f>
        <v>RATIE</v>
      </c>
      <c r="F241" s="52" t="str">
        <f>VLOOKUP(C241,[1]!Tableau_cotisants,4,FALSE)</f>
        <v>Nathan</v>
      </c>
      <c r="G241" s="53">
        <f>VLOOKUP(C241,[1]!Tableau_cotisants,5,FALSE)</f>
        <v>0</v>
      </c>
      <c r="H241" s="52">
        <f>VLOOKUP(C241,[1]!Tableau_cotisants,6,FALSE)</f>
        <v>0</v>
      </c>
      <c r="I241" s="52">
        <f>VLOOKUP(C241,[1]!Tableau_cotisants,7,FALSE)</f>
        <v>1</v>
      </c>
      <c r="J241" s="54">
        <f>VLOOKUP(C241,[1]!Tableau_cotisants,8,FALSE)</f>
        <v>40448</v>
      </c>
      <c r="K241" s="54" t="str">
        <f t="shared" si="10"/>
        <v>8 an(s) 9 mois et 4 jour(s)</v>
      </c>
      <c r="L241" s="52" t="str">
        <f>VLOOKUP(C241,[1]!Tableau_cotisants,10,FALSE)</f>
        <v>SEGONZAC</v>
      </c>
      <c r="M241" s="53" t="str">
        <f>VLOOKUP(C241,[1]!Tableau_cotisants,11,FALSE)</f>
        <v>Champagne</v>
      </c>
      <c r="N241" s="85">
        <v>1</v>
      </c>
      <c r="O241" s="57"/>
      <c r="P241" s="68"/>
      <c r="Q241" s="191">
        <v>1</v>
      </c>
      <c r="R241" s="193"/>
      <c r="S241" s="55"/>
      <c r="T241" s="55"/>
      <c r="U241" s="55"/>
      <c r="V241" s="168">
        <f t="shared" si="11"/>
        <v>1</v>
      </c>
    </row>
    <row r="242" spans="1:22">
      <c r="A242" s="7"/>
      <c r="B242" s="7"/>
      <c r="C242" s="109" t="s">
        <v>135</v>
      </c>
      <c r="D242" s="52" t="str">
        <f>VLOOKUP(C242,[1]!Tableau_cotisants,2,FALSE)</f>
        <v>RATIE/LONJARD</v>
      </c>
      <c r="E242" s="52" t="str">
        <f>VLOOKUP(C242,[1]!Tableau_cotisants,3,FALSE)</f>
        <v>RATIE</v>
      </c>
      <c r="F242" s="52" t="str">
        <f>VLOOKUP(C242,[1]!Tableau_cotisants,4,FALSE)</f>
        <v>Nathan</v>
      </c>
      <c r="G242" s="53">
        <f>VLOOKUP(C242,[1]!Tableau_cotisants,5,FALSE)</f>
        <v>0</v>
      </c>
      <c r="H242" s="52">
        <f>VLOOKUP(C242,[1]!Tableau_cotisants,6,FALSE)</f>
        <v>0</v>
      </c>
      <c r="I242" s="52">
        <f>VLOOKUP(C242,[1]!Tableau_cotisants,7,FALSE)</f>
        <v>1</v>
      </c>
      <c r="J242" s="54">
        <f>VLOOKUP(C242,[1]!Tableau_cotisants,8,FALSE)</f>
        <v>40448</v>
      </c>
      <c r="K242" s="54" t="str">
        <f t="shared" si="10"/>
        <v>8 an(s) 9 mois et 4 jour(s)</v>
      </c>
      <c r="L242" s="52" t="str">
        <f>VLOOKUP(C242,[1]!Tableau_cotisants,10,FALSE)</f>
        <v>SEGONZAC</v>
      </c>
      <c r="M242" s="53" t="str">
        <f>VLOOKUP(C242,[1]!Tableau_cotisants,11,FALSE)</f>
        <v>Champagne</v>
      </c>
      <c r="N242" s="6">
        <v>1</v>
      </c>
      <c r="O242" s="5"/>
      <c r="P242" s="27"/>
      <c r="Q242" s="26">
        <v>1</v>
      </c>
      <c r="R242" s="74"/>
      <c r="S242" s="55"/>
      <c r="T242" s="55"/>
      <c r="U242" s="55"/>
      <c r="V242" s="168">
        <f t="shared" si="11"/>
        <v>1</v>
      </c>
    </row>
    <row r="243" spans="1:22">
      <c r="A243" s="7"/>
      <c r="B243" s="7"/>
      <c r="C243" s="175" t="s">
        <v>260</v>
      </c>
      <c r="D243" s="56" t="str">
        <f>VLOOKUP(C243,[1]!Tableau_cotisants,2,FALSE)</f>
        <v>GUERARD/REDEUIL</v>
      </c>
      <c r="E243" s="56" t="str">
        <f>VLOOKUP(C243,[1]!Tableau_cotisants,3,FALSE)</f>
        <v>REDEUIL</v>
      </c>
      <c r="F243" s="56" t="str">
        <f>VLOOKUP(C243,[1]!Tableau_cotisants,4,FALSE)</f>
        <v>Florence</v>
      </c>
      <c r="G243" s="57">
        <f>VLOOKUP(C243,[1]!Tableau_cotisants,5,FALSE)</f>
        <v>0</v>
      </c>
      <c r="H243" s="56">
        <f>VLOOKUP(C243,[1]!Tableau_cotisants,6,FALSE)</f>
        <v>1</v>
      </c>
      <c r="I243" s="56">
        <f>VLOOKUP(C243,[1]!Tableau_cotisants,7,FALSE)</f>
        <v>0</v>
      </c>
      <c r="J243" s="58">
        <f>VLOOKUP(C243,[1]!Tableau_cotisants,8,FALSE)</f>
        <v>23515</v>
      </c>
      <c r="K243" s="54" t="str">
        <f t="shared" si="10"/>
        <v>55 an(s) 1 mois et 13 jour(s)</v>
      </c>
      <c r="L243" s="56" t="str">
        <f>VLOOKUP(C243,[1]!Tableau_cotisants,10,FALSE)</f>
        <v>SEGONZAC</v>
      </c>
      <c r="M243" s="57" t="str">
        <f>VLOOKUP(C243,[1]!Tableau_cotisants,11,FALSE)</f>
        <v>Champagne</v>
      </c>
      <c r="N243" s="6"/>
      <c r="O243" s="5">
        <v>1</v>
      </c>
      <c r="P243" s="27">
        <v>1</v>
      </c>
      <c r="Q243" s="26"/>
      <c r="R243" s="74"/>
      <c r="S243" s="55"/>
      <c r="T243" s="55"/>
      <c r="U243" s="55">
        <v>1</v>
      </c>
      <c r="V243" s="168">
        <f t="shared" si="11"/>
        <v>1</v>
      </c>
    </row>
    <row r="244" spans="1:22">
      <c r="A244" s="7"/>
      <c r="B244" s="7"/>
      <c r="C244" s="175" t="s">
        <v>260</v>
      </c>
      <c r="D244" s="52" t="str">
        <f>VLOOKUP(C244,[1]!Tableau_cotisants,2,FALSE)</f>
        <v>GUERARD/REDEUIL</v>
      </c>
      <c r="E244" s="52" t="str">
        <f>VLOOKUP(C244,[1]!Tableau_cotisants,3,FALSE)</f>
        <v>REDEUIL</v>
      </c>
      <c r="F244" s="52" t="str">
        <f>VLOOKUP(C244,[1]!Tableau_cotisants,4,FALSE)</f>
        <v>Florence</v>
      </c>
      <c r="G244" s="53">
        <f>VLOOKUP(C244,[1]!Tableau_cotisants,5,FALSE)</f>
        <v>0</v>
      </c>
      <c r="H244" s="52">
        <f>VLOOKUP(C244,[1]!Tableau_cotisants,6,FALSE)</f>
        <v>1</v>
      </c>
      <c r="I244" s="52">
        <f>VLOOKUP(C244,[1]!Tableau_cotisants,7,FALSE)</f>
        <v>0</v>
      </c>
      <c r="J244" s="54">
        <f>VLOOKUP(C244,[1]!Tableau_cotisants,8,FALSE)</f>
        <v>23515</v>
      </c>
      <c r="K244" s="54" t="str">
        <f t="shared" si="10"/>
        <v>55 an(s) 1 mois et 13 jour(s)</v>
      </c>
      <c r="L244" s="52" t="str">
        <f>VLOOKUP(C244,[1]!Tableau_cotisants,10,FALSE)</f>
        <v>SEGONZAC</v>
      </c>
      <c r="M244" s="53" t="str">
        <f>VLOOKUP(C244,[1]!Tableau_cotisants,11,FALSE)</f>
        <v>Champagne</v>
      </c>
      <c r="N244" s="6">
        <v>1</v>
      </c>
      <c r="O244" s="5"/>
      <c r="P244" s="27"/>
      <c r="Q244" s="26">
        <v>1</v>
      </c>
      <c r="R244" s="74"/>
      <c r="S244" s="55"/>
      <c r="T244" s="55"/>
      <c r="U244" s="55"/>
      <c r="V244" s="168">
        <f t="shared" si="11"/>
        <v>1</v>
      </c>
    </row>
    <row r="245" spans="1:22">
      <c r="A245" s="7"/>
      <c r="B245" s="7"/>
      <c r="C245" s="177" t="s">
        <v>263</v>
      </c>
      <c r="D245" s="52" t="str">
        <f>VLOOKUP(C245,[1]!Tableau_cotisants,2,FALSE)</f>
        <v>DEFARGE</v>
      </c>
      <c r="E245" s="52" t="str">
        <f>VLOOKUP(C245,[1]!Tableau_cotisants,3,FALSE)</f>
        <v>DEFARGE</v>
      </c>
      <c r="F245" s="52" t="str">
        <f>VLOOKUP(C245,[1]!Tableau_cotisants,4,FALSE)</f>
        <v>Sonia</v>
      </c>
      <c r="G245" s="53">
        <f>VLOOKUP(C245,[1]!Tableau_cotisants,5,FALSE)</f>
        <v>0</v>
      </c>
      <c r="H245" s="52">
        <f>VLOOKUP(C245,[1]!Tableau_cotisants,6,FALSE)</f>
        <v>1</v>
      </c>
      <c r="I245" s="52">
        <f>VLOOKUP(C245,[1]!Tableau_cotisants,7,FALSE)</f>
        <v>0</v>
      </c>
      <c r="J245" s="54">
        <f>VLOOKUP(C245,[1]!Tableau_cotisants,8,FALSE)</f>
        <v>27411</v>
      </c>
      <c r="K245" s="54" t="str">
        <f t="shared" si="10"/>
        <v>44 an(s) 5 mois et 14 jour(s)</v>
      </c>
      <c r="L245" s="52" t="str">
        <f>VLOOKUP(C245,[1]!Tableau_cotisants,10,FALSE)</f>
        <v>Cognac</v>
      </c>
      <c r="M245" s="53" t="str">
        <f>VLOOKUP(C245,[1]!Tableau_cotisants,11,FALSE)</f>
        <v>Cognac</v>
      </c>
      <c r="N245" s="6">
        <v>1</v>
      </c>
      <c r="O245" s="5"/>
      <c r="P245" s="27"/>
      <c r="Q245" s="26"/>
      <c r="R245" s="74">
        <v>1</v>
      </c>
      <c r="S245" s="55"/>
      <c r="T245" s="55"/>
      <c r="U245" s="55"/>
      <c r="V245" s="168">
        <f t="shared" si="11"/>
        <v>1</v>
      </c>
    </row>
    <row r="246" spans="1:22">
      <c r="A246" s="7"/>
      <c r="B246" s="7"/>
      <c r="C246" s="177" t="s">
        <v>263</v>
      </c>
      <c r="D246" s="56" t="str">
        <f>VLOOKUP(C246,[1]!Tableau_cotisants,2,FALSE)</f>
        <v>DEFARGE</v>
      </c>
      <c r="E246" s="56" t="str">
        <f>VLOOKUP(C246,[1]!Tableau_cotisants,3,FALSE)</f>
        <v>DEFARGE</v>
      </c>
      <c r="F246" s="56" t="str">
        <f>VLOOKUP(C246,[1]!Tableau_cotisants,4,FALSE)</f>
        <v>Sonia</v>
      </c>
      <c r="G246" s="57">
        <f>VLOOKUP(C246,[1]!Tableau_cotisants,5,FALSE)</f>
        <v>0</v>
      </c>
      <c r="H246" s="56">
        <f>VLOOKUP(C246,[1]!Tableau_cotisants,6,FALSE)</f>
        <v>1</v>
      </c>
      <c r="I246" s="56">
        <f>VLOOKUP(C246,[1]!Tableau_cotisants,7,FALSE)</f>
        <v>0</v>
      </c>
      <c r="J246" s="58">
        <f>VLOOKUP(C246,[1]!Tableau_cotisants,8,FALSE)</f>
        <v>27411</v>
      </c>
      <c r="K246" s="54" t="str">
        <f t="shared" si="10"/>
        <v>44 an(s) 5 mois et 14 jour(s)</v>
      </c>
      <c r="L246" s="56" t="str">
        <f>VLOOKUP(C246,[1]!Tableau_cotisants,10,FALSE)</f>
        <v>Cognac</v>
      </c>
      <c r="M246" s="57" t="str">
        <f>VLOOKUP(C246,[1]!Tableau_cotisants,11,FALSE)</f>
        <v>Cognac</v>
      </c>
      <c r="N246" s="6"/>
      <c r="O246" s="5">
        <v>1</v>
      </c>
      <c r="P246" s="27"/>
      <c r="Q246" s="26"/>
      <c r="R246" s="74">
        <v>1</v>
      </c>
      <c r="S246" s="55"/>
      <c r="T246" s="55"/>
      <c r="U246" s="55"/>
      <c r="V246" s="168">
        <f t="shared" si="11"/>
        <v>1</v>
      </c>
    </row>
    <row r="247" spans="1:22">
      <c r="A247" s="7"/>
      <c r="B247" s="7"/>
      <c r="C247" s="177" t="s">
        <v>216</v>
      </c>
      <c r="D247" s="56" t="str">
        <f>VLOOKUP(C247,[1]!Tableau_cotisants,2,FALSE)</f>
        <v>DEFARGE</v>
      </c>
      <c r="E247" s="56" t="str">
        <f>VLOOKUP(C247,[1]!Tableau_cotisants,3,FALSE)</f>
        <v>DEFARGE</v>
      </c>
      <c r="F247" s="56" t="str">
        <f>VLOOKUP(C247,[1]!Tableau_cotisants,4,FALSE)</f>
        <v>Maxime</v>
      </c>
      <c r="G247" s="57">
        <f>VLOOKUP(C247,[1]!Tableau_cotisants,5,FALSE)</f>
        <v>0</v>
      </c>
      <c r="H247" s="56">
        <f>VLOOKUP(C247,[1]!Tableau_cotisants,6,FALSE)</f>
        <v>0</v>
      </c>
      <c r="I247" s="56">
        <f>VLOOKUP(C247,[1]!Tableau_cotisants,7,FALSE)</f>
        <v>1</v>
      </c>
      <c r="J247" s="58">
        <f>VLOOKUP(C247,[1]!Tableau_cotisants,8,FALSE)</f>
        <v>39328</v>
      </c>
      <c r="K247" s="54" t="str">
        <f t="shared" si="10"/>
        <v>11 an(s) 9 mois et 28 jour(s)</v>
      </c>
      <c r="L247" s="56" t="str">
        <f>VLOOKUP(C247,[1]!Tableau_cotisants,10,FALSE)</f>
        <v>Cognac</v>
      </c>
      <c r="M247" s="57" t="str">
        <f>VLOOKUP(C247,[1]!Tableau_cotisants,11,FALSE)</f>
        <v>Cognac</v>
      </c>
      <c r="N247" s="6"/>
      <c r="O247" s="5">
        <v>1</v>
      </c>
      <c r="P247" s="27"/>
      <c r="Q247" s="26"/>
      <c r="R247" s="74">
        <v>1</v>
      </c>
      <c r="S247" s="55"/>
      <c r="T247" s="55"/>
      <c r="U247" s="55"/>
      <c r="V247" s="168">
        <f t="shared" si="11"/>
        <v>1</v>
      </c>
    </row>
    <row r="248" spans="1:22">
      <c r="A248" s="7"/>
      <c r="B248" s="7"/>
      <c r="C248" s="177" t="s">
        <v>216</v>
      </c>
      <c r="D248" s="56" t="str">
        <f>VLOOKUP(C248,[1]!Tableau_cotisants,2,FALSE)</f>
        <v>DEFARGE</v>
      </c>
      <c r="E248" s="56" t="str">
        <f>VLOOKUP(C248,[1]!Tableau_cotisants,3,FALSE)</f>
        <v>DEFARGE</v>
      </c>
      <c r="F248" s="56" t="str">
        <f>VLOOKUP(C248,[1]!Tableau_cotisants,4,FALSE)</f>
        <v>Maxime</v>
      </c>
      <c r="G248" s="57">
        <f>VLOOKUP(C248,[1]!Tableau_cotisants,5,FALSE)</f>
        <v>0</v>
      </c>
      <c r="H248" s="56">
        <f>VLOOKUP(C248,[1]!Tableau_cotisants,6,FALSE)</f>
        <v>0</v>
      </c>
      <c r="I248" s="56">
        <f>VLOOKUP(C248,[1]!Tableau_cotisants,7,FALSE)</f>
        <v>1</v>
      </c>
      <c r="J248" s="58">
        <f>VLOOKUP(C248,[1]!Tableau_cotisants,8,FALSE)</f>
        <v>39328</v>
      </c>
      <c r="K248" s="54" t="str">
        <f t="shared" si="10"/>
        <v>11 an(s) 9 mois et 28 jour(s)</v>
      </c>
      <c r="L248" s="56" t="str">
        <f>VLOOKUP(C248,[1]!Tableau_cotisants,10,FALSE)</f>
        <v>Cognac</v>
      </c>
      <c r="M248" s="57" t="str">
        <f>VLOOKUP(C248,[1]!Tableau_cotisants,11,FALSE)</f>
        <v>Cognac</v>
      </c>
      <c r="N248" s="6"/>
      <c r="O248" s="5">
        <v>1</v>
      </c>
      <c r="P248" s="27"/>
      <c r="Q248" s="26"/>
      <c r="R248" s="74">
        <v>1</v>
      </c>
      <c r="S248" s="55"/>
      <c r="T248" s="55"/>
      <c r="U248" s="55"/>
      <c r="V248" s="168">
        <f t="shared" si="11"/>
        <v>1</v>
      </c>
    </row>
    <row r="249" spans="1:22">
      <c r="A249" s="7"/>
      <c r="B249" s="7"/>
      <c r="C249" s="177" t="s">
        <v>217</v>
      </c>
      <c r="D249" s="56" t="str">
        <f>VLOOKUP(C249,[1]!Tableau_cotisants,2,FALSE)</f>
        <v>DEFARGE</v>
      </c>
      <c r="E249" s="56" t="str">
        <f>VLOOKUP(C249,[1]!Tableau_cotisants,3,FALSE)</f>
        <v>DEFARGE</v>
      </c>
      <c r="F249" s="56" t="str">
        <f>VLOOKUP(C249,[1]!Tableau_cotisants,4,FALSE)</f>
        <v>Coraline</v>
      </c>
      <c r="G249" s="57">
        <f>VLOOKUP(C249,[1]!Tableau_cotisants,5,FALSE)</f>
        <v>0</v>
      </c>
      <c r="H249" s="56">
        <f>VLOOKUP(C249,[1]!Tableau_cotisants,6,FALSE)</f>
        <v>1</v>
      </c>
      <c r="I249" s="56">
        <f>VLOOKUP(C249,[1]!Tableau_cotisants,7,FALSE)</f>
        <v>0</v>
      </c>
      <c r="J249" s="58">
        <f>VLOOKUP(C249,[1]!Tableau_cotisants,8,FALSE)</f>
        <v>41450</v>
      </c>
      <c r="K249" s="54" t="str">
        <f t="shared" si="10"/>
        <v>6 an(s) 0 mois et 6 jour(s)</v>
      </c>
      <c r="L249" s="56" t="str">
        <f>VLOOKUP(C249,[1]!Tableau_cotisants,10,FALSE)</f>
        <v>Cognac</v>
      </c>
      <c r="M249" s="57" t="str">
        <f>VLOOKUP(C249,[1]!Tableau_cotisants,11,FALSE)</f>
        <v>Cognac</v>
      </c>
      <c r="N249" s="6"/>
      <c r="O249" s="5">
        <v>1</v>
      </c>
      <c r="P249" s="27"/>
      <c r="Q249" s="26"/>
      <c r="R249" s="74">
        <v>1</v>
      </c>
      <c r="S249" s="55"/>
      <c r="T249" s="55"/>
      <c r="U249" s="55"/>
      <c r="V249" s="168">
        <f t="shared" si="11"/>
        <v>1</v>
      </c>
    </row>
    <row r="250" spans="1:22">
      <c r="A250" s="7"/>
      <c r="B250" s="7"/>
      <c r="C250" s="111" t="s">
        <v>217</v>
      </c>
      <c r="D250" s="52" t="str">
        <f>VLOOKUP(C250,[1]!Tableau_cotisants,2,FALSE)</f>
        <v>DEFARGE</v>
      </c>
      <c r="E250" s="52" t="str">
        <f>VLOOKUP(C250,[1]!Tableau_cotisants,3,FALSE)</f>
        <v>DEFARGE</v>
      </c>
      <c r="F250" s="52" t="str">
        <f>VLOOKUP(C250,[1]!Tableau_cotisants,4,FALSE)</f>
        <v>Coraline</v>
      </c>
      <c r="G250" s="53">
        <f>VLOOKUP(C250,[1]!Tableau_cotisants,5,FALSE)</f>
        <v>0</v>
      </c>
      <c r="H250" s="52">
        <f>VLOOKUP(C250,[1]!Tableau_cotisants,6,FALSE)</f>
        <v>1</v>
      </c>
      <c r="I250" s="52">
        <f>VLOOKUP(C250,[1]!Tableau_cotisants,7,FALSE)</f>
        <v>0</v>
      </c>
      <c r="J250" s="54">
        <f>VLOOKUP(C250,[1]!Tableau_cotisants,8,FALSE)</f>
        <v>41450</v>
      </c>
      <c r="K250" s="54" t="str">
        <f t="shared" si="10"/>
        <v>6 an(s) 0 mois et 6 jour(s)</v>
      </c>
      <c r="L250" s="52" t="str">
        <f>VLOOKUP(C250,[1]!Tableau_cotisants,10,FALSE)</f>
        <v>Cognac</v>
      </c>
      <c r="M250" s="53" t="str">
        <f>VLOOKUP(C250,[1]!Tableau_cotisants,11,FALSE)</f>
        <v>Cognac</v>
      </c>
      <c r="N250" s="6">
        <v>1</v>
      </c>
      <c r="O250" s="5"/>
      <c r="P250" s="27"/>
      <c r="Q250" s="26"/>
      <c r="R250" s="74">
        <v>1</v>
      </c>
      <c r="S250" s="55"/>
      <c r="T250" s="55"/>
      <c r="U250" s="55"/>
      <c r="V250" s="168">
        <f t="shared" si="11"/>
        <v>1</v>
      </c>
    </row>
    <row r="251" spans="1:22">
      <c r="A251" s="7"/>
      <c r="B251" s="7"/>
      <c r="C251" s="111" t="s">
        <v>217</v>
      </c>
      <c r="D251" s="56" t="str">
        <f>VLOOKUP(C251,[1]!Tableau_cotisants,2,FALSE)</f>
        <v>DEFARGE</v>
      </c>
      <c r="E251" s="56" t="str">
        <f>VLOOKUP(C251,[1]!Tableau_cotisants,3,FALSE)</f>
        <v>DEFARGE</v>
      </c>
      <c r="F251" s="56" t="str">
        <f>VLOOKUP(C251,[1]!Tableau_cotisants,4,FALSE)</f>
        <v>Coraline</v>
      </c>
      <c r="G251" s="57">
        <f>VLOOKUP(C251,[1]!Tableau_cotisants,5,FALSE)</f>
        <v>0</v>
      </c>
      <c r="H251" s="56">
        <f>VLOOKUP(C251,[1]!Tableau_cotisants,6,FALSE)</f>
        <v>1</v>
      </c>
      <c r="I251" s="56">
        <f>VLOOKUP(C251,[1]!Tableau_cotisants,7,FALSE)</f>
        <v>0</v>
      </c>
      <c r="J251" s="58">
        <f>VLOOKUP(C251,[1]!Tableau_cotisants,8,FALSE)</f>
        <v>41450</v>
      </c>
      <c r="K251" s="54" t="str">
        <f t="shared" si="10"/>
        <v>6 an(s) 0 mois et 6 jour(s)</v>
      </c>
      <c r="L251" s="56" t="str">
        <f>VLOOKUP(C251,[1]!Tableau_cotisants,10,FALSE)</f>
        <v>Cognac</v>
      </c>
      <c r="M251" s="57" t="str">
        <f>VLOOKUP(C251,[1]!Tableau_cotisants,11,FALSE)</f>
        <v>Cognac</v>
      </c>
      <c r="N251" s="6"/>
      <c r="O251" s="5">
        <v>1</v>
      </c>
      <c r="P251" s="27"/>
      <c r="Q251" s="26"/>
      <c r="R251" s="74">
        <v>1</v>
      </c>
      <c r="S251" s="55"/>
      <c r="T251" s="55"/>
      <c r="U251" s="55"/>
      <c r="V251" s="168">
        <f t="shared" si="11"/>
        <v>1</v>
      </c>
    </row>
    <row r="252" spans="1:22">
      <c r="A252" s="7"/>
      <c r="B252" s="7"/>
      <c r="C252" s="111" t="s">
        <v>218</v>
      </c>
      <c r="D252" s="56" t="str">
        <f>VLOOKUP(C252,[1]!Tableau_cotisants,2,FALSE)</f>
        <v>DEFARGE</v>
      </c>
      <c r="E252" s="56" t="str">
        <f>VLOOKUP(C252,[1]!Tableau_cotisants,3,FALSE)</f>
        <v>DEFARGE</v>
      </c>
      <c r="F252" s="56" t="str">
        <f>VLOOKUP(C252,[1]!Tableau_cotisants,4,FALSE)</f>
        <v>Robin</v>
      </c>
      <c r="G252" s="57">
        <f>VLOOKUP(C252,[1]!Tableau_cotisants,5,FALSE)</f>
        <v>0</v>
      </c>
      <c r="H252" s="56">
        <f>VLOOKUP(C252,[1]!Tableau_cotisants,6,FALSE)</f>
        <v>0</v>
      </c>
      <c r="I252" s="56">
        <f>VLOOKUP(C252,[1]!Tableau_cotisants,7,FALSE)</f>
        <v>1</v>
      </c>
      <c r="J252" s="58">
        <f>VLOOKUP(C252,[1]!Tableau_cotisants,8,FALSE)</f>
        <v>42172</v>
      </c>
      <c r="K252" s="54" t="str">
        <f t="shared" si="10"/>
        <v>4 an(s) 0 mois et 14 jour(s)</v>
      </c>
      <c r="L252" s="56" t="str">
        <f>VLOOKUP(C252,[1]!Tableau_cotisants,10,FALSE)</f>
        <v>Cognac</v>
      </c>
      <c r="M252" s="57" t="str">
        <f>VLOOKUP(C252,[1]!Tableau_cotisants,11,FALSE)</f>
        <v>Cognac</v>
      </c>
      <c r="N252" s="6"/>
      <c r="O252" s="5">
        <v>1</v>
      </c>
      <c r="P252" s="27"/>
      <c r="Q252" s="26"/>
      <c r="R252" s="74">
        <v>1</v>
      </c>
      <c r="S252" s="55"/>
      <c r="T252" s="55"/>
      <c r="U252" s="55"/>
      <c r="V252" s="168">
        <f t="shared" si="11"/>
        <v>1</v>
      </c>
    </row>
    <row r="253" spans="1:22">
      <c r="A253" s="7"/>
      <c r="B253" s="7"/>
      <c r="C253" s="111" t="s">
        <v>218</v>
      </c>
      <c r="D253" s="52" t="str">
        <f>VLOOKUP(C253,[1]!Tableau_cotisants,2,FALSE)</f>
        <v>DEFARGE</v>
      </c>
      <c r="E253" s="52" t="str">
        <f>VLOOKUP(C253,[1]!Tableau_cotisants,3,FALSE)</f>
        <v>DEFARGE</v>
      </c>
      <c r="F253" s="52" t="str">
        <f>VLOOKUP(C253,[1]!Tableau_cotisants,4,FALSE)</f>
        <v>Robin</v>
      </c>
      <c r="G253" s="53">
        <f>VLOOKUP(C253,[1]!Tableau_cotisants,5,FALSE)</f>
        <v>0</v>
      </c>
      <c r="H253" s="52">
        <f>VLOOKUP(C253,[1]!Tableau_cotisants,6,FALSE)</f>
        <v>0</v>
      </c>
      <c r="I253" s="52">
        <f>VLOOKUP(C253,[1]!Tableau_cotisants,7,FALSE)</f>
        <v>1</v>
      </c>
      <c r="J253" s="54">
        <f>VLOOKUP(C253,[1]!Tableau_cotisants,8,FALSE)</f>
        <v>42172</v>
      </c>
      <c r="K253" s="54" t="str">
        <f t="shared" si="10"/>
        <v>4 an(s) 0 mois et 14 jour(s)</v>
      </c>
      <c r="L253" s="52" t="str">
        <f>VLOOKUP(C253,[1]!Tableau_cotisants,10,FALSE)</f>
        <v>Cognac</v>
      </c>
      <c r="M253" s="53" t="str">
        <f>VLOOKUP(C253,[1]!Tableau_cotisants,11,FALSE)</f>
        <v>Cognac</v>
      </c>
      <c r="N253" s="6">
        <v>1</v>
      </c>
      <c r="O253" s="5"/>
      <c r="P253" s="27"/>
      <c r="Q253" s="26"/>
      <c r="R253" s="74">
        <v>1</v>
      </c>
      <c r="S253" s="55"/>
      <c r="T253" s="55"/>
      <c r="U253" s="55"/>
      <c r="V253" s="168">
        <f t="shared" si="11"/>
        <v>1</v>
      </c>
    </row>
    <row r="254" spans="1:22">
      <c r="A254" s="7"/>
      <c r="B254" s="7"/>
      <c r="C254" s="111" t="s">
        <v>218</v>
      </c>
      <c r="D254" s="56" t="str">
        <f>VLOOKUP(C254,[1]!Tableau_cotisants,2,FALSE)</f>
        <v>DEFARGE</v>
      </c>
      <c r="E254" s="56" t="str">
        <f>VLOOKUP(C254,[1]!Tableau_cotisants,3,FALSE)</f>
        <v>DEFARGE</v>
      </c>
      <c r="F254" s="56" t="str">
        <f>VLOOKUP(C254,[1]!Tableau_cotisants,4,FALSE)</f>
        <v>Robin</v>
      </c>
      <c r="G254" s="57">
        <f>VLOOKUP(C254,[1]!Tableau_cotisants,5,FALSE)</f>
        <v>0</v>
      </c>
      <c r="H254" s="56">
        <f>VLOOKUP(C254,[1]!Tableau_cotisants,6,FALSE)</f>
        <v>0</v>
      </c>
      <c r="I254" s="56">
        <f>VLOOKUP(C254,[1]!Tableau_cotisants,7,FALSE)</f>
        <v>1</v>
      </c>
      <c r="J254" s="58">
        <f>VLOOKUP(C254,[1]!Tableau_cotisants,8,FALSE)</f>
        <v>42172</v>
      </c>
      <c r="K254" s="54" t="str">
        <f t="shared" si="10"/>
        <v>4 an(s) 0 mois et 14 jour(s)</v>
      </c>
      <c r="L254" s="56" t="str">
        <f>VLOOKUP(C254,[1]!Tableau_cotisants,10,FALSE)</f>
        <v>Cognac</v>
      </c>
      <c r="M254" s="57" t="str">
        <f>VLOOKUP(C254,[1]!Tableau_cotisants,11,FALSE)</f>
        <v>Cognac</v>
      </c>
      <c r="N254" s="6"/>
      <c r="O254" s="5">
        <v>1</v>
      </c>
      <c r="P254" s="27"/>
      <c r="Q254" s="26"/>
      <c r="R254" s="74">
        <v>1</v>
      </c>
      <c r="S254" s="55"/>
      <c r="T254" s="55"/>
      <c r="U254" s="55"/>
      <c r="V254" s="168">
        <f t="shared" si="11"/>
        <v>1</v>
      </c>
    </row>
    <row r="255" spans="1:22">
      <c r="A255" s="7"/>
      <c r="B255" s="7"/>
      <c r="C255" s="109" t="s">
        <v>207</v>
      </c>
      <c r="D255" s="56" t="str">
        <f>VLOOKUP(C255,[1]!Tableau_cotisants,2,FALSE)</f>
        <v>BETTI JOSEPH</v>
      </c>
      <c r="E255" s="56" t="str">
        <f>VLOOKUP(C255,[1]!Tableau_cotisants,3,FALSE)</f>
        <v>BETTI</v>
      </c>
      <c r="F255" s="56" t="str">
        <f>VLOOKUP(C255,[1]!Tableau_cotisants,4,FALSE)</f>
        <v>Sandra</v>
      </c>
      <c r="G255" s="57">
        <f>VLOOKUP(C255,[1]!Tableau_cotisants,5,FALSE)</f>
        <v>0</v>
      </c>
      <c r="H255" s="56">
        <f>VLOOKUP(C255,[1]!Tableau_cotisants,6,FALSE)</f>
        <v>1</v>
      </c>
      <c r="I255" s="56">
        <f>VLOOKUP(C255,[1]!Tableau_cotisants,7,FALSE)</f>
        <v>0</v>
      </c>
      <c r="J255" s="58">
        <f>VLOOKUP(C255,[1]!Tableau_cotisants,8,FALSE)</f>
        <v>30077</v>
      </c>
      <c r="K255" s="54" t="str">
        <f t="shared" si="10"/>
        <v>37 an(s) 1 mois et 25 jour(s)</v>
      </c>
      <c r="L255" s="56" t="str">
        <f>VLOOKUP(C255,[1]!Tableau_cotisants,10,FALSE)</f>
        <v>Lagarde sur le Né</v>
      </c>
      <c r="M255" s="57" t="str">
        <f>VLOOKUP(C255,[1]!Tableau_cotisants,11,FALSE)</f>
        <v>Hors_CDA</v>
      </c>
      <c r="N255" s="6"/>
      <c r="O255" s="5">
        <v>1</v>
      </c>
      <c r="P255" s="27"/>
      <c r="Q255" s="26"/>
      <c r="R255" s="74">
        <v>1</v>
      </c>
      <c r="S255" s="55"/>
      <c r="T255" s="55"/>
      <c r="U255" s="55"/>
      <c r="V255" s="168">
        <f t="shared" si="11"/>
        <v>1</v>
      </c>
    </row>
    <row r="256" spans="1:22">
      <c r="A256" s="7"/>
      <c r="B256" s="7"/>
      <c r="C256" s="109" t="s">
        <v>207</v>
      </c>
      <c r="D256" s="56" t="str">
        <f>VLOOKUP(C256,[1]!Tableau_cotisants,2,FALSE)</f>
        <v>BETTI JOSEPH</v>
      </c>
      <c r="E256" s="56" t="str">
        <f>VLOOKUP(C256,[1]!Tableau_cotisants,3,FALSE)</f>
        <v>BETTI</v>
      </c>
      <c r="F256" s="56" t="str">
        <f>VLOOKUP(C256,[1]!Tableau_cotisants,4,FALSE)</f>
        <v>Sandra</v>
      </c>
      <c r="G256" s="57">
        <f>VLOOKUP(C256,[1]!Tableau_cotisants,5,FALSE)</f>
        <v>0</v>
      </c>
      <c r="H256" s="56">
        <f>VLOOKUP(C256,[1]!Tableau_cotisants,6,FALSE)</f>
        <v>1</v>
      </c>
      <c r="I256" s="56">
        <f>VLOOKUP(C256,[1]!Tableau_cotisants,7,FALSE)</f>
        <v>0</v>
      </c>
      <c r="J256" s="58">
        <f>VLOOKUP(C256,[1]!Tableau_cotisants,8,FALSE)</f>
        <v>30077</v>
      </c>
      <c r="K256" s="54" t="str">
        <f t="shared" si="10"/>
        <v>37 an(s) 1 mois et 25 jour(s)</v>
      </c>
      <c r="L256" s="56" t="str">
        <f>VLOOKUP(C256,[1]!Tableau_cotisants,10,FALSE)</f>
        <v>Lagarde sur le Né</v>
      </c>
      <c r="M256" s="57" t="str">
        <f>VLOOKUP(C256,[1]!Tableau_cotisants,11,FALSE)</f>
        <v>Hors_CDA</v>
      </c>
      <c r="N256" s="6"/>
      <c r="O256" s="5">
        <v>1</v>
      </c>
      <c r="P256" s="27">
        <v>1</v>
      </c>
      <c r="Q256" s="26"/>
      <c r="R256" s="74"/>
      <c r="S256" s="55"/>
      <c r="T256" s="55"/>
      <c r="U256" s="55">
        <v>1</v>
      </c>
      <c r="V256" s="168">
        <f t="shared" si="11"/>
        <v>1</v>
      </c>
    </row>
    <row r="257" spans="1:22">
      <c r="A257" s="7"/>
      <c r="B257" s="7"/>
      <c r="C257" s="109" t="s">
        <v>208</v>
      </c>
      <c r="D257" s="56" t="str">
        <f>VLOOKUP(C257,[1]!Tableau_cotisants,2,FALSE)</f>
        <v>BETTI JOSEPH</v>
      </c>
      <c r="E257" s="56" t="str">
        <f>VLOOKUP(C257,[1]!Tableau_cotisants,3,FALSE)</f>
        <v>BETTI JOSEPH</v>
      </c>
      <c r="F257" s="56" t="str">
        <f>VLOOKUP(C257,[1]!Tableau_cotisants,4,FALSE)</f>
        <v>Milan</v>
      </c>
      <c r="G257" s="57">
        <f>VLOOKUP(C257,[1]!Tableau_cotisants,5,FALSE)</f>
        <v>0</v>
      </c>
      <c r="H257" s="56">
        <f>VLOOKUP(C257,[1]!Tableau_cotisants,6,FALSE)</f>
        <v>0</v>
      </c>
      <c r="I257" s="56">
        <f>VLOOKUP(C257,[1]!Tableau_cotisants,7,FALSE)</f>
        <v>1</v>
      </c>
      <c r="J257" s="58">
        <f>VLOOKUP(C257,[1]!Tableau_cotisants,8,FALSE)</f>
        <v>39998</v>
      </c>
      <c r="K257" s="54" t="str">
        <f t="shared" si="10"/>
        <v>9 an(s) 11 mois et 27 jour(s)</v>
      </c>
      <c r="L257" s="56" t="str">
        <f>VLOOKUP(C257,[1]!Tableau_cotisants,10,FALSE)</f>
        <v>Lagarde sur le Né</v>
      </c>
      <c r="M257" s="57" t="str">
        <f>VLOOKUP(C257,[1]!Tableau_cotisants,11,FALSE)</f>
        <v>Hors_CDA</v>
      </c>
      <c r="N257" s="6"/>
      <c r="O257" s="5">
        <v>1</v>
      </c>
      <c r="P257" s="27"/>
      <c r="Q257" s="26"/>
      <c r="R257" s="74">
        <v>1</v>
      </c>
      <c r="S257" s="55"/>
      <c r="T257" s="55"/>
      <c r="U257" s="55"/>
      <c r="V257" s="168">
        <f t="shared" si="11"/>
        <v>1</v>
      </c>
    </row>
    <row r="258" spans="1:22">
      <c r="A258" s="7"/>
      <c r="B258" s="7"/>
      <c r="C258" s="109" t="s">
        <v>208</v>
      </c>
      <c r="D258" s="56" t="str">
        <f>VLOOKUP(C258,[1]!Tableau_cotisants,2,FALSE)</f>
        <v>BETTI JOSEPH</v>
      </c>
      <c r="E258" s="56" t="str">
        <f>VLOOKUP(C258,[1]!Tableau_cotisants,3,FALSE)</f>
        <v>BETTI JOSEPH</v>
      </c>
      <c r="F258" s="56" t="str">
        <f>VLOOKUP(C258,[1]!Tableau_cotisants,4,FALSE)</f>
        <v>Milan</v>
      </c>
      <c r="G258" s="57">
        <f>VLOOKUP(C258,[1]!Tableau_cotisants,5,FALSE)</f>
        <v>0</v>
      </c>
      <c r="H258" s="56">
        <f>VLOOKUP(C258,[1]!Tableau_cotisants,6,FALSE)</f>
        <v>0</v>
      </c>
      <c r="I258" s="56">
        <f>VLOOKUP(C258,[1]!Tableau_cotisants,7,FALSE)</f>
        <v>1</v>
      </c>
      <c r="J258" s="58">
        <f>VLOOKUP(C258,[1]!Tableau_cotisants,8,FALSE)</f>
        <v>39998</v>
      </c>
      <c r="K258" s="54" t="str">
        <f t="shared" si="10"/>
        <v>9 an(s) 11 mois et 27 jour(s)</v>
      </c>
      <c r="L258" s="56" t="str">
        <f>VLOOKUP(C258,[1]!Tableau_cotisants,10,FALSE)</f>
        <v>Lagarde sur le Né</v>
      </c>
      <c r="M258" s="57" t="str">
        <f>VLOOKUP(C258,[1]!Tableau_cotisants,11,FALSE)</f>
        <v>Hors_CDA</v>
      </c>
      <c r="N258" s="6"/>
      <c r="O258" s="5">
        <v>1</v>
      </c>
      <c r="P258" s="27">
        <v>1</v>
      </c>
      <c r="Q258" s="26"/>
      <c r="R258" s="74"/>
      <c r="S258" s="55"/>
      <c r="T258" s="55"/>
      <c r="U258" s="55">
        <v>1</v>
      </c>
      <c r="V258" s="168">
        <f t="shared" si="11"/>
        <v>1</v>
      </c>
    </row>
    <row r="259" spans="1:22">
      <c r="A259" s="7"/>
      <c r="B259" s="7"/>
      <c r="C259" s="109" t="s">
        <v>209</v>
      </c>
      <c r="D259" s="56" t="str">
        <f>VLOOKUP(C259,[1]!Tableau_cotisants,2,FALSE)</f>
        <v>BETTI JOSEPH</v>
      </c>
      <c r="E259" s="56" t="str">
        <f>VLOOKUP(C259,[1]!Tableau_cotisants,3,FALSE)</f>
        <v>BETTI JOSEPH</v>
      </c>
      <c r="F259" s="56" t="str">
        <f>VLOOKUP(C259,[1]!Tableau_cotisants,4,FALSE)</f>
        <v>Tilia</v>
      </c>
      <c r="G259" s="57">
        <f>VLOOKUP(C259,[1]!Tableau_cotisants,5,FALSE)</f>
        <v>0</v>
      </c>
      <c r="H259" s="56">
        <f>VLOOKUP(C259,[1]!Tableau_cotisants,6,FALSE)</f>
        <v>1</v>
      </c>
      <c r="I259" s="56">
        <f>VLOOKUP(C259,[1]!Tableau_cotisants,7,FALSE)</f>
        <v>0</v>
      </c>
      <c r="J259" s="58">
        <f>VLOOKUP(C259,[1]!Tableau_cotisants,8,FALSE)</f>
        <v>42247</v>
      </c>
      <c r="K259" s="54" t="str">
        <f t="shared" si="10"/>
        <v>3 an(s) 10 mois et 0 jour(s)</v>
      </c>
      <c r="L259" s="56" t="str">
        <f>VLOOKUP(C259,[1]!Tableau_cotisants,10,FALSE)</f>
        <v>Lagarde sur le Né</v>
      </c>
      <c r="M259" s="57" t="str">
        <f>VLOOKUP(C259,[1]!Tableau_cotisants,11,FALSE)</f>
        <v>Hors_CDA</v>
      </c>
      <c r="N259" s="6"/>
      <c r="O259" s="5">
        <v>1</v>
      </c>
      <c r="P259" s="27"/>
      <c r="Q259" s="26"/>
      <c r="R259" s="74">
        <v>1</v>
      </c>
      <c r="S259" s="55"/>
      <c r="T259" s="55"/>
      <c r="U259" s="55"/>
      <c r="V259" s="168">
        <f t="shared" si="11"/>
        <v>1</v>
      </c>
    </row>
    <row r="260" spans="1:22">
      <c r="A260" s="7"/>
      <c r="B260" s="7"/>
      <c r="C260" s="109" t="s">
        <v>209</v>
      </c>
      <c r="D260" s="56" t="str">
        <f>VLOOKUP(C260,[1]!Tableau_cotisants,2,FALSE)</f>
        <v>BETTI JOSEPH</v>
      </c>
      <c r="E260" s="56" t="str">
        <f>VLOOKUP(C260,[1]!Tableau_cotisants,3,FALSE)</f>
        <v>BETTI JOSEPH</v>
      </c>
      <c r="F260" s="56" t="str">
        <f>VLOOKUP(C260,[1]!Tableau_cotisants,4,FALSE)</f>
        <v>Tilia</v>
      </c>
      <c r="G260" s="57">
        <f>VLOOKUP(C260,[1]!Tableau_cotisants,5,FALSE)</f>
        <v>0</v>
      </c>
      <c r="H260" s="56">
        <f>VLOOKUP(C260,[1]!Tableau_cotisants,6,FALSE)</f>
        <v>1</v>
      </c>
      <c r="I260" s="56">
        <f>VLOOKUP(C260,[1]!Tableau_cotisants,7,FALSE)</f>
        <v>0</v>
      </c>
      <c r="J260" s="58">
        <f>VLOOKUP(C260,[1]!Tableau_cotisants,8,FALSE)</f>
        <v>42247</v>
      </c>
      <c r="K260" s="54" t="str">
        <f t="shared" ref="K260:K323" si="12">DATEDIF(J260,Date_de_reference,"y") &amp; " an(s) " &amp; DATEDIF(J260,Date_de_reference,"ym") &amp; " mois et " &amp; DATEDIF(J260,Date_de_reference,"md") &amp; " jour(s)"</f>
        <v>3 an(s) 10 mois et 0 jour(s)</v>
      </c>
      <c r="L260" s="56" t="str">
        <f>VLOOKUP(C260,[1]!Tableau_cotisants,10,FALSE)</f>
        <v>Lagarde sur le Né</v>
      </c>
      <c r="M260" s="57" t="str">
        <f>VLOOKUP(C260,[1]!Tableau_cotisants,11,FALSE)</f>
        <v>Hors_CDA</v>
      </c>
      <c r="N260" s="6"/>
      <c r="O260" s="5">
        <v>1</v>
      </c>
      <c r="P260" s="27">
        <v>1</v>
      </c>
      <c r="Q260" s="26"/>
      <c r="R260" s="74"/>
      <c r="S260" s="55"/>
      <c r="T260" s="55"/>
      <c r="U260" s="55">
        <v>1</v>
      </c>
      <c r="V260" s="168">
        <f t="shared" ref="V260:V326" si="13">N260+O260</f>
        <v>1</v>
      </c>
    </row>
    <row r="261" spans="1:22">
      <c r="A261" s="7"/>
      <c r="B261" s="7"/>
      <c r="C261" s="111" t="s">
        <v>297</v>
      </c>
      <c r="D261" s="56" t="str">
        <f>VLOOKUP(C261,[1]!Tableau_cotisants,2,FALSE)</f>
        <v>GAZEAUD/SOWINSKI</v>
      </c>
      <c r="E261" s="56" t="str">
        <f>VLOOKUP(C261,[1]!Tableau_cotisants,3,FALSE)</f>
        <v>SOWINSKI</v>
      </c>
      <c r="F261" s="56" t="str">
        <f>VLOOKUP(C261,[1]!Tableau_cotisants,4,FALSE)</f>
        <v>Valérie</v>
      </c>
      <c r="G261" s="57">
        <f>VLOOKUP(C261,[1]!Tableau_cotisants,5,FALSE)</f>
        <v>0</v>
      </c>
      <c r="H261" s="56">
        <f>VLOOKUP(C261,[1]!Tableau_cotisants,6,FALSE)</f>
        <v>1</v>
      </c>
      <c r="I261" s="56">
        <f>VLOOKUP(C261,[1]!Tableau_cotisants,7,FALSE)</f>
        <v>0</v>
      </c>
      <c r="J261" s="58">
        <f>VLOOKUP(C261,[1]!Tableau_cotisants,8,FALSE)</f>
        <v>29805</v>
      </c>
      <c r="K261" s="54" t="str">
        <f t="shared" si="12"/>
        <v>37 an(s) 10 mois et 24 jour(s)</v>
      </c>
      <c r="L261" s="56" t="str">
        <f>VLOOKUP(C261,[1]!Tableau_cotisants,10,FALSE)</f>
        <v>SEGONZAC</v>
      </c>
      <c r="M261" s="57" t="str">
        <f>VLOOKUP(C261,[1]!Tableau_cotisants,11,FALSE)</f>
        <v>Champagne</v>
      </c>
      <c r="N261" s="6"/>
      <c r="O261" s="5">
        <v>1</v>
      </c>
      <c r="P261" s="27">
        <v>1</v>
      </c>
      <c r="Q261" s="26"/>
      <c r="R261" s="74"/>
      <c r="S261" s="55"/>
      <c r="T261" s="55"/>
      <c r="U261" s="55"/>
      <c r="V261" s="168">
        <f t="shared" si="13"/>
        <v>1</v>
      </c>
    </row>
    <row r="262" spans="1:22">
      <c r="A262" s="7"/>
      <c r="B262" s="7"/>
      <c r="C262" s="111" t="s">
        <v>297</v>
      </c>
      <c r="D262" s="56" t="str">
        <f>VLOOKUP(C262,[1]!Tableau_cotisants,2,FALSE)</f>
        <v>GAZEAUD/SOWINSKI</v>
      </c>
      <c r="E262" s="56" t="str">
        <f>VLOOKUP(C262,[1]!Tableau_cotisants,3,FALSE)</f>
        <v>SOWINSKI</v>
      </c>
      <c r="F262" s="56" t="str">
        <f>VLOOKUP(C262,[1]!Tableau_cotisants,4,FALSE)</f>
        <v>Valérie</v>
      </c>
      <c r="G262" s="57">
        <f>VLOOKUP(C262,[1]!Tableau_cotisants,5,FALSE)</f>
        <v>0</v>
      </c>
      <c r="H262" s="56">
        <f>VLOOKUP(C262,[1]!Tableau_cotisants,6,FALSE)</f>
        <v>1</v>
      </c>
      <c r="I262" s="56">
        <f>VLOOKUP(C262,[1]!Tableau_cotisants,7,FALSE)</f>
        <v>0</v>
      </c>
      <c r="J262" s="58">
        <f>VLOOKUP(C262,[1]!Tableau_cotisants,8,FALSE)</f>
        <v>29805</v>
      </c>
      <c r="K262" s="54" t="str">
        <f t="shared" si="12"/>
        <v>37 an(s) 10 mois et 24 jour(s)</v>
      </c>
      <c r="L262" s="56" t="str">
        <f>VLOOKUP(C262,[1]!Tableau_cotisants,10,FALSE)</f>
        <v>SEGONZAC</v>
      </c>
      <c r="M262" s="57" t="str">
        <f>VLOOKUP(C262,[1]!Tableau_cotisants,11,FALSE)</f>
        <v>Champagne</v>
      </c>
      <c r="N262" s="6"/>
      <c r="O262" s="5">
        <v>1</v>
      </c>
      <c r="P262" s="27">
        <v>1</v>
      </c>
      <c r="Q262" s="26"/>
      <c r="R262" s="74"/>
      <c r="S262" s="55"/>
      <c r="T262" s="55"/>
      <c r="U262" s="55"/>
      <c r="V262" s="168">
        <f t="shared" si="13"/>
        <v>1</v>
      </c>
    </row>
    <row r="263" spans="1:22">
      <c r="A263" s="7"/>
      <c r="B263" s="7"/>
      <c r="C263" s="111" t="s">
        <v>298</v>
      </c>
      <c r="D263" s="56" t="str">
        <f>VLOOKUP(C263,[1]!Tableau_cotisants,2,FALSE)</f>
        <v>GAZEAUD/SOWINSKI</v>
      </c>
      <c r="E263" s="56" t="str">
        <f>VLOOKUP(C263,[1]!Tableau_cotisants,3,FALSE)</f>
        <v>GAZEAUD</v>
      </c>
      <c r="F263" s="56" t="str">
        <f>VLOOKUP(C263,[1]!Tableau_cotisants,4,FALSE)</f>
        <v>Agnés</v>
      </c>
      <c r="G263" s="57">
        <f>VLOOKUP(C263,[1]!Tableau_cotisants,5,FALSE)</f>
        <v>0</v>
      </c>
      <c r="H263" s="56">
        <f>VLOOKUP(C263,[1]!Tableau_cotisants,6,FALSE)</f>
        <v>1</v>
      </c>
      <c r="I263" s="56">
        <f>VLOOKUP(C263,[1]!Tableau_cotisants,7,FALSE)</f>
        <v>0</v>
      </c>
      <c r="J263" s="58">
        <f>VLOOKUP(C263,[1]!Tableau_cotisants,8,FALSE)</f>
        <v>39965</v>
      </c>
      <c r="K263" s="54" t="str">
        <f t="shared" si="12"/>
        <v>10 an(s) 1 mois et 0 jour(s)</v>
      </c>
      <c r="L263" s="56" t="str">
        <f>VLOOKUP(C263,[1]!Tableau_cotisants,10,FALSE)</f>
        <v>SEGONZAC</v>
      </c>
      <c r="M263" s="57" t="str">
        <f>VLOOKUP(C263,[1]!Tableau_cotisants,11,FALSE)</f>
        <v>Champagne</v>
      </c>
      <c r="N263" s="6"/>
      <c r="O263" s="5">
        <v>1</v>
      </c>
      <c r="P263" s="27">
        <v>1</v>
      </c>
      <c r="Q263" s="26"/>
      <c r="R263" s="74"/>
      <c r="S263" s="55"/>
      <c r="T263" s="55"/>
      <c r="U263" s="55"/>
      <c r="V263" s="168">
        <f t="shared" si="13"/>
        <v>1</v>
      </c>
    </row>
    <row r="264" spans="1:22">
      <c r="A264" s="7"/>
      <c r="B264" s="7"/>
      <c r="C264" s="111" t="s">
        <v>298</v>
      </c>
      <c r="D264" s="56" t="str">
        <f>VLOOKUP(C264,[1]!Tableau_cotisants,2,FALSE)</f>
        <v>GAZEAUD/SOWINSKI</v>
      </c>
      <c r="E264" s="56" t="str">
        <f>VLOOKUP(C264,[1]!Tableau_cotisants,3,FALSE)</f>
        <v>GAZEAUD</v>
      </c>
      <c r="F264" s="56" t="str">
        <f>VLOOKUP(C264,[1]!Tableau_cotisants,4,FALSE)</f>
        <v>Agnés</v>
      </c>
      <c r="G264" s="57">
        <f>VLOOKUP(C264,[1]!Tableau_cotisants,5,FALSE)</f>
        <v>0</v>
      </c>
      <c r="H264" s="56">
        <f>VLOOKUP(C264,[1]!Tableau_cotisants,6,FALSE)</f>
        <v>1</v>
      </c>
      <c r="I264" s="56">
        <f>VLOOKUP(C264,[1]!Tableau_cotisants,7,FALSE)</f>
        <v>0</v>
      </c>
      <c r="J264" s="58">
        <f>VLOOKUP(C264,[1]!Tableau_cotisants,8,FALSE)</f>
        <v>39965</v>
      </c>
      <c r="K264" s="54" t="str">
        <f t="shared" si="12"/>
        <v>10 an(s) 1 mois et 0 jour(s)</v>
      </c>
      <c r="L264" s="56" t="str">
        <f>VLOOKUP(C264,[1]!Tableau_cotisants,10,FALSE)</f>
        <v>SEGONZAC</v>
      </c>
      <c r="M264" s="57" t="str">
        <f>VLOOKUP(C264,[1]!Tableau_cotisants,11,FALSE)</f>
        <v>Champagne</v>
      </c>
      <c r="N264" s="6"/>
      <c r="O264" s="5">
        <v>1</v>
      </c>
      <c r="P264" s="27">
        <v>1</v>
      </c>
      <c r="Q264" s="26"/>
      <c r="R264" s="74"/>
      <c r="S264" s="55"/>
      <c r="T264" s="55"/>
      <c r="U264" s="55"/>
      <c r="V264" s="168">
        <f t="shared" si="13"/>
        <v>1</v>
      </c>
    </row>
    <row r="265" spans="1:22">
      <c r="A265" s="7"/>
      <c r="B265" s="7"/>
      <c r="C265" s="111" t="s">
        <v>299</v>
      </c>
      <c r="D265" s="56" t="str">
        <f>VLOOKUP(C265,[1]!Tableau_cotisants,2,FALSE)</f>
        <v>GAZEAUD/SOWINSKI</v>
      </c>
      <c r="E265" s="56" t="str">
        <f>VLOOKUP(C265,[1]!Tableau_cotisants,3,FALSE)</f>
        <v>GAZEAUD</v>
      </c>
      <c r="F265" s="56" t="str">
        <f>VLOOKUP(C265,[1]!Tableau_cotisants,4,FALSE)</f>
        <v>Perrine</v>
      </c>
      <c r="G265" s="57">
        <f>VLOOKUP(C265,[1]!Tableau_cotisants,5,FALSE)</f>
        <v>0</v>
      </c>
      <c r="H265" s="56">
        <f>VLOOKUP(C265,[1]!Tableau_cotisants,6,FALSE)</f>
        <v>1</v>
      </c>
      <c r="I265" s="56">
        <f>VLOOKUP(C265,[1]!Tableau_cotisants,7,FALSE)</f>
        <v>0</v>
      </c>
      <c r="J265" s="58">
        <f>VLOOKUP(C265,[1]!Tableau_cotisants,8,FALSE)</f>
        <v>40707</v>
      </c>
      <c r="K265" s="54" t="str">
        <f t="shared" si="12"/>
        <v>8 an(s) 0 mois et 18 jour(s)</v>
      </c>
      <c r="L265" s="56" t="str">
        <f>VLOOKUP(C265,[1]!Tableau_cotisants,10,FALSE)</f>
        <v>SEGONZAC</v>
      </c>
      <c r="M265" s="57" t="str">
        <f>VLOOKUP(C265,[1]!Tableau_cotisants,11,FALSE)</f>
        <v>Champagne</v>
      </c>
      <c r="N265" s="6"/>
      <c r="O265" s="5">
        <v>1</v>
      </c>
      <c r="P265" s="27">
        <v>1</v>
      </c>
      <c r="Q265" s="26"/>
      <c r="R265" s="74"/>
      <c r="S265" s="55"/>
      <c r="T265" s="55"/>
      <c r="U265" s="55"/>
      <c r="V265" s="168">
        <f t="shared" si="13"/>
        <v>1</v>
      </c>
    </row>
    <row r="266" spans="1:22">
      <c r="A266" s="7"/>
      <c r="B266" s="7"/>
      <c r="C266" s="111" t="s">
        <v>299</v>
      </c>
      <c r="D266" s="56" t="str">
        <f>VLOOKUP(C266,[1]!Tableau_cotisants,2,FALSE)</f>
        <v>GAZEAUD/SOWINSKI</v>
      </c>
      <c r="E266" s="56" t="str">
        <f>VLOOKUP(C266,[1]!Tableau_cotisants,3,FALSE)</f>
        <v>GAZEAUD</v>
      </c>
      <c r="F266" s="56" t="str">
        <f>VLOOKUP(C266,[1]!Tableau_cotisants,4,FALSE)</f>
        <v>Perrine</v>
      </c>
      <c r="G266" s="57">
        <f>VLOOKUP(C266,[1]!Tableau_cotisants,5,FALSE)</f>
        <v>0</v>
      </c>
      <c r="H266" s="56">
        <f>VLOOKUP(C266,[1]!Tableau_cotisants,6,FALSE)</f>
        <v>1</v>
      </c>
      <c r="I266" s="56">
        <f>VLOOKUP(C266,[1]!Tableau_cotisants,7,FALSE)</f>
        <v>0</v>
      </c>
      <c r="J266" s="58">
        <f>VLOOKUP(C266,[1]!Tableau_cotisants,8,FALSE)</f>
        <v>40707</v>
      </c>
      <c r="K266" s="54" t="str">
        <f t="shared" si="12"/>
        <v>8 an(s) 0 mois et 18 jour(s)</v>
      </c>
      <c r="L266" s="56" t="str">
        <f>VLOOKUP(C266,[1]!Tableau_cotisants,10,FALSE)</f>
        <v>SEGONZAC</v>
      </c>
      <c r="M266" s="57" t="str">
        <f>VLOOKUP(C266,[1]!Tableau_cotisants,11,FALSE)</f>
        <v>Champagne</v>
      </c>
      <c r="N266" s="6"/>
      <c r="O266" s="5">
        <v>1</v>
      </c>
      <c r="P266" s="27">
        <v>1</v>
      </c>
      <c r="Q266" s="26"/>
      <c r="R266" s="74"/>
      <c r="S266" s="55"/>
      <c r="T266" s="55"/>
      <c r="U266" s="55"/>
      <c r="V266" s="168">
        <f t="shared" si="13"/>
        <v>1</v>
      </c>
    </row>
    <row r="267" spans="1:22">
      <c r="A267" s="7"/>
      <c r="B267" s="7"/>
      <c r="C267" s="111" t="s">
        <v>300</v>
      </c>
      <c r="D267" s="56" t="str">
        <f>VLOOKUP(C267,[1]!Tableau_cotisants,2,FALSE)</f>
        <v>GAZEAUD/SOWINSKI</v>
      </c>
      <c r="E267" s="56" t="str">
        <f>VLOOKUP(C267,[1]!Tableau_cotisants,3,FALSE)</f>
        <v>GAZEAUD</v>
      </c>
      <c r="F267" s="56" t="str">
        <f>VLOOKUP(C267,[1]!Tableau_cotisants,4,FALSE)</f>
        <v>Léonore</v>
      </c>
      <c r="G267" s="57">
        <f>VLOOKUP(C267,[1]!Tableau_cotisants,5,FALSE)</f>
        <v>0</v>
      </c>
      <c r="H267" s="56">
        <f>VLOOKUP(C267,[1]!Tableau_cotisants,6,FALSE)</f>
        <v>1</v>
      </c>
      <c r="I267" s="56">
        <f>VLOOKUP(C267,[1]!Tableau_cotisants,7,FALSE)</f>
        <v>0</v>
      </c>
      <c r="J267" s="58">
        <f>VLOOKUP(C267,[1]!Tableau_cotisants,8,FALSE)</f>
        <v>41810</v>
      </c>
      <c r="K267" s="54" t="str">
        <f t="shared" si="12"/>
        <v>5 an(s) 0 mois et 11 jour(s)</v>
      </c>
      <c r="L267" s="56" t="str">
        <f>VLOOKUP(C267,[1]!Tableau_cotisants,10,FALSE)</f>
        <v>SEGONZAC</v>
      </c>
      <c r="M267" s="57" t="str">
        <f>VLOOKUP(C267,[1]!Tableau_cotisants,11,FALSE)</f>
        <v>Champagne</v>
      </c>
      <c r="N267" s="6"/>
      <c r="O267" s="5">
        <v>1</v>
      </c>
      <c r="P267" s="27">
        <v>1</v>
      </c>
      <c r="Q267" s="26"/>
      <c r="R267" s="74"/>
      <c r="S267" s="55"/>
      <c r="T267" s="55"/>
      <c r="U267" s="55"/>
      <c r="V267" s="168">
        <f t="shared" si="13"/>
        <v>1</v>
      </c>
    </row>
    <row r="268" spans="1:22">
      <c r="A268" s="7"/>
      <c r="B268" s="7"/>
      <c r="C268" s="111" t="s">
        <v>300</v>
      </c>
      <c r="D268" s="56" t="str">
        <f>VLOOKUP(C268,[1]!Tableau_cotisants,2,FALSE)</f>
        <v>GAZEAUD/SOWINSKI</v>
      </c>
      <c r="E268" s="56" t="str">
        <f>VLOOKUP(C268,[1]!Tableau_cotisants,3,FALSE)</f>
        <v>GAZEAUD</v>
      </c>
      <c r="F268" s="56" t="str">
        <f>VLOOKUP(C268,[1]!Tableau_cotisants,4,FALSE)</f>
        <v>Léonore</v>
      </c>
      <c r="G268" s="57">
        <f>VLOOKUP(C268,[1]!Tableau_cotisants,5,FALSE)</f>
        <v>0</v>
      </c>
      <c r="H268" s="56">
        <f>VLOOKUP(C268,[1]!Tableau_cotisants,6,FALSE)</f>
        <v>1</v>
      </c>
      <c r="I268" s="56">
        <f>VLOOKUP(C268,[1]!Tableau_cotisants,7,FALSE)</f>
        <v>0</v>
      </c>
      <c r="J268" s="58">
        <f>VLOOKUP(C268,[1]!Tableau_cotisants,8,FALSE)</f>
        <v>41810</v>
      </c>
      <c r="K268" s="54" t="str">
        <f t="shared" si="12"/>
        <v>5 an(s) 0 mois et 11 jour(s)</v>
      </c>
      <c r="L268" s="56" t="str">
        <f>VLOOKUP(C268,[1]!Tableau_cotisants,10,FALSE)</f>
        <v>SEGONZAC</v>
      </c>
      <c r="M268" s="57" t="str">
        <f>VLOOKUP(C268,[1]!Tableau_cotisants,11,FALSE)</f>
        <v>Champagne</v>
      </c>
      <c r="N268" s="6"/>
      <c r="O268" s="5">
        <v>1</v>
      </c>
      <c r="P268" s="27">
        <v>1</v>
      </c>
      <c r="Q268" s="26"/>
      <c r="R268" s="74"/>
      <c r="S268" s="55"/>
      <c r="T268" s="55"/>
      <c r="U268" s="55"/>
      <c r="V268" s="168">
        <f t="shared" si="13"/>
        <v>1</v>
      </c>
    </row>
    <row r="269" spans="1:22">
      <c r="A269" s="7"/>
      <c r="B269" s="7"/>
      <c r="C269" s="174" t="s">
        <v>266</v>
      </c>
      <c r="D269" s="52" t="str">
        <f>VLOOKUP(C269,[1]!Tableau_cotisants,2,FALSE)</f>
        <v>LIENART/HULIN</v>
      </c>
      <c r="E269" s="52" t="str">
        <f>VLOOKUP(C269,[1]!Tableau_cotisants,3,FALSE)</f>
        <v>LIENART</v>
      </c>
      <c r="F269" s="52" t="str">
        <f>VLOOKUP(C269,[1]!Tableau_cotisants,4,FALSE)</f>
        <v>Elison</v>
      </c>
      <c r="G269" s="53">
        <f>VLOOKUP(C269,[1]!Tableau_cotisants,5,FALSE)</f>
        <v>0</v>
      </c>
      <c r="H269" s="52">
        <f>VLOOKUP(C269,[1]!Tableau_cotisants,6,FALSE)</f>
        <v>0</v>
      </c>
      <c r="I269" s="52">
        <f>VLOOKUP(C269,[1]!Tableau_cotisants,7,FALSE)</f>
        <v>1</v>
      </c>
      <c r="J269" s="54">
        <f>VLOOKUP(C269,[1]!Tableau_cotisants,8,FALSE)</f>
        <v>41912</v>
      </c>
      <c r="K269" s="54" t="str">
        <f t="shared" si="12"/>
        <v>4 an(s) 9 mois et 1 jour(s)</v>
      </c>
      <c r="L269" s="52" t="str">
        <f>VLOOKUP(C269,[1]!Tableau_cotisants,10,FALSE)</f>
        <v>ANGEAC CHAMPAGNE</v>
      </c>
      <c r="M269" s="53" t="str">
        <f>VLOOKUP(C269,[1]!Tableau_cotisants,11,FALSE)</f>
        <v>Champagne</v>
      </c>
      <c r="N269" s="6">
        <v>1</v>
      </c>
      <c r="O269" s="5"/>
      <c r="P269" s="27">
        <v>1</v>
      </c>
      <c r="Q269" s="26"/>
      <c r="R269" s="74"/>
      <c r="S269" s="55"/>
      <c r="T269" s="55"/>
      <c r="U269" s="55"/>
      <c r="V269" s="168">
        <f t="shared" si="13"/>
        <v>1</v>
      </c>
    </row>
    <row r="270" spans="1:22">
      <c r="A270" s="7"/>
      <c r="B270" s="7"/>
      <c r="C270" s="174" t="s">
        <v>265</v>
      </c>
      <c r="D270" s="52" t="str">
        <f>VLOOKUP(C270,[1]!Tableau_cotisants,2,FALSE)</f>
        <v>LIENART/HULIN</v>
      </c>
      <c r="E270" s="52" t="str">
        <f>VLOOKUP(C270,[1]!Tableau_cotisants,3,FALSE)</f>
        <v>LIENART</v>
      </c>
      <c r="F270" s="52" t="str">
        <f>VLOOKUP(C270,[1]!Tableau_cotisants,4,FALSE)</f>
        <v>Raphaël</v>
      </c>
      <c r="G270" s="53">
        <f>VLOOKUP(C270,[1]!Tableau_cotisants,5,FALSE)</f>
        <v>0</v>
      </c>
      <c r="H270" s="52">
        <f>VLOOKUP(C270,[1]!Tableau_cotisants,6,FALSE)</f>
        <v>0</v>
      </c>
      <c r="I270" s="52">
        <f>VLOOKUP(C270,[1]!Tableau_cotisants,7,FALSE)</f>
        <v>1</v>
      </c>
      <c r="J270" s="54">
        <f>VLOOKUP(C270,[1]!Tableau_cotisants,8,FALSE)</f>
        <v>43000</v>
      </c>
      <c r="K270" s="54" t="str">
        <f t="shared" si="12"/>
        <v>1 an(s) 9 mois et 9 jour(s)</v>
      </c>
      <c r="L270" s="52" t="str">
        <f>VLOOKUP(C270,[1]!Tableau_cotisants,10,FALSE)</f>
        <v>ANGEAC CHAMPAGNE</v>
      </c>
      <c r="M270" s="53" t="str">
        <f>VLOOKUP(C270,[1]!Tableau_cotisants,11,FALSE)</f>
        <v>Champagne</v>
      </c>
      <c r="N270" s="6">
        <v>1</v>
      </c>
      <c r="O270" s="5"/>
      <c r="P270" s="27">
        <v>1</v>
      </c>
      <c r="Q270" s="26"/>
      <c r="R270" s="74"/>
      <c r="S270" s="55"/>
      <c r="T270" s="55"/>
      <c r="U270" s="55"/>
      <c r="V270" s="168">
        <f t="shared" si="13"/>
        <v>1</v>
      </c>
    </row>
    <row r="271" spans="1:22">
      <c r="A271" s="7"/>
      <c r="B271" s="7"/>
      <c r="C271" s="174" t="s">
        <v>264</v>
      </c>
      <c r="D271" s="52" t="str">
        <f>VLOOKUP(C271,[1]!Tableau_cotisants,2,FALSE)</f>
        <v>LIENART/HULIN</v>
      </c>
      <c r="E271" s="52" t="str">
        <f>VLOOKUP(C271,[1]!Tableau_cotisants,3,FALSE)</f>
        <v>LIENART</v>
      </c>
      <c r="F271" s="52" t="str">
        <f>VLOOKUP(C271,[1]!Tableau_cotisants,4,FALSE)</f>
        <v>Lionel</v>
      </c>
      <c r="G271" s="53">
        <f>VLOOKUP(C271,[1]!Tableau_cotisants,5,FALSE)</f>
        <v>0</v>
      </c>
      <c r="H271" s="52">
        <f>VLOOKUP(C271,[1]!Tableau_cotisants,6,FALSE)</f>
        <v>0</v>
      </c>
      <c r="I271" s="52">
        <f>VLOOKUP(C271,[1]!Tableau_cotisants,7,FALSE)</f>
        <v>1</v>
      </c>
      <c r="J271" s="54">
        <f>VLOOKUP(C271,[1]!Tableau_cotisants,8,FALSE)</f>
        <v>30966</v>
      </c>
      <c r="K271" s="54" t="str">
        <f t="shared" si="12"/>
        <v>34 an(s) 8 mois et 20 jour(s)</v>
      </c>
      <c r="L271" s="52" t="str">
        <f>VLOOKUP(C271,[1]!Tableau_cotisants,10,FALSE)</f>
        <v>ANGEAC CHAMPAGNE</v>
      </c>
      <c r="M271" s="53" t="str">
        <f>VLOOKUP(C271,[1]!Tableau_cotisants,11,FALSE)</f>
        <v>Champagne</v>
      </c>
      <c r="N271" s="6">
        <v>1</v>
      </c>
      <c r="O271" s="5"/>
      <c r="P271" s="27">
        <v>1</v>
      </c>
      <c r="Q271" s="26"/>
      <c r="R271" s="74"/>
      <c r="S271" s="55"/>
      <c r="T271" s="55"/>
      <c r="U271" s="55"/>
      <c r="V271" s="168">
        <f t="shared" si="13"/>
        <v>1</v>
      </c>
    </row>
    <row r="272" spans="1:22">
      <c r="A272" s="172"/>
      <c r="B272" s="171"/>
      <c r="C272" s="108" t="s">
        <v>122</v>
      </c>
      <c r="D272" s="56" t="str">
        <f>VLOOKUP(C272,[1]!Tableau_cotisants,2,FALSE)</f>
        <v>MARY/SYLVESTRE</v>
      </c>
      <c r="E272" s="56" t="str">
        <f>VLOOKUP(C272,[1]!Tableau_cotisants,3,FALSE)</f>
        <v>SILVESTRE</v>
      </c>
      <c r="F272" s="56" t="str">
        <f>VLOOKUP(C272,[1]!Tableau_cotisants,4,FALSE)</f>
        <v>Aurélie</v>
      </c>
      <c r="G272" s="57">
        <f>VLOOKUP(C272,[1]!Tableau_cotisants,5,FALSE)</f>
        <v>0</v>
      </c>
      <c r="H272" s="56">
        <f>VLOOKUP(C272,[1]!Tableau_cotisants,6,FALSE)</f>
        <v>1</v>
      </c>
      <c r="I272" s="56">
        <f>VLOOKUP(C272,[1]!Tableau_cotisants,7,FALSE)</f>
        <v>0</v>
      </c>
      <c r="J272" s="58">
        <f>VLOOKUP(C272,[1]!Tableau_cotisants,8,FALSE)</f>
        <v>30890</v>
      </c>
      <c r="K272" s="54" t="str">
        <f t="shared" si="12"/>
        <v>34 an(s) 11 mois et 4 jour(s)</v>
      </c>
      <c r="L272" s="56" t="str">
        <f>VLOOKUP(C272,[1]!Tableau_cotisants,10,FALSE)</f>
        <v>Juillac</v>
      </c>
      <c r="M272" s="57" t="str">
        <f>VLOOKUP(C272,[1]!Tableau_cotisants,11,FALSE)</f>
        <v>Champagne</v>
      </c>
      <c r="N272" s="99"/>
      <c r="O272" s="57">
        <v>1</v>
      </c>
      <c r="P272" s="68"/>
      <c r="Q272" s="191"/>
      <c r="R272" s="193">
        <v>1</v>
      </c>
      <c r="S272" s="55"/>
      <c r="T272" s="55"/>
      <c r="U272" s="55"/>
      <c r="V272" s="168">
        <f t="shared" si="13"/>
        <v>1</v>
      </c>
    </row>
    <row r="273" spans="1:22">
      <c r="A273" s="172"/>
      <c r="B273" s="171"/>
      <c r="C273" s="108" t="s">
        <v>123</v>
      </c>
      <c r="D273" s="56" t="str">
        <f>VLOOKUP(C273,[1]!Tableau_cotisants,2,FALSE)</f>
        <v>MARY/SYLVESTRE</v>
      </c>
      <c r="E273" s="56" t="str">
        <f>VLOOKUP(C273,[1]!Tableau_cotisants,3,FALSE)</f>
        <v>MARY</v>
      </c>
      <c r="F273" s="56" t="str">
        <f>VLOOKUP(C273,[1]!Tableau_cotisants,4,FALSE)</f>
        <v>Elouan</v>
      </c>
      <c r="G273" s="57">
        <f>VLOOKUP(C273,[1]!Tableau_cotisants,5,FALSE)</f>
        <v>0</v>
      </c>
      <c r="H273" s="56">
        <f>VLOOKUP(C273,[1]!Tableau_cotisants,6,FALSE)</f>
        <v>0</v>
      </c>
      <c r="I273" s="56">
        <f>VLOOKUP(C273,[1]!Tableau_cotisants,7,FALSE)</f>
        <v>1</v>
      </c>
      <c r="J273" s="58">
        <f>VLOOKUP(C273,[1]!Tableau_cotisants,8,FALSE)</f>
        <v>39466</v>
      </c>
      <c r="K273" s="54" t="str">
        <f t="shared" si="12"/>
        <v>11 an(s) 5 mois et 12 jour(s)</v>
      </c>
      <c r="L273" s="56" t="str">
        <f>VLOOKUP(C273,[1]!Tableau_cotisants,10,FALSE)</f>
        <v>Juillac</v>
      </c>
      <c r="M273" s="57" t="str">
        <f>VLOOKUP(C273,[1]!Tableau_cotisants,11,FALSE)</f>
        <v>Champagne</v>
      </c>
      <c r="N273" s="99"/>
      <c r="O273" s="57">
        <v>1</v>
      </c>
      <c r="P273" s="68"/>
      <c r="Q273" s="191"/>
      <c r="R273" s="193">
        <v>1</v>
      </c>
      <c r="S273" s="55"/>
      <c r="T273" s="55"/>
      <c r="U273" s="55"/>
      <c r="V273" s="168">
        <f t="shared" si="13"/>
        <v>1</v>
      </c>
    </row>
    <row r="274" spans="1:22">
      <c r="A274" s="172"/>
      <c r="B274" s="171"/>
      <c r="C274" s="186" t="s">
        <v>124</v>
      </c>
      <c r="D274" s="56" t="str">
        <f>VLOOKUP(C274,[1]!Tableau_cotisants,2,FALSE)</f>
        <v>MARY/SYLVESTRE</v>
      </c>
      <c r="E274" s="56" t="str">
        <f>VLOOKUP(C274,[1]!Tableau_cotisants,3,FALSE)</f>
        <v>MARY</v>
      </c>
      <c r="F274" s="56" t="str">
        <f>VLOOKUP(C274,[1]!Tableau_cotisants,4,FALSE)</f>
        <v>Jules</v>
      </c>
      <c r="G274" s="57">
        <f>VLOOKUP(C274,[1]!Tableau_cotisants,5,FALSE)</f>
        <v>0</v>
      </c>
      <c r="H274" s="56">
        <f>VLOOKUP(C274,[1]!Tableau_cotisants,6,FALSE)</f>
        <v>0</v>
      </c>
      <c r="I274" s="56">
        <f>VLOOKUP(C274,[1]!Tableau_cotisants,7,FALSE)</f>
        <v>1</v>
      </c>
      <c r="J274" s="58">
        <f>VLOOKUP(C274,[1]!Tableau_cotisants,8,FALSE)</f>
        <v>40806</v>
      </c>
      <c r="K274" s="54" t="str">
        <f t="shared" si="12"/>
        <v>7 an(s) 9 mois et 11 jour(s)</v>
      </c>
      <c r="L274" s="56" t="str">
        <f>VLOOKUP(C274,[1]!Tableau_cotisants,10,FALSE)</f>
        <v>Juillac</v>
      </c>
      <c r="M274" s="57" t="str">
        <f>VLOOKUP(C274,[1]!Tableau_cotisants,11,FALSE)</f>
        <v>Champagne</v>
      </c>
      <c r="N274" s="99"/>
      <c r="O274" s="57">
        <v>1</v>
      </c>
      <c r="P274" s="68"/>
      <c r="Q274" s="191"/>
      <c r="R274" s="193">
        <v>1</v>
      </c>
      <c r="S274" s="55"/>
      <c r="T274" s="55"/>
      <c r="U274" s="55"/>
      <c r="V274" s="168">
        <f t="shared" si="13"/>
        <v>1</v>
      </c>
    </row>
    <row r="275" spans="1:22">
      <c r="A275" s="172"/>
      <c r="B275" s="171"/>
      <c r="C275" s="186" t="s">
        <v>99</v>
      </c>
      <c r="D275" s="52" t="str">
        <f>VLOOKUP(C275,[1]!Tableau_cotisants,2,FALSE)</f>
        <v>CASTAINGS/LACROIX</v>
      </c>
      <c r="E275" s="52" t="str">
        <f>VLOOKUP(C275,[1]!Tableau_cotisants,3,FALSE)</f>
        <v>LACROIX</v>
      </c>
      <c r="F275" s="52" t="str">
        <f>VLOOKUP(C275,[1]!Tableau_cotisants,4,FALSE)</f>
        <v>Elodie</v>
      </c>
      <c r="G275" s="53">
        <f>VLOOKUP(C275,[1]!Tableau_cotisants,5,FALSE)</f>
        <v>0</v>
      </c>
      <c r="H275" s="52">
        <f>VLOOKUP(C275,[1]!Tableau_cotisants,6,FALSE)</f>
        <v>1</v>
      </c>
      <c r="I275" s="52">
        <f>VLOOKUP(C275,[1]!Tableau_cotisants,7,FALSE)</f>
        <v>0</v>
      </c>
      <c r="J275" s="54">
        <f>VLOOKUP(C275,[1]!Tableau_cotisants,8,FALSE)</f>
        <v>30513</v>
      </c>
      <c r="K275" s="54" t="str">
        <f t="shared" si="12"/>
        <v>35 an(s) 11 mois et 15 jour(s)</v>
      </c>
      <c r="L275" s="52" t="str">
        <f>VLOOKUP(C275,[1]!Tableau_cotisants,10,FALSE)</f>
        <v>Cognac</v>
      </c>
      <c r="M275" s="53" t="str">
        <f>VLOOKUP(C275,[1]!Tableau_cotisants,11,FALSE)</f>
        <v>Cognac</v>
      </c>
      <c r="N275" s="6">
        <v>1</v>
      </c>
      <c r="O275" s="5"/>
      <c r="P275" s="27"/>
      <c r="Q275" s="26"/>
      <c r="R275" s="74">
        <v>1</v>
      </c>
      <c r="S275" s="55"/>
      <c r="T275" s="55"/>
      <c r="U275" s="55"/>
      <c r="V275" s="168">
        <f t="shared" si="13"/>
        <v>1</v>
      </c>
    </row>
    <row r="276" spans="1:22">
      <c r="A276" s="172"/>
      <c r="B276" s="171"/>
      <c r="C276" s="108" t="s">
        <v>100</v>
      </c>
      <c r="D276" s="52" t="str">
        <f>VLOOKUP(C276,[1]!Tableau_cotisants,2,FALSE)</f>
        <v>CASTAINGS/LACROIX</v>
      </c>
      <c r="E276" s="52" t="str">
        <f>VLOOKUP(C276,[1]!Tableau_cotisants,3,FALSE)</f>
        <v>CASTAINGS</v>
      </c>
      <c r="F276" s="52" t="str">
        <f>VLOOKUP(C276,[1]!Tableau_cotisants,4,FALSE)</f>
        <v>Léonard</v>
      </c>
      <c r="G276" s="53">
        <f>VLOOKUP(C276,[1]!Tableau_cotisants,5,FALSE)</f>
        <v>0</v>
      </c>
      <c r="H276" s="52">
        <f>VLOOKUP(C276,[1]!Tableau_cotisants,6,FALSE)</f>
        <v>0</v>
      </c>
      <c r="I276" s="52">
        <f>VLOOKUP(C276,[1]!Tableau_cotisants,7,FALSE)</f>
        <v>1</v>
      </c>
      <c r="J276" s="54">
        <f>VLOOKUP(C276,[1]!Tableau_cotisants,8,FALSE)</f>
        <v>41472</v>
      </c>
      <c r="K276" s="54" t="str">
        <f t="shared" si="12"/>
        <v>5 an(s) 11 mois et 14 jour(s)</v>
      </c>
      <c r="L276" s="52" t="str">
        <f>VLOOKUP(C276,[1]!Tableau_cotisants,10,FALSE)</f>
        <v>Cognac</v>
      </c>
      <c r="M276" s="53" t="str">
        <f>VLOOKUP(C276,[1]!Tableau_cotisants,11,FALSE)</f>
        <v>Cognac</v>
      </c>
      <c r="N276" s="6">
        <v>1</v>
      </c>
      <c r="O276" s="5"/>
      <c r="P276" s="27"/>
      <c r="Q276" s="26"/>
      <c r="R276" s="74">
        <v>1</v>
      </c>
      <c r="S276" s="55"/>
      <c r="T276" s="55"/>
      <c r="U276" s="55"/>
      <c r="V276" s="168">
        <f t="shared" si="13"/>
        <v>1</v>
      </c>
    </row>
    <row r="277" spans="1:22">
      <c r="A277" s="172"/>
      <c r="B277" s="171"/>
      <c r="C277" s="108" t="s">
        <v>101</v>
      </c>
      <c r="D277" s="52" t="str">
        <f>VLOOKUP(C277,[1]!Tableau_cotisants,2,FALSE)</f>
        <v>CASTAINGS/LACROIX</v>
      </c>
      <c r="E277" s="52" t="str">
        <f>VLOOKUP(C277,[1]!Tableau_cotisants,3,FALSE)</f>
        <v>CASTAINGS</v>
      </c>
      <c r="F277" s="52" t="str">
        <f>VLOOKUP(C277,[1]!Tableau_cotisants,4,FALSE)</f>
        <v>Marilou</v>
      </c>
      <c r="G277" s="53">
        <f>VLOOKUP(C277,[1]!Tableau_cotisants,5,FALSE)</f>
        <v>0</v>
      </c>
      <c r="H277" s="52">
        <f>VLOOKUP(C277,[1]!Tableau_cotisants,6,FALSE)</f>
        <v>1</v>
      </c>
      <c r="I277" s="52">
        <f>VLOOKUP(C277,[1]!Tableau_cotisants,7,FALSE)</f>
        <v>0</v>
      </c>
      <c r="J277" s="54">
        <f>VLOOKUP(C277,[1]!Tableau_cotisants,8,FALSE)</f>
        <v>42277</v>
      </c>
      <c r="K277" s="54" t="str">
        <f t="shared" si="12"/>
        <v>3 an(s) 9 mois et 1 jour(s)</v>
      </c>
      <c r="L277" s="52" t="str">
        <f>VLOOKUP(C277,[1]!Tableau_cotisants,10,FALSE)</f>
        <v>Cognac</v>
      </c>
      <c r="M277" s="53" t="str">
        <f>VLOOKUP(C277,[1]!Tableau_cotisants,11,FALSE)</f>
        <v>Cognac</v>
      </c>
      <c r="N277" s="6">
        <v>1</v>
      </c>
      <c r="O277" s="5"/>
      <c r="P277" s="27"/>
      <c r="Q277" s="26"/>
      <c r="R277" s="74">
        <v>1</v>
      </c>
      <c r="S277" s="55"/>
      <c r="T277" s="55"/>
      <c r="U277" s="55"/>
      <c r="V277" s="168">
        <f t="shared" si="13"/>
        <v>1</v>
      </c>
    </row>
    <row r="278" spans="1:22">
      <c r="A278" s="172"/>
      <c r="B278" s="171"/>
      <c r="C278" s="109" t="s">
        <v>102</v>
      </c>
      <c r="D278" s="52" t="str">
        <f>VLOOKUP(C278,[1]!Tableau_cotisants,2,FALSE)</f>
        <v>SAMOYEAU/RAPHOZ</v>
      </c>
      <c r="E278" s="52" t="str">
        <f>VLOOKUP(C278,[1]!Tableau_cotisants,3,FALSE)</f>
        <v>SAMOYEAU</v>
      </c>
      <c r="F278" s="52" t="str">
        <f>VLOOKUP(C278,[1]!Tableau_cotisants,4,FALSE)</f>
        <v>Romain</v>
      </c>
      <c r="G278" s="53">
        <f>VLOOKUP(C278,[1]!Tableau_cotisants,5,FALSE)</f>
        <v>0</v>
      </c>
      <c r="H278" s="52">
        <f>VLOOKUP(C278,[1]!Tableau_cotisants,6,FALSE)</f>
        <v>0</v>
      </c>
      <c r="I278" s="52">
        <f>VLOOKUP(C278,[1]!Tableau_cotisants,7,FALSE)</f>
        <v>1</v>
      </c>
      <c r="J278" s="54">
        <f>VLOOKUP(C278,[1]!Tableau_cotisants,8,FALSE)</f>
        <v>30741</v>
      </c>
      <c r="K278" s="54" t="str">
        <f t="shared" si="12"/>
        <v>35 an(s) 4 mois et 2 jour(s)</v>
      </c>
      <c r="L278" s="52" t="str">
        <f>VLOOKUP(C278,[1]!Tableau_cotisants,10,FALSE)</f>
        <v>SEGONZAC</v>
      </c>
      <c r="M278" s="53" t="str">
        <f>VLOOKUP(C278,[1]!Tableau_cotisants,11,FALSE)</f>
        <v>Champagne</v>
      </c>
      <c r="N278" s="6">
        <v>1</v>
      </c>
      <c r="O278" s="5"/>
      <c r="P278" s="27">
        <v>1</v>
      </c>
      <c r="Q278" s="26"/>
      <c r="R278" s="74"/>
      <c r="S278" s="55"/>
      <c r="T278" s="55"/>
      <c r="U278" s="55"/>
      <c r="V278" s="168">
        <f t="shared" si="13"/>
        <v>1</v>
      </c>
    </row>
    <row r="279" spans="1:22">
      <c r="A279" s="172"/>
      <c r="B279" s="171"/>
      <c r="C279" s="109" t="s">
        <v>102</v>
      </c>
      <c r="D279" s="52" t="str">
        <f>VLOOKUP(C279,[1]!Tableau_cotisants,2,FALSE)</f>
        <v>SAMOYEAU/RAPHOZ</v>
      </c>
      <c r="E279" s="52" t="str">
        <f>VLOOKUP(C279,[1]!Tableau_cotisants,3,FALSE)</f>
        <v>SAMOYEAU</v>
      </c>
      <c r="F279" s="52" t="str">
        <f>VLOOKUP(C279,[1]!Tableau_cotisants,4,FALSE)</f>
        <v>Romain</v>
      </c>
      <c r="G279" s="53">
        <f>VLOOKUP(C279,[1]!Tableau_cotisants,5,FALSE)</f>
        <v>0</v>
      </c>
      <c r="H279" s="52">
        <f>VLOOKUP(C279,[1]!Tableau_cotisants,6,FALSE)</f>
        <v>0</v>
      </c>
      <c r="I279" s="52">
        <f>VLOOKUP(C279,[1]!Tableau_cotisants,7,FALSE)</f>
        <v>1</v>
      </c>
      <c r="J279" s="54">
        <f>VLOOKUP(C279,[1]!Tableau_cotisants,8,FALSE)</f>
        <v>30741</v>
      </c>
      <c r="K279" s="54" t="str">
        <f t="shared" si="12"/>
        <v>35 an(s) 4 mois et 2 jour(s)</v>
      </c>
      <c r="L279" s="52" t="str">
        <f>VLOOKUP(C279,[1]!Tableau_cotisants,10,FALSE)</f>
        <v>SEGONZAC</v>
      </c>
      <c r="M279" s="53" t="str">
        <f>VLOOKUP(C279,[1]!Tableau_cotisants,11,FALSE)</f>
        <v>Champagne</v>
      </c>
      <c r="N279" s="6">
        <v>1</v>
      </c>
      <c r="O279" s="5"/>
      <c r="P279" s="27">
        <v>1</v>
      </c>
      <c r="Q279" s="26"/>
      <c r="R279" s="74"/>
      <c r="S279" s="55"/>
      <c r="T279" s="55"/>
      <c r="U279" s="55"/>
      <c r="V279" s="168">
        <f t="shared" si="13"/>
        <v>1</v>
      </c>
    </row>
    <row r="280" spans="1:22">
      <c r="A280" s="7"/>
      <c r="B280" s="7"/>
      <c r="C280" s="109" t="s">
        <v>102</v>
      </c>
      <c r="D280" s="52" t="str">
        <f>VLOOKUP(C280,[1]!Tableau_cotisants,2,FALSE)</f>
        <v>SAMOYEAU/RAPHOZ</v>
      </c>
      <c r="E280" s="52" t="str">
        <f>VLOOKUP(C280,[1]!Tableau_cotisants,3,FALSE)</f>
        <v>SAMOYEAU</v>
      </c>
      <c r="F280" s="52" t="str">
        <f>VLOOKUP(C280,[1]!Tableau_cotisants,4,FALSE)</f>
        <v>Romain</v>
      </c>
      <c r="G280" s="53">
        <f>VLOOKUP(C280,[1]!Tableau_cotisants,5,FALSE)</f>
        <v>0</v>
      </c>
      <c r="H280" s="52">
        <f>VLOOKUP(C280,[1]!Tableau_cotisants,6,FALSE)</f>
        <v>0</v>
      </c>
      <c r="I280" s="52">
        <f>VLOOKUP(C280,[1]!Tableau_cotisants,7,FALSE)</f>
        <v>1</v>
      </c>
      <c r="J280" s="54">
        <f>VLOOKUP(C280,[1]!Tableau_cotisants,8,FALSE)</f>
        <v>30741</v>
      </c>
      <c r="K280" s="54" t="str">
        <f t="shared" si="12"/>
        <v>35 an(s) 4 mois et 2 jour(s)</v>
      </c>
      <c r="L280" s="52" t="str">
        <f>VLOOKUP(C280,[1]!Tableau_cotisants,10,FALSE)</f>
        <v>SEGONZAC</v>
      </c>
      <c r="M280" s="53" t="str">
        <f>VLOOKUP(C280,[1]!Tableau_cotisants,11,FALSE)</f>
        <v>Champagne</v>
      </c>
      <c r="N280" s="6">
        <v>1</v>
      </c>
      <c r="O280" s="5"/>
      <c r="P280" s="27"/>
      <c r="Q280" s="26"/>
      <c r="R280" s="74">
        <v>1</v>
      </c>
      <c r="S280" s="55"/>
      <c r="T280" s="55"/>
      <c r="U280" s="55"/>
      <c r="V280" s="168">
        <f t="shared" si="13"/>
        <v>1</v>
      </c>
    </row>
    <row r="281" spans="1:22">
      <c r="A281" s="7"/>
      <c r="B281" s="7"/>
      <c r="C281" s="109" t="s">
        <v>102</v>
      </c>
      <c r="D281" s="52" t="str">
        <f>VLOOKUP(C281,[1]!Tableau_cotisants,2,FALSE)</f>
        <v>SAMOYEAU/RAPHOZ</v>
      </c>
      <c r="E281" s="52" t="str">
        <f>VLOOKUP(C281,[1]!Tableau_cotisants,3,FALSE)</f>
        <v>SAMOYEAU</v>
      </c>
      <c r="F281" s="52" t="str">
        <f>VLOOKUP(C281,[1]!Tableau_cotisants,4,FALSE)</f>
        <v>Romain</v>
      </c>
      <c r="G281" s="53">
        <f>VLOOKUP(C281,[1]!Tableau_cotisants,5,FALSE)</f>
        <v>0</v>
      </c>
      <c r="H281" s="52">
        <f>VLOOKUP(C281,[1]!Tableau_cotisants,6,FALSE)</f>
        <v>0</v>
      </c>
      <c r="I281" s="52">
        <f>VLOOKUP(C281,[1]!Tableau_cotisants,7,FALSE)</f>
        <v>1</v>
      </c>
      <c r="J281" s="54">
        <f>VLOOKUP(C281,[1]!Tableau_cotisants,8,FALSE)</f>
        <v>30741</v>
      </c>
      <c r="K281" s="54" t="str">
        <f t="shared" si="12"/>
        <v>35 an(s) 4 mois et 2 jour(s)</v>
      </c>
      <c r="L281" s="52" t="str">
        <f>VLOOKUP(C281,[1]!Tableau_cotisants,10,FALSE)</f>
        <v>SEGONZAC</v>
      </c>
      <c r="M281" s="53" t="str">
        <f>VLOOKUP(C281,[1]!Tableau_cotisants,11,FALSE)</f>
        <v>Champagne</v>
      </c>
      <c r="N281" s="6">
        <v>1</v>
      </c>
      <c r="O281" s="5"/>
      <c r="P281" s="27">
        <v>1</v>
      </c>
      <c r="Q281" s="26"/>
      <c r="R281" s="74"/>
      <c r="S281" s="55"/>
      <c r="T281" s="55"/>
      <c r="U281" s="55"/>
      <c r="V281" s="168">
        <f t="shared" si="13"/>
        <v>1</v>
      </c>
    </row>
    <row r="282" spans="1:22">
      <c r="A282" s="172"/>
      <c r="B282" s="171"/>
      <c r="C282" s="109" t="s">
        <v>103</v>
      </c>
      <c r="D282" s="52" t="str">
        <f>VLOOKUP(C282,[1]!Tableau_cotisants,2,FALSE)</f>
        <v>SAMOYEAU/RAPHOZ</v>
      </c>
      <c r="E282" s="52" t="str">
        <f>VLOOKUP(C282,[1]!Tableau_cotisants,3,FALSE)</f>
        <v>RAPHOZ_LASSAYS</v>
      </c>
      <c r="F282" s="52" t="str">
        <f>VLOOKUP(C282,[1]!Tableau_cotisants,4,FALSE)</f>
        <v>Laurène</v>
      </c>
      <c r="G282" s="53">
        <f>VLOOKUP(C282,[1]!Tableau_cotisants,5,FALSE)</f>
        <v>0</v>
      </c>
      <c r="H282" s="52">
        <f>VLOOKUP(C282,[1]!Tableau_cotisants,6,FALSE)</f>
        <v>1</v>
      </c>
      <c r="I282" s="52">
        <f>VLOOKUP(C282,[1]!Tableau_cotisants,7,FALSE)</f>
        <v>0</v>
      </c>
      <c r="J282" s="54">
        <f>VLOOKUP(C282,[1]!Tableau_cotisants,8,FALSE)</f>
        <v>31367</v>
      </c>
      <c r="K282" s="54" t="str">
        <f t="shared" si="12"/>
        <v>33 an(s) 7 mois et 15 jour(s)</v>
      </c>
      <c r="L282" s="52" t="str">
        <f>VLOOKUP(C282,[1]!Tableau_cotisants,10,FALSE)</f>
        <v>SEGONZAC</v>
      </c>
      <c r="M282" s="53" t="str">
        <f>VLOOKUP(C282,[1]!Tableau_cotisants,11,FALSE)</f>
        <v>Champagne</v>
      </c>
      <c r="N282" s="6">
        <v>1</v>
      </c>
      <c r="O282" s="5"/>
      <c r="P282" s="27">
        <v>1</v>
      </c>
      <c r="Q282" s="26"/>
      <c r="R282" s="74"/>
      <c r="S282" s="55"/>
      <c r="T282" s="55"/>
      <c r="U282" s="55"/>
      <c r="V282" s="168">
        <f t="shared" si="13"/>
        <v>1</v>
      </c>
    </row>
    <row r="283" spans="1:22">
      <c r="A283" s="172"/>
      <c r="B283" s="171"/>
      <c r="C283" s="109" t="s">
        <v>103</v>
      </c>
      <c r="D283" s="52" t="str">
        <f>VLOOKUP(C283,[1]!Tableau_cotisants,2,FALSE)</f>
        <v>SAMOYEAU/RAPHOZ</v>
      </c>
      <c r="E283" s="52" t="str">
        <f>VLOOKUP(C283,[1]!Tableau_cotisants,3,FALSE)</f>
        <v>RAPHOZ_LASSAYS</v>
      </c>
      <c r="F283" s="52" t="str">
        <f>VLOOKUP(C283,[1]!Tableau_cotisants,4,FALSE)</f>
        <v>Laurène</v>
      </c>
      <c r="G283" s="53">
        <f>VLOOKUP(C283,[1]!Tableau_cotisants,5,FALSE)</f>
        <v>0</v>
      </c>
      <c r="H283" s="52">
        <f>VLOOKUP(C283,[1]!Tableau_cotisants,6,FALSE)</f>
        <v>1</v>
      </c>
      <c r="I283" s="52">
        <f>VLOOKUP(C283,[1]!Tableau_cotisants,7,FALSE)</f>
        <v>0</v>
      </c>
      <c r="J283" s="54">
        <f>VLOOKUP(C283,[1]!Tableau_cotisants,8,FALSE)</f>
        <v>31367</v>
      </c>
      <c r="K283" s="54" t="str">
        <f t="shared" si="12"/>
        <v>33 an(s) 7 mois et 15 jour(s)</v>
      </c>
      <c r="L283" s="52" t="str">
        <f>VLOOKUP(C283,[1]!Tableau_cotisants,10,FALSE)</f>
        <v>SEGONZAC</v>
      </c>
      <c r="M283" s="53" t="str">
        <f>VLOOKUP(C283,[1]!Tableau_cotisants,11,FALSE)</f>
        <v>Champagne</v>
      </c>
      <c r="N283" s="6">
        <v>1</v>
      </c>
      <c r="O283" s="5"/>
      <c r="P283" s="27">
        <v>1</v>
      </c>
      <c r="Q283" s="26"/>
      <c r="R283" s="74"/>
      <c r="S283" s="55"/>
      <c r="T283" s="55"/>
      <c r="U283" s="55"/>
      <c r="V283" s="168">
        <f t="shared" si="13"/>
        <v>1</v>
      </c>
    </row>
    <row r="284" spans="1:22">
      <c r="A284" s="7"/>
      <c r="B284" s="7"/>
      <c r="C284" s="109" t="s">
        <v>103</v>
      </c>
      <c r="D284" s="52" t="str">
        <f>VLOOKUP(C284,[1]!Tableau_cotisants,2,FALSE)</f>
        <v>SAMOYEAU/RAPHOZ</v>
      </c>
      <c r="E284" s="52" t="str">
        <f>VLOOKUP(C284,[1]!Tableau_cotisants,3,FALSE)</f>
        <v>RAPHOZ_LASSAYS</v>
      </c>
      <c r="F284" s="52" t="str">
        <f>VLOOKUP(C284,[1]!Tableau_cotisants,4,FALSE)</f>
        <v>Laurène</v>
      </c>
      <c r="G284" s="53">
        <f>VLOOKUP(C284,[1]!Tableau_cotisants,5,FALSE)</f>
        <v>0</v>
      </c>
      <c r="H284" s="52">
        <f>VLOOKUP(C284,[1]!Tableau_cotisants,6,FALSE)</f>
        <v>1</v>
      </c>
      <c r="I284" s="52">
        <f>VLOOKUP(C284,[1]!Tableau_cotisants,7,FALSE)</f>
        <v>0</v>
      </c>
      <c r="J284" s="54">
        <f>VLOOKUP(C284,[1]!Tableau_cotisants,8,FALSE)</f>
        <v>31367</v>
      </c>
      <c r="K284" s="54" t="str">
        <f t="shared" si="12"/>
        <v>33 an(s) 7 mois et 15 jour(s)</v>
      </c>
      <c r="L284" s="52" t="str">
        <f>VLOOKUP(C284,[1]!Tableau_cotisants,10,FALSE)</f>
        <v>SEGONZAC</v>
      </c>
      <c r="M284" s="53" t="str">
        <f>VLOOKUP(C284,[1]!Tableau_cotisants,11,FALSE)</f>
        <v>Champagne</v>
      </c>
      <c r="N284" s="6">
        <v>1</v>
      </c>
      <c r="O284" s="5"/>
      <c r="P284" s="27">
        <v>1</v>
      </c>
      <c r="Q284" s="26"/>
      <c r="R284" s="74"/>
      <c r="S284" s="55"/>
      <c r="T284" s="55"/>
      <c r="U284" s="55"/>
      <c r="V284" s="168">
        <f t="shared" si="13"/>
        <v>1</v>
      </c>
    </row>
    <row r="285" spans="1:22">
      <c r="A285" s="172"/>
      <c r="B285" s="171"/>
      <c r="C285" s="109" t="s">
        <v>72</v>
      </c>
      <c r="D285" s="52" t="str">
        <f>VLOOKUP(C285,[1]!Tableau_cotisants,2,FALSE)</f>
        <v>SAMOYEAU/RAPHOZ</v>
      </c>
      <c r="E285" s="52" t="str">
        <f>VLOOKUP(C285,[1]!Tableau_cotisants,3,FALSE)</f>
        <v>SAMOYEAU</v>
      </c>
      <c r="F285" s="52" t="str">
        <f>VLOOKUP(C285,[1]!Tableau_cotisants,4,FALSE)</f>
        <v>Thomas</v>
      </c>
      <c r="G285" s="53">
        <f>VLOOKUP(C285,[1]!Tableau_cotisants,5,FALSE)</f>
        <v>0</v>
      </c>
      <c r="H285" s="52">
        <f>VLOOKUP(C285,[1]!Tableau_cotisants,6,FALSE)</f>
        <v>0</v>
      </c>
      <c r="I285" s="52">
        <f>VLOOKUP(C285,[1]!Tableau_cotisants,7,FALSE)</f>
        <v>1</v>
      </c>
      <c r="J285" s="54">
        <f>VLOOKUP(C285,[1]!Tableau_cotisants,8,FALSE)</f>
        <v>41862</v>
      </c>
      <c r="K285" s="54" t="str">
        <f t="shared" si="12"/>
        <v>4 an(s) 10 mois et 20 jour(s)</v>
      </c>
      <c r="L285" s="52" t="str">
        <f>VLOOKUP(C285,[1]!Tableau_cotisants,10,FALSE)</f>
        <v>SEGONZAC</v>
      </c>
      <c r="M285" s="53" t="str">
        <f>VLOOKUP(C285,[1]!Tableau_cotisants,11,FALSE)</f>
        <v>Champagne</v>
      </c>
      <c r="N285" s="85">
        <v>1</v>
      </c>
      <c r="O285" s="57"/>
      <c r="P285" s="68"/>
      <c r="Q285" s="191"/>
      <c r="R285" s="193">
        <v>1</v>
      </c>
      <c r="S285" s="55"/>
      <c r="T285" s="55"/>
      <c r="U285" s="55"/>
      <c r="V285" s="168">
        <f t="shared" si="13"/>
        <v>1</v>
      </c>
    </row>
    <row r="286" spans="1:22">
      <c r="A286" s="172"/>
      <c r="B286" s="171"/>
      <c r="C286" s="109" t="s">
        <v>72</v>
      </c>
      <c r="D286" s="52" t="str">
        <f>VLOOKUP(C286,[1]!Tableau_cotisants,2,FALSE)</f>
        <v>SAMOYEAU/RAPHOZ</v>
      </c>
      <c r="E286" s="52" t="str">
        <f>VLOOKUP(C286,[1]!Tableau_cotisants,3,FALSE)</f>
        <v>SAMOYEAU</v>
      </c>
      <c r="F286" s="52" t="str">
        <f>VLOOKUP(C286,[1]!Tableau_cotisants,4,FALSE)</f>
        <v>Thomas</v>
      </c>
      <c r="G286" s="53">
        <f>VLOOKUP(C286,[1]!Tableau_cotisants,5,FALSE)</f>
        <v>0</v>
      </c>
      <c r="H286" s="52">
        <f>VLOOKUP(C286,[1]!Tableau_cotisants,6,FALSE)</f>
        <v>0</v>
      </c>
      <c r="I286" s="52">
        <f>VLOOKUP(C286,[1]!Tableau_cotisants,7,FALSE)</f>
        <v>1</v>
      </c>
      <c r="J286" s="54">
        <f>VLOOKUP(C286,[1]!Tableau_cotisants,8,FALSE)</f>
        <v>41862</v>
      </c>
      <c r="K286" s="54" t="str">
        <f t="shared" si="12"/>
        <v>4 an(s) 10 mois et 20 jour(s)</v>
      </c>
      <c r="L286" s="52" t="str">
        <f>VLOOKUP(C286,[1]!Tableau_cotisants,10,FALSE)</f>
        <v>SEGONZAC</v>
      </c>
      <c r="M286" s="53" t="str">
        <f>VLOOKUP(C286,[1]!Tableau_cotisants,11,FALSE)</f>
        <v>Champagne</v>
      </c>
      <c r="N286" s="53">
        <v>1</v>
      </c>
      <c r="O286" s="57"/>
      <c r="P286" s="68"/>
      <c r="Q286" s="191"/>
      <c r="R286" s="193">
        <v>1</v>
      </c>
      <c r="S286" s="55"/>
      <c r="T286" s="55"/>
      <c r="U286" s="55"/>
      <c r="V286" s="168">
        <f t="shared" si="13"/>
        <v>1</v>
      </c>
    </row>
    <row r="287" spans="1:22">
      <c r="A287" s="172"/>
      <c r="B287" s="171"/>
      <c r="C287" s="109" t="s">
        <v>72</v>
      </c>
      <c r="D287" s="52" t="str">
        <f>VLOOKUP(C287,[1]!Tableau_cotisants,2,FALSE)</f>
        <v>SAMOYEAU/RAPHOZ</v>
      </c>
      <c r="E287" s="52" t="str">
        <f>VLOOKUP(C287,[1]!Tableau_cotisants,3,FALSE)</f>
        <v>SAMOYEAU</v>
      </c>
      <c r="F287" s="52" t="str">
        <f>VLOOKUP(C287,[1]!Tableau_cotisants,4,FALSE)</f>
        <v>Thomas</v>
      </c>
      <c r="G287" s="53">
        <f>VLOOKUP(C287,[1]!Tableau_cotisants,5,FALSE)</f>
        <v>0</v>
      </c>
      <c r="H287" s="52">
        <f>VLOOKUP(C287,[1]!Tableau_cotisants,6,FALSE)</f>
        <v>0</v>
      </c>
      <c r="I287" s="52">
        <f>VLOOKUP(C287,[1]!Tableau_cotisants,7,FALSE)</f>
        <v>1</v>
      </c>
      <c r="J287" s="54">
        <f>VLOOKUP(C287,[1]!Tableau_cotisants,8,FALSE)</f>
        <v>41862</v>
      </c>
      <c r="K287" s="54" t="str">
        <f t="shared" si="12"/>
        <v>4 an(s) 10 mois et 20 jour(s)</v>
      </c>
      <c r="L287" s="52" t="str">
        <f>VLOOKUP(C287,[1]!Tableau_cotisants,10,FALSE)</f>
        <v>SEGONZAC</v>
      </c>
      <c r="M287" s="53" t="str">
        <f>VLOOKUP(C287,[1]!Tableau_cotisants,11,FALSE)</f>
        <v>Champagne</v>
      </c>
      <c r="N287" s="6">
        <v>1</v>
      </c>
      <c r="O287" s="5"/>
      <c r="P287" s="27">
        <v>1</v>
      </c>
      <c r="Q287" s="26"/>
      <c r="R287" s="74"/>
      <c r="S287" s="55"/>
      <c r="T287" s="55"/>
      <c r="U287" s="55"/>
      <c r="V287" s="168">
        <f t="shared" si="13"/>
        <v>1</v>
      </c>
    </row>
    <row r="288" spans="1:22">
      <c r="A288" s="7"/>
      <c r="B288" s="7"/>
      <c r="C288" s="109" t="s">
        <v>72</v>
      </c>
      <c r="D288" s="52" t="str">
        <f>VLOOKUP(C288,[1]!Tableau_cotisants,2,FALSE)</f>
        <v>SAMOYEAU/RAPHOZ</v>
      </c>
      <c r="E288" s="52" t="str">
        <f>VLOOKUP(C288,[1]!Tableau_cotisants,3,FALSE)</f>
        <v>SAMOYEAU</v>
      </c>
      <c r="F288" s="52" t="str">
        <f>VLOOKUP(C288,[1]!Tableau_cotisants,4,FALSE)</f>
        <v>Thomas</v>
      </c>
      <c r="G288" s="53">
        <f>VLOOKUP(C288,[1]!Tableau_cotisants,5,FALSE)</f>
        <v>0</v>
      </c>
      <c r="H288" s="52">
        <f>VLOOKUP(C288,[1]!Tableau_cotisants,6,FALSE)</f>
        <v>0</v>
      </c>
      <c r="I288" s="52">
        <f>VLOOKUP(C288,[1]!Tableau_cotisants,7,FALSE)</f>
        <v>1</v>
      </c>
      <c r="J288" s="54">
        <f>VLOOKUP(C288,[1]!Tableau_cotisants,8,FALSE)</f>
        <v>41862</v>
      </c>
      <c r="K288" s="54" t="str">
        <f t="shared" si="12"/>
        <v>4 an(s) 10 mois et 20 jour(s)</v>
      </c>
      <c r="L288" s="52" t="str">
        <f>VLOOKUP(C288,[1]!Tableau_cotisants,10,FALSE)</f>
        <v>SEGONZAC</v>
      </c>
      <c r="M288" s="53" t="str">
        <f>VLOOKUP(C288,[1]!Tableau_cotisants,11,FALSE)</f>
        <v>Champagne</v>
      </c>
      <c r="N288" s="6">
        <v>1</v>
      </c>
      <c r="O288" s="5"/>
      <c r="P288" s="27"/>
      <c r="Q288" s="26"/>
      <c r="R288" s="74">
        <v>1</v>
      </c>
      <c r="S288" s="55"/>
      <c r="T288" s="55"/>
      <c r="U288" s="55"/>
      <c r="V288" s="168">
        <f t="shared" si="13"/>
        <v>1</v>
      </c>
    </row>
    <row r="289" spans="1:22">
      <c r="A289" s="7"/>
      <c r="B289" s="7"/>
      <c r="C289" s="109" t="s">
        <v>72</v>
      </c>
      <c r="D289" s="52" t="str">
        <f>VLOOKUP(C289,[1]!Tableau_cotisants,2,FALSE)</f>
        <v>SAMOYEAU/RAPHOZ</v>
      </c>
      <c r="E289" s="52" t="str">
        <f>VLOOKUP(C289,[1]!Tableau_cotisants,3,FALSE)</f>
        <v>SAMOYEAU</v>
      </c>
      <c r="F289" s="52" t="str">
        <f>VLOOKUP(C289,[1]!Tableau_cotisants,4,FALSE)</f>
        <v>Thomas</v>
      </c>
      <c r="G289" s="53">
        <f>VLOOKUP(C289,[1]!Tableau_cotisants,5,FALSE)</f>
        <v>0</v>
      </c>
      <c r="H289" s="52">
        <f>VLOOKUP(C289,[1]!Tableau_cotisants,6,FALSE)</f>
        <v>0</v>
      </c>
      <c r="I289" s="52">
        <f>VLOOKUP(C289,[1]!Tableau_cotisants,7,FALSE)</f>
        <v>1</v>
      </c>
      <c r="J289" s="54">
        <f>VLOOKUP(C289,[1]!Tableau_cotisants,8,FALSE)</f>
        <v>41862</v>
      </c>
      <c r="K289" s="54" t="str">
        <f t="shared" si="12"/>
        <v>4 an(s) 10 mois et 20 jour(s)</v>
      </c>
      <c r="L289" s="52" t="str">
        <f>VLOOKUP(C289,[1]!Tableau_cotisants,10,FALSE)</f>
        <v>SEGONZAC</v>
      </c>
      <c r="M289" s="53" t="str">
        <f>VLOOKUP(C289,[1]!Tableau_cotisants,11,FALSE)</f>
        <v>Champagne</v>
      </c>
      <c r="N289" s="6">
        <v>1</v>
      </c>
      <c r="O289" s="5"/>
      <c r="P289" s="27">
        <v>1</v>
      </c>
      <c r="Q289" s="26"/>
      <c r="R289" s="74"/>
      <c r="S289" s="55"/>
      <c r="T289" s="55"/>
      <c r="U289" s="55"/>
      <c r="V289" s="168">
        <f t="shared" si="13"/>
        <v>1</v>
      </c>
    </row>
    <row r="290" spans="1:22">
      <c r="A290" s="7"/>
      <c r="B290" s="7"/>
      <c r="C290" s="108" t="s">
        <v>205</v>
      </c>
      <c r="D290" s="52" t="str">
        <f>VLOOKUP(C290,[1]!Tableau_cotisants,2,FALSE)</f>
        <v>RENAUD/TALIERCO</v>
      </c>
      <c r="E290" s="52" t="str">
        <f>VLOOKUP(C290,[1]!Tableau_cotisants,3,FALSE)</f>
        <v>TALIERCIO</v>
      </c>
      <c r="F290" s="52" t="str">
        <f>VLOOKUP(C290,[1]!Tableau_cotisants,4,FALSE)</f>
        <v>Marie Line</v>
      </c>
      <c r="G290" s="53">
        <f>VLOOKUP(C290,[1]!Tableau_cotisants,5,FALSE)</f>
        <v>0</v>
      </c>
      <c r="H290" s="52">
        <f>VLOOKUP(C290,[1]!Tableau_cotisants,6,FALSE)</f>
        <v>1</v>
      </c>
      <c r="I290" s="52">
        <f>VLOOKUP(C290,[1]!Tableau_cotisants,7,FALSE)</f>
        <v>0</v>
      </c>
      <c r="J290" s="54">
        <f>VLOOKUP(C290,[1]!Tableau_cotisants,8,FALSE)</f>
        <v>21821</v>
      </c>
      <c r="K290" s="54" t="str">
        <f t="shared" si="12"/>
        <v>59 an(s) 9 mois et 3 jour(s)</v>
      </c>
      <c r="L290" s="52" t="str">
        <f>VLOOKUP(C290,[1]!Tableau_cotisants,10,FALSE)</f>
        <v>Cognac</v>
      </c>
      <c r="M290" s="53" t="str">
        <f>VLOOKUP(C290,[1]!Tableau_cotisants,11,FALSE)</f>
        <v>Cognac</v>
      </c>
      <c r="N290" s="6">
        <v>1</v>
      </c>
      <c r="O290" s="5"/>
      <c r="P290" s="27"/>
      <c r="Q290" s="26"/>
      <c r="R290" s="74">
        <v>1</v>
      </c>
      <c r="S290" s="55"/>
      <c r="T290" s="55"/>
      <c r="U290" s="55"/>
      <c r="V290" s="168">
        <f t="shared" si="13"/>
        <v>1</v>
      </c>
    </row>
    <row r="291" spans="1:22">
      <c r="A291" s="7"/>
      <c r="B291" s="7"/>
      <c r="C291" s="108" t="s">
        <v>205</v>
      </c>
      <c r="D291" s="52" t="str">
        <f>VLOOKUP(C291,[1]!Tableau_cotisants,2,FALSE)</f>
        <v>RENAUD/TALIERCO</v>
      </c>
      <c r="E291" s="52" t="str">
        <f>VLOOKUP(C291,[1]!Tableau_cotisants,3,FALSE)</f>
        <v>TALIERCIO</v>
      </c>
      <c r="F291" s="52" t="str">
        <f>VLOOKUP(C291,[1]!Tableau_cotisants,4,FALSE)</f>
        <v>Marie Line</v>
      </c>
      <c r="G291" s="53">
        <f>VLOOKUP(C291,[1]!Tableau_cotisants,5,FALSE)</f>
        <v>0</v>
      </c>
      <c r="H291" s="52">
        <f>VLOOKUP(C291,[1]!Tableau_cotisants,6,FALSE)</f>
        <v>1</v>
      </c>
      <c r="I291" s="52">
        <f>VLOOKUP(C291,[1]!Tableau_cotisants,7,FALSE)</f>
        <v>0</v>
      </c>
      <c r="J291" s="54">
        <f>VLOOKUP(C291,[1]!Tableau_cotisants,8,FALSE)</f>
        <v>21821</v>
      </c>
      <c r="K291" s="54" t="str">
        <f t="shared" si="12"/>
        <v>59 an(s) 9 mois et 3 jour(s)</v>
      </c>
      <c r="L291" s="52" t="str">
        <f>VLOOKUP(C291,[1]!Tableau_cotisants,10,FALSE)</f>
        <v>Cognac</v>
      </c>
      <c r="M291" s="53" t="str">
        <f>VLOOKUP(C291,[1]!Tableau_cotisants,11,FALSE)</f>
        <v>Cognac</v>
      </c>
      <c r="N291" s="6">
        <v>1</v>
      </c>
      <c r="O291" s="5"/>
      <c r="P291" s="27"/>
      <c r="Q291" s="26"/>
      <c r="R291" s="74">
        <v>1</v>
      </c>
      <c r="S291" s="55"/>
      <c r="T291" s="55"/>
      <c r="U291" s="55"/>
      <c r="V291" s="168">
        <f t="shared" si="13"/>
        <v>1</v>
      </c>
    </row>
    <row r="292" spans="1:22">
      <c r="A292" s="7"/>
      <c r="B292" s="7"/>
      <c r="C292" s="108" t="s">
        <v>206</v>
      </c>
      <c r="D292" s="52" t="str">
        <f>VLOOKUP(C292,[1]!Tableau_cotisants,2,FALSE)</f>
        <v>RENAUD/TALIERCO</v>
      </c>
      <c r="E292" s="52" t="str">
        <f>VLOOKUP(C292,[1]!Tableau_cotisants,3,FALSE)</f>
        <v>RENAUD</v>
      </c>
      <c r="F292" s="52" t="str">
        <f>VLOOKUP(C292,[1]!Tableau_cotisants,4,FALSE)</f>
        <v>Jules</v>
      </c>
      <c r="G292" s="53">
        <f>VLOOKUP(C292,[1]!Tableau_cotisants,5,FALSE)</f>
        <v>0</v>
      </c>
      <c r="H292" s="52">
        <f>VLOOKUP(C292,[1]!Tableau_cotisants,6,FALSE)</f>
        <v>0</v>
      </c>
      <c r="I292" s="52">
        <f>VLOOKUP(C292,[1]!Tableau_cotisants,7,FALSE)</f>
        <v>1</v>
      </c>
      <c r="J292" s="54">
        <f>VLOOKUP(C292,[1]!Tableau_cotisants,8,FALSE)</f>
        <v>42480</v>
      </c>
      <c r="K292" s="54" t="str">
        <f t="shared" si="12"/>
        <v>3 an(s) 2 mois et 11 jour(s)</v>
      </c>
      <c r="L292" s="52" t="str">
        <f>VLOOKUP(C292,[1]!Tableau_cotisants,10,FALSE)</f>
        <v>Cognac</v>
      </c>
      <c r="M292" s="53" t="str">
        <f>VLOOKUP(C292,[1]!Tableau_cotisants,11,FALSE)</f>
        <v>Cognac</v>
      </c>
      <c r="N292" s="6">
        <v>1</v>
      </c>
      <c r="O292" s="5"/>
      <c r="P292" s="27"/>
      <c r="Q292" s="26"/>
      <c r="R292" s="74">
        <v>1</v>
      </c>
      <c r="S292" s="55"/>
      <c r="T292" s="55"/>
      <c r="U292" s="55"/>
      <c r="V292" s="168">
        <f t="shared" si="13"/>
        <v>1</v>
      </c>
    </row>
    <row r="293" spans="1:22">
      <c r="A293" s="7"/>
      <c r="B293" s="7"/>
      <c r="C293" s="108" t="s">
        <v>206</v>
      </c>
      <c r="D293" s="52" t="str">
        <f>VLOOKUP(C293,[1]!Tableau_cotisants,2,FALSE)</f>
        <v>RENAUD/TALIERCO</v>
      </c>
      <c r="E293" s="52" t="str">
        <f>VLOOKUP(C293,[1]!Tableau_cotisants,3,FALSE)</f>
        <v>RENAUD</v>
      </c>
      <c r="F293" s="52" t="str">
        <f>VLOOKUP(C293,[1]!Tableau_cotisants,4,FALSE)</f>
        <v>Jules</v>
      </c>
      <c r="G293" s="53">
        <f>VLOOKUP(C293,[1]!Tableau_cotisants,5,FALSE)</f>
        <v>0</v>
      </c>
      <c r="H293" s="52">
        <f>VLOOKUP(C293,[1]!Tableau_cotisants,6,FALSE)</f>
        <v>0</v>
      </c>
      <c r="I293" s="52">
        <f>VLOOKUP(C293,[1]!Tableau_cotisants,7,FALSE)</f>
        <v>1</v>
      </c>
      <c r="J293" s="54">
        <f>VLOOKUP(C293,[1]!Tableau_cotisants,8,FALSE)</f>
        <v>42480</v>
      </c>
      <c r="K293" s="54" t="str">
        <f t="shared" si="12"/>
        <v>3 an(s) 2 mois et 11 jour(s)</v>
      </c>
      <c r="L293" s="52" t="str">
        <f>VLOOKUP(C293,[1]!Tableau_cotisants,10,FALSE)</f>
        <v>Cognac</v>
      </c>
      <c r="M293" s="53" t="str">
        <f>VLOOKUP(C293,[1]!Tableau_cotisants,11,FALSE)</f>
        <v>Cognac</v>
      </c>
      <c r="N293" s="6">
        <v>1</v>
      </c>
      <c r="O293" s="5"/>
      <c r="P293" s="27"/>
      <c r="Q293" s="26"/>
      <c r="R293" s="74">
        <v>1</v>
      </c>
      <c r="S293" s="55"/>
      <c r="T293" s="55"/>
      <c r="U293" s="55"/>
      <c r="V293" s="168">
        <f t="shared" si="13"/>
        <v>1</v>
      </c>
    </row>
    <row r="294" spans="1:22">
      <c r="A294" s="172"/>
      <c r="B294" s="171"/>
      <c r="C294" s="109" t="s">
        <v>73</v>
      </c>
      <c r="D294" s="52" t="str">
        <f>VLOOKUP(C294,[1]!Tableau_cotisants,2,FALSE)</f>
        <v>SAMOYEAU/RAPHOZ</v>
      </c>
      <c r="E294" s="52" t="str">
        <f>VLOOKUP(C294,[1]!Tableau_cotisants,3,FALSE)</f>
        <v>RAPHOZ</v>
      </c>
      <c r="F294" s="52" t="str">
        <f>VLOOKUP(C294,[1]!Tableau_cotisants,4,FALSE)</f>
        <v>Martine</v>
      </c>
      <c r="G294" s="53">
        <f>VLOOKUP(C294,[1]!Tableau_cotisants,5,FALSE)</f>
        <v>0</v>
      </c>
      <c r="H294" s="52">
        <f>VLOOKUP(C294,[1]!Tableau_cotisants,6,FALSE)</f>
        <v>1</v>
      </c>
      <c r="I294" s="52">
        <f>VLOOKUP(C294,[1]!Tableau_cotisants,7,FALSE)</f>
        <v>0</v>
      </c>
      <c r="J294" s="54">
        <f>VLOOKUP(C294,[1]!Tableau_cotisants,8,FALSE)</f>
        <v>18714</v>
      </c>
      <c r="K294" s="54" t="str">
        <f t="shared" si="12"/>
        <v>68 an(s) 3 mois et 4 jour(s)</v>
      </c>
      <c r="L294" s="52" t="str">
        <f>VLOOKUP(C294,[1]!Tableau_cotisants,10,FALSE)</f>
        <v>SEGONZAC</v>
      </c>
      <c r="M294" s="53" t="str">
        <f>VLOOKUP(C294,[1]!Tableau_cotisants,11,FALSE)</f>
        <v>Champagne</v>
      </c>
      <c r="N294" s="85">
        <v>1</v>
      </c>
      <c r="O294" s="57"/>
      <c r="P294" s="68"/>
      <c r="Q294" s="191"/>
      <c r="R294" s="193">
        <v>1</v>
      </c>
      <c r="S294" s="55"/>
      <c r="T294" s="55"/>
      <c r="U294" s="55"/>
      <c r="V294" s="168">
        <f t="shared" si="13"/>
        <v>1</v>
      </c>
    </row>
    <row r="295" spans="1:22">
      <c r="A295" s="172"/>
      <c r="B295" s="171"/>
      <c r="C295" s="109" t="s">
        <v>73</v>
      </c>
      <c r="D295" s="52" t="str">
        <f>VLOOKUP(C295,[1]!Tableau_cotisants,2,FALSE)</f>
        <v>SAMOYEAU/RAPHOZ</v>
      </c>
      <c r="E295" s="52" t="str">
        <f>VLOOKUP(C295,[1]!Tableau_cotisants,3,FALSE)</f>
        <v>RAPHOZ</v>
      </c>
      <c r="F295" s="52" t="str">
        <f>VLOOKUP(C295,[1]!Tableau_cotisants,4,FALSE)</f>
        <v>Martine</v>
      </c>
      <c r="G295" s="53">
        <f>VLOOKUP(C295,[1]!Tableau_cotisants,5,FALSE)</f>
        <v>0</v>
      </c>
      <c r="H295" s="52">
        <f>VLOOKUP(C295,[1]!Tableau_cotisants,6,FALSE)</f>
        <v>1</v>
      </c>
      <c r="I295" s="52">
        <f>VLOOKUP(C295,[1]!Tableau_cotisants,7,FALSE)</f>
        <v>0</v>
      </c>
      <c r="J295" s="54">
        <f>VLOOKUP(C295,[1]!Tableau_cotisants,8,FALSE)</f>
        <v>18714</v>
      </c>
      <c r="K295" s="54" t="str">
        <f t="shared" si="12"/>
        <v>68 an(s) 3 mois et 4 jour(s)</v>
      </c>
      <c r="L295" s="52" t="str">
        <f>VLOOKUP(C295,[1]!Tableau_cotisants,10,FALSE)</f>
        <v>SEGONZAC</v>
      </c>
      <c r="M295" s="53" t="str">
        <f>VLOOKUP(C295,[1]!Tableau_cotisants,11,FALSE)</f>
        <v>Champagne</v>
      </c>
      <c r="N295" s="53">
        <v>1</v>
      </c>
      <c r="O295" s="57"/>
      <c r="P295" s="68"/>
      <c r="Q295" s="191"/>
      <c r="R295" s="193">
        <v>1</v>
      </c>
      <c r="S295" s="55"/>
      <c r="T295" s="55"/>
      <c r="U295" s="55"/>
      <c r="V295" s="168">
        <f t="shared" si="13"/>
        <v>1</v>
      </c>
    </row>
    <row r="296" spans="1:22">
      <c r="A296" s="172"/>
      <c r="B296" s="171"/>
      <c r="C296" s="110" t="s">
        <v>158</v>
      </c>
      <c r="D296" s="52" t="str">
        <f>VLOOKUP(C296,[1]!Tableau_cotisants,2,FALSE)</f>
        <v>MENON</v>
      </c>
      <c r="E296" s="52" t="str">
        <f>VLOOKUP(C296,[1]!Tableau_cotisants,3,FALSE)</f>
        <v>MENON</v>
      </c>
      <c r="F296" s="52" t="str">
        <f>VLOOKUP(C296,[1]!Tableau_cotisants,4,FALSE)</f>
        <v>Caroline</v>
      </c>
      <c r="G296" s="53">
        <f>VLOOKUP(C296,[1]!Tableau_cotisants,5,FALSE)</f>
        <v>0</v>
      </c>
      <c r="H296" s="52">
        <f>VLOOKUP(C296,[1]!Tableau_cotisants,6,FALSE)</f>
        <v>1</v>
      </c>
      <c r="I296" s="52">
        <f>VLOOKUP(C296,[1]!Tableau_cotisants,7,FALSE)</f>
        <v>0</v>
      </c>
      <c r="J296" s="54">
        <f>VLOOKUP(C296,[1]!Tableau_cotisants,8,FALSE)</f>
        <v>29713</v>
      </c>
      <c r="K296" s="54" t="str">
        <f t="shared" si="12"/>
        <v>38 an(s) 1 mois et 24 jour(s)</v>
      </c>
      <c r="L296" s="52" t="str">
        <f>VLOOKUP(C296,[1]!Tableau_cotisants,10,FALSE)</f>
        <v>Genté</v>
      </c>
      <c r="M296" s="53" t="str">
        <f>VLOOKUP(C296,[1]!Tableau_cotisants,11,FALSE)</f>
        <v>Champagne</v>
      </c>
      <c r="N296" s="99"/>
      <c r="O296" s="57">
        <v>1</v>
      </c>
      <c r="P296" s="68"/>
      <c r="Q296" s="191">
        <v>1</v>
      </c>
      <c r="R296" s="193"/>
      <c r="S296" s="55"/>
      <c r="T296" s="55"/>
      <c r="U296" s="55"/>
      <c r="V296" s="168">
        <f t="shared" si="13"/>
        <v>1</v>
      </c>
    </row>
    <row r="297" spans="1:22">
      <c r="A297" s="7"/>
      <c r="B297" s="7"/>
      <c r="C297" s="110" t="s">
        <v>158</v>
      </c>
      <c r="D297" s="56" t="str">
        <f>VLOOKUP(C297,[1]!Tableau_cotisants,2,FALSE)</f>
        <v>MENON</v>
      </c>
      <c r="E297" s="56" t="str">
        <f>VLOOKUP(C297,[1]!Tableau_cotisants,3,FALSE)</f>
        <v>MENON</v>
      </c>
      <c r="F297" s="56" t="str">
        <f>VLOOKUP(C297,[1]!Tableau_cotisants,4,FALSE)</f>
        <v>Caroline</v>
      </c>
      <c r="G297" s="57">
        <f>VLOOKUP(C297,[1]!Tableau_cotisants,5,FALSE)</f>
        <v>0</v>
      </c>
      <c r="H297" s="56">
        <f>VLOOKUP(C297,[1]!Tableau_cotisants,6,FALSE)</f>
        <v>1</v>
      </c>
      <c r="I297" s="56">
        <f>VLOOKUP(C297,[1]!Tableau_cotisants,7,FALSE)</f>
        <v>0</v>
      </c>
      <c r="J297" s="58">
        <f>VLOOKUP(C297,[1]!Tableau_cotisants,8,FALSE)</f>
        <v>29713</v>
      </c>
      <c r="K297" s="54" t="str">
        <f t="shared" si="12"/>
        <v>38 an(s) 1 mois et 24 jour(s)</v>
      </c>
      <c r="L297" s="56" t="str">
        <f>VLOOKUP(C297,[1]!Tableau_cotisants,10,FALSE)</f>
        <v>Genté</v>
      </c>
      <c r="M297" s="57" t="str">
        <f>VLOOKUP(C297,[1]!Tableau_cotisants,11,FALSE)</f>
        <v>Champagne</v>
      </c>
      <c r="N297" s="6"/>
      <c r="O297" s="5">
        <v>1</v>
      </c>
      <c r="P297" s="27"/>
      <c r="Q297" s="26"/>
      <c r="R297" s="74">
        <v>1</v>
      </c>
      <c r="S297" s="55"/>
      <c r="T297" s="55"/>
      <c r="U297" s="55"/>
      <c r="V297" s="168">
        <f t="shared" si="13"/>
        <v>1</v>
      </c>
    </row>
    <row r="298" spans="1:22">
      <c r="A298" s="7"/>
      <c r="B298" s="7"/>
      <c r="C298" s="110" t="s">
        <v>158</v>
      </c>
      <c r="D298" s="56" t="str">
        <f>VLOOKUP(C298,[1]!Tableau_cotisants,2,FALSE)</f>
        <v>MENON</v>
      </c>
      <c r="E298" s="56" t="str">
        <f>VLOOKUP(C298,[1]!Tableau_cotisants,3,FALSE)</f>
        <v>MENON</v>
      </c>
      <c r="F298" s="56" t="str">
        <f>VLOOKUP(C298,[1]!Tableau_cotisants,4,FALSE)</f>
        <v>Caroline</v>
      </c>
      <c r="G298" s="57">
        <f>VLOOKUP(C298,[1]!Tableau_cotisants,5,FALSE)</f>
        <v>0</v>
      </c>
      <c r="H298" s="56">
        <f>VLOOKUP(C298,[1]!Tableau_cotisants,6,FALSE)</f>
        <v>1</v>
      </c>
      <c r="I298" s="56">
        <f>VLOOKUP(C298,[1]!Tableau_cotisants,7,FALSE)</f>
        <v>0</v>
      </c>
      <c r="J298" s="58">
        <f>VLOOKUP(C298,[1]!Tableau_cotisants,8,FALSE)</f>
        <v>29713</v>
      </c>
      <c r="K298" s="54" t="str">
        <f t="shared" si="12"/>
        <v>38 an(s) 1 mois et 24 jour(s)</v>
      </c>
      <c r="L298" s="56" t="str">
        <f>VLOOKUP(C298,[1]!Tableau_cotisants,10,FALSE)</f>
        <v>Genté</v>
      </c>
      <c r="M298" s="57" t="str">
        <f>VLOOKUP(C298,[1]!Tableau_cotisants,11,FALSE)</f>
        <v>Champagne</v>
      </c>
      <c r="N298" s="6"/>
      <c r="O298" s="5">
        <v>1</v>
      </c>
      <c r="P298" s="27"/>
      <c r="Q298" s="26">
        <v>1</v>
      </c>
      <c r="R298" s="74"/>
      <c r="S298" s="55"/>
      <c r="T298" s="55"/>
      <c r="U298" s="55"/>
      <c r="V298" s="168">
        <f t="shared" si="13"/>
        <v>1</v>
      </c>
    </row>
    <row r="299" spans="1:22">
      <c r="C299" s="110" t="s">
        <v>158</v>
      </c>
      <c r="D299" s="56" t="str">
        <f>VLOOKUP(C299,[1]!Tableau_cotisants,2,FALSE)</f>
        <v>MENON</v>
      </c>
      <c r="E299" s="56" t="str">
        <f>VLOOKUP(C299,[1]!Tableau_cotisants,3,FALSE)</f>
        <v>MENON</v>
      </c>
      <c r="F299" s="56" t="str">
        <f>VLOOKUP(C299,[1]!Tableau_cotisants,4,FALSE)</f>
        <v>Caroline</v>
      </c>
      <c r="G299" s="57">
        <f>VLOOKUP(C299,[1]!Tableau_cotisants,5,FALSE)</f>
        <v>0</v>
      </c>
      <c r="H299" s="56">
        <f>VLOOKUP(C299,[1]!Tableau_cotisants,6,FALSE)</f>
        <v>1</v>
      </c>
      <c r="I299" s="56">
        <f>VLOOKUP(C299,[1]!Tableau_cotisants,7,FALSE)</f>
        <v>0</v>
      </c>
      <c r="J299" s="58">
        <f>VLOOKUP(C299,[1]!Tableau_cotisants,8,FALSE)</f>
        <v>29713</v>
      </c>
      <c r="K299" s="54" t="str">
        <f t="shared" si="12"/>
        <v>38 an(s) 1 mois et 24 jour(s)</v>
      </c>
      <c r="L299" s="56" t="str">
        <f>VLOOKUP(C299,[1]!Tableau_cotisants,10,FALSE)</f>
        <v>Genté</v>
      </c>
      <c r="M299" s="57" t="str">
        <f>VLOOKUP(C299,[1]!Tableau_cotisants,11,FALSE)</f>
        <v>Champagne</v>
      </c>
      <c r="N299" s="6"/>
      <c r="O299" s="5">
        <v>1</v>
      </c>
      <c r="P299" s="27"/>
      <c r="Q299" s="26">
        <v>1</v>
      </c>
      <c r="R299" s="74"/>
      <c r="S299" s="55"/>
      <c r="T299" s="55"/>
      <c r="U299" s="55"/>
      <c r="V299" s="168">
        <f t="shared" si="13"/>
        <v>1</v>
      </c>
    </row>
    <row r="300" spans="1:22">
      <c r="A300" s="172"/>
      <c r="B300" s="171"/>
      <c r="C300" s="110" t="s">
        <v>159</v>
      </c>
      <c r="D300" s="52" t="str">
        <f>VLOOKUP(C300,[1]!Tableau_cotisants,2,FALSE)</f>
        <v>MENON</v>
      </c>
      <c r="E300" s="52" t="str">
        <f>VLOOKUP(C300,[1]!Tableau_cotisants,3,FALSE)</f>
        <v>MENON</v>
      </c>
      <c r="F300" s="52" t="str">
        <f>VLOOKUP(C300,[1]!Tableau_cotisants,4,FALSE)</f>
        <v>Victor</v>
      </c>
      <c r="G300" s="53">
        <f>VLOOKUP(C300,[1]!Tableau_cotisants,5,FALSE)</f>
        <v>0</v>
      </c>
      <c r="H300" s="52">
        <f>VLOOKUP(C300,[1]!Tableau_cotisants,6,FALSE)</f>
        <v>0</v>
      </c>
      <c r="I300" s="52">
        <f>VLOOKUP(C300,[1]!Tableau_cotisants,7,FALSE)</f>
        <v>1</v>
      </c>
      <c r="J300" s="54">
        <f>VLOOKUP(C300,[1]!Tableau_cotisants,8,FALSE)</f>
        <v>40687</v>
      </c>
      <c r="K300" s="54" t="str">
        <f t="shared" si="12"/>
        <v>8 an(s) 1 mois et 7 jour(s)</v>
      </c>
      <c r="L300" s="52" t="str">
        <f>VLOOKUP(C300,[1]!Tableau_cotisants,10,FALSE)</f>
        <v>Genté</v>
      </c>
      <c r="M300" s="53" t="str">
        <f>VLOOKUP(C300,[1]!Tableau_cotisants,11,FALSE)</f>
        <v>Champagne</v>
      </c>
      <c r="N300" s="99"/>
      <c r="O300" s="57">
        <v>1</v>
      </c>
      <c r="P300" s="68"/>
      <c r="Q300" s="191">
        <v>1</v>
      </c>
      <c r="R300" s="193"/>
      <c r="S300" s="55"/>
      <c r="T300" s="55"/>
      <c r="U300" s="55"/>
      <c r="V300" s="168">
        <f t="shared" si="13"/>
        <v>1</v>
      </c>
    </row>
    <row r="301" spans="1:22">
      <c r="C301" s="110" t="s">
        <v>159</v>
      </c>
      <c r="D301" s="56" t="str">
        <f>VLOOKUP(C301,[1]!Tableau_cotisants,2,FALSE)</f>
        <v>MENON</v>
      </c>
      <c r="E301" s="56" t="str">
        <f>VLOOKUP(C301,[1]!Tableau_cotisants,3,FALSE)</f>
        <v>MENON</v>
      </c>
      <c r="F301" s="56" t="str">
        <f>VLOOKUP(C301,[1]!Tableau_cotisants,4,FALSE)</f>
        <v>Victor</v>
      </c>
      <c r="G301" s="57">
        <f>VLOOKUP(C301,[1]!Tableau_cotisants,5,FALSE)</f>
        <v>0</v>
      </c>
      <c r="H301" s="56">
        <f>VLOOKUP(C301,[1]!Tableau_cotisants,6,FALSE)</f>
        <v>0</v>
      </c>
      <c r="I301" s="56">
        <f>VLOOKUP(C301,[1]!Tableau_cotisants,7,FALSE)</f>
        <v>1</v>
      </c>
      <c r="J301" s="58">
        <f>VLOOKUP(C301,[1]!Tableau_cotisants,8,FALSE)</f>
        <v>40687</v>
      </c>
      <c r="K301" s="54" t="str">
        <f t="shared" si="12"/>
        <v>8 an(s) 1 mois et 7 jour(s)</v>
      </c>
      <c r="L301" s="56" t="str">
        <f>VLOOKUP(C301,[1]!Tableau_cotisants,10,FALSE)</f>
        <v>Genté</v>
      </c>
      <c r="M301" s="57" t="str">
        <f>VLOOKUP(C301,[1]!Tableau_cotisants,11,FALSE)</f>
        <v>Champagne</v>
      </c>
      <c r="N301" s="6"/>
      <c r="O301" s="5">
        <v>1</v>
      </c>
      <c r="P301" s="27"/>
      <c r="Q301" s="26">
        <v>1</v>
      </c>
      <c r="R301" s="74"/>
      <c r="S301" s="55"/>
      <c r="T301" s="55"/>
      <c r="U301" s="55"/>
      <c r="V301" s="168">
        <f t="shared" si="13"/>
        <v>1</v>
      </c>
    </row>
    <row r="302" spans="1:22">
      <c r="A302" s="7"/>
      <c r="B302" s="7"/>
      <c r="C302" s="110" t="s">
        <v>191</v>
      </c>
      <c r="D302" s="56" t="str">
        <f>VLOOKUP(C302,[1]!Tableau_cotisants,2,FALSE)</f>
        <v>MENON</v>
      </c>
      <c r="E302" s="56" t="str">
        <f>VLOOKUP(C302,[1]!Tableau_cotisants,3,FALSE)</f>
        <v>MENON</v>
      </c>
      <c r="F302" s="56" t="str">
        <f>VLOOKUP(C302,[1]!Tableau_cotisants,4,FALSE)</f>
        <v>Alienor</v>
      </c>
      <c r="G302" s="57">
        <f>VLOOKUP(C302,[1]!Tableau_cotisants,5,FALSE)</f>
        <v>0</v>
      </c>
      <c r="H302" s="56">
        <f>VLOOKUP(C302,[1]!Tableau_cotisants,6,FALSE)</f>
        <v>1</v>
      </c>
      <c r="I302" s="56">
        <f>VLOOKUP(C302,[1]!Tableau_cotisants,7,FALSE)</f>
        <v>0</v>
      </c>
      <c r="J302" s="58">
        <f>VLOOKUP(C302,[1]!Tableau_cotisants,8,FALSE)</f>
        <v>38973</v>
      </c>
      <c r="K302" s="54" t="str">
        <f t="shared" si="12"/>
        <v>12 an(s) 9 mois et 18 jour(s)</v>
      </c>
      <c r="L302" s="56" t="str">
        <f>VLOOKUP(C302,[1]!Tableau_cotisants,10,FALSE)</f>
        <v>Genté</v>
      </c>
      <c r="M302" s="57" t="str">
        <f>VLOOKUP(C302,[1]!Tableau_cotisants,11,FALSE)</f>
        <v>Champagne</v>
      </c>
      <c r="N302" s="6"/>
      <c r="O302" s="5">
        <v>1</v>
      </c>
      <c r="P302" s="27"/>
      <c r="Q302" s="26"/>
      <c r="R302" s="74">
        <v>1</v>
      </c>
      <c r="S302" s="55"/>
      <c r="T302" s="55"/>
      <c r="U302" s="55"/>
      <c r="V302" s="168">
        <f t="shared" si="13"/>
        <v>1</v>
      </c>
    </row>
    <row r="303" spans="1:22">
      <c r="A303" s="172"/>
      <c r="B303" s="171"/>
      <c r="C303" s="118" t="s">
        <v>128</v>
      </c>
      <c r="D303" s="56" t="str">
        <f>VLOOKUP(C303,[1]!Tableau_cotisants,2,FALSE)</f>
        <v>G7-1</v>
      </c>
      <c r="E303" s="56" t="str">
        <f>VLOOKUP(C303,[1]!Tableau_cotisants,3,FALSE)</f>
        <v>BARRY</v>
      </c>
      <c r="F303" s="56" t="str">
        <f>VLOOKUP(C303,[1]!Tableau_cotisants,4,FALSE)</f>
        <v>Oksana</v>
      </c>
      <c r="G303" s="57">
        <f>VLOOKUP(C303,[1]!Tableau_cotisants,5,FALSE)</f>
        <v>0</v>
      </c>
      <c r="H303" s="56">
        <f>VLOOKUP(C303,[1]!Tableau_cotisants,6,FALSE)</f>
        <v>1</v>
      </c>
      <c r="I303" s="56">
        <f>VLOOKUP(C303,[1]!Tableau_cotisants,7,FALSE)</f>
        <v>0</v>
      </c>
      <c r="J303" s="58">
        <f>VLOOKUP(C303,[1]!Tableau_cotisants,8,FALSE)</f>
        <v>30016</v>
      </c>
      <c r="K303" s="54" t="str">
        <f t="shared" si="12"/>
        <v>37 an(s) 3 mois et 25 jour(s)</v>
      </c>
      <c r="L303" s="56" t="str">
        <f>VLOOKUP(C303,[1]!Tableau_cotisants,10,FALSE)</f>
        <v>Bourg Charente</v>
      </c>
      <c r="M303" s="57" t="str">
        <f>VLOOKUP(C303,[1]!Tableau_cotisants,11,FALSE)</f>
        <v>Jarnac</v>
      </c>
      <c r="N303" s="99"/>
      <c r="O303" s="57">
        <v>1</v>
      </c>
      <c r="P303" s="68"/>
      <c r="Q303" s="191">
        <v>1</v>
      </c>
      <c r="R303" s="193"/>
      <c r="S303" s="55"/>
      <c r="T303" s="55"/>
      <c r="U303" s="55"/>
      <c r="V303" s="168">
        <f t="shared" si="13"/>
        <v>1</v>
      </c>
    </row>
    <row r="304" spans="1:22">
      <c r="A304" s="7"/>
      <c r="B304" s="7"/>
      <c r="C304" s="118" t="s">
        <v>128</v>
      </c>
      <c r="D304" s="56" t="str">
        <f>VLOOKUP(C304,[1]!Tableau_cotisants,2,FALSE)</f>
        <v>G7-1</v>
      </c>
      <c r="E304" s="56" t="str">
        <f>VLOOKUP(C304,[1]!Tableau_cotisants,3,FALSE)</f>
        <v>BARRY</v>
      </c>
      <c r="F304" s="56" t="str">
        <f>VLOOKUP(C304,[1]!Tableau_cotisants,4,FALSE)</f>
        <v>Oksana</v>
      </c>
      <c r="G304" s="57">
        <f>VLOOKUP(C304,[1]!Tableau_cotisants,5,FALSE)</f>
        <v>0</v>
      </c>
      <c r="H304" s="56">
        <f>VLOOKUP(C304,[1]!Tableau_cotisants,6,FALSE)</f>
        <v>1</v>
      </c>
      <c r="I304" s="56">
        <f>VLOOKUP(C304,[1]!Tableau_cotisants,7,FALSE)</f>
        <v>0</v>
      </c>
      <c r="J304" s="58">
        <f>VLOOKUP(C304,[1]!Tableau_cotisants,8,FALSE)</f>
        <v>30016</v>
      </c>
      <c r="K304" s="54" t="str">
        <f t="shared" si="12"/>
        <v>37 an(s) 3 mois et 25 jour(s)</v>
      </c>
      <c r="L304" s="56" t="str">
        <f>VLOOKUP(C304,[1]!Tableau_cotisants,10,FALSE)</f>
        <v>Bourg Charente</v>
      </c>
      <c r="M304" s="57" t="str">
        <f>VLOOKUP(C304,[1]!Tableau_cotisants,11,FALSE)</f>
        <v>Jarnac</v>
      </c>
      <c r="N304" s="6"/>
      <c r="O304" s="5">
        <v>1</v>
      </c>
      <c r="P304" s="27"/>
      <c r="Q304" s="26">
        <v>1</v>
      </c>
      <c r="R304" s="74"/>
      <c r="S304" s="55"/>
      <c r="T304" s="55"/>
      <c r="U304" s="55"/>
      <c r="V304" s="168">
        <f t="shared" si="13"/>
        <v>1</v>
      </c>
    </row>
    <row r="305" spans="1:22">
      <c r="A305" s="172"/>
      <c r="B305" s="171"/>
      <c r="C305" s="118" t="s">
        <v>129</v>
      </c>
      <c r="D305" s="56" t="str">
        <f>VLOOKUP(C305,[1]!Tableau_cotisants,2,FALSE)</f>
        <v>G7-2</v>
      </c>
      <c r="E305" s="56" t="str">
        <f>VLOOKUP(C305,[1]!Tableau_cotisants,3,FALSE)</f>
        <v>BARRY</v>
      </c>
      <c r="F305" s="56" t="str">
        <f>VLOOKUP(C305,[1]!Tableau_cotisants,4,FALSE)</f>
        <v>Anastasia</v>
      </c>
      <c r="G305" s="57">
        <f>VLOOKUP(C305,[1]!Tableau_cotisants,5,FALSE)</f>
        <v>0</v>
      </c>
      <c r="H305" s="56">
        <f>VLOOKUP(C305,[1]!Tableau_cotisants,6,FALSE)</f>
        <v>1</v>
      </c>
      <c r="I305" s="56">
        <f>VLOOKUP(C305,[1]!Tableau_cotisants,7,FALSE)</f>
        <v>0</v>
      </c>
      <c r="J305" s="58">
        <f>VLOOKUP(C305,[1]!Tableau_cotisants,8,FALSE)</f>
        <v>42267</v>
      </c>
      <c r="K305" s="54" t="str">
        <f t="shared" si="12"/>
        <v>3 an(s) 9 mois et 11 jour(s)</v>
      </c>
      <c r="L305" s="56" t="str">
        <f>VLOOKUP(C305,[1]!Tableau_cotisants,10,FALSE)</f>
        <v>Bourg Charente</v>
      </c>
      <c r="M305" s="57" t="str">
        <f>VLOOKUP(C305,[1]!Tableau_cotisants,11,FALSE)</f>
        <v>Jarnac</v>
      </c>
      <c r="N305" s="99"/>
      <c r="O305" s="57">
        <v>1</v>
      </c>
      <c r="P305" s="68"/>
      <c r="Q305" s="191">
        <v>1</v>
      </c>
      <c r="R305" s="193"/>
      <c r="S305" s="55"/>
      <c r="T305" s="55"/>
      <c r="U305" s="55"/>
      <c r="V305" s="168">
        <f t="shared" si="13"/>
        <v>1</v>
      </c>
    </row>
    <row r="306" spans="1:22">
      <c r="A306" s="7"/>
      <c r="B306" s="7"/>
      <c r="C306" s="118" t="s">
        <v>129</v>
      </c>
      <c r="D306" s="56" t="str">
        <f>VLOOKUP(C306,[1]!Tableau_cotisants,2,FALSE)</f>
        <v>G7-2</v>
      </c>
      <c r="E306" s="56" t="str">
        <f>VLOOKUP(C306,[1]!Tableau_cotisants,3,FALSE)</f>
        <v>BARRY</v>
      </c>
      <c r="F306" s="56" t="str">
        <f>VLOOKUP(C306,[1]!Tableau_cotisants,4,FALSE)</f>
        <v>Anastasia</v>
      </c>
      <c r="G306" s="57">
        <f>VLOOKUP(C306,[1]!Tableau_cotisants,5,FALSE)</f>
        <v>0</v>
      </c>
      <c r="H306" s="56">
        <f>VLOOKUP(C306,[1]!Tableau_cotisants,6,FALSE)</f>
        <v>1</v>
      </c>
      <c r="I306" s="56">
        <f>VLOOKUP(C306,[1]!Tableau_cotisants,7,FALSE)</f>
        <v>0</v>
      </c>
      <c r="J306" s="58">
        <f>VLOOKUP(C306,[1]!Tableau_cotisants,8,FALSE)</f>
        <v>42267</v>
      </c>
      <c r="K306" s="54" t="str">
        <f t="shared" si="12"/>
        <v>3 an(s) 9 mois et 11 jour(s)</v>
      </c>
      <c r="L306" s="56" t="str">
        <f>VLOOKUP(C306,[1]!Tableau_cotisants,10,FALSE)</f>
        <v>Bourg Charente</v>
      </c>
      <c r="M306" s="57" t="str">
        <f>VLOOKUP(C306,[1]!Tableau_cotisants,11,FALSE)</f>
        <v>Jarnac</v>
      </c>
      <c r="N306" s="6"/>
      <c r="O306" s="5">
        <v>1</v>
      </c>
      <c r="P306" s="27"/>
      <c r="Q306" s="26">
        <v>1</v>
      </c>
      <c r="R306" s="74"/>
      <c r="S306" s="55"/>
      <c r="T306" s="55"/>
      <c r="U306" s="55"/>
      <c r="V306" s="168">
        <f t="shared" si="13"/>
        <v>1</v>
      </c>
    </row>
    <row r="307" spans="1:22">
      <c r="A307" s="172"/>
      <c r="B307" s="171"/>
      <c r="C307" s="153"/>
      <c r="D307" s="127" t="s">
        <v>140</v>
      </c>
      <c r="E307" s="127" t="s">
        <v>141</v>
      </c>
      <c r="F307" s="127" t="s">
        <v>143</v>
      </c>
      <c r="G307" s="128"/>
      <c r="H307" s="127">
        <v>1</v>
      </c>
      <c r="I307" s="127"/>
      <c r="J307" s="129">
        <v>21333</v>
      </c>
      <c r="K307" s="54" t="str">
        <f t="shared" si="12"/>
        <v>61 an(s) 1 mois et 3 jour(s)</v>
      </c>
      <c r="L307" s="127" t="s">
        <v>144</v>
      </c>
      <c r="M307" s="128" t="s">
        <v>13</v>
      </c>
      <c r="N307" s="6"/>
      <c r="O307" s="5">
        <v>1</v>
      </c>
      <c r="P307" s="27">
        <v>1</v>
      </c>
      <c r="Q307" s="26"/>
      <c r="R307" s="74"/>
      <c r="S307" s="55">
        <v>1</v>
      </c>
      <c r="T307" s="55"/>
      <c r="U307" s="55"/>
      <c r="V307" s="168">
        <f t="shared" si="13"/>
        <v>1</v>
      </c>
    </row>
    <row r="308" spans="1:22">
      <c r="A308" s="172"/>
      <c r="B308" s="171"/>
      <c r="C308" s="153"/>
      <c r="D308" s="127" t="s">
        <v>140</v>
      </c>
      <c r="E308" s="127" t="s">
        <v>142</v>
      </c>
      <c r="F308" s="127" t="s">
        <v>80</v>
      </c>
      <c r="G308" s="128"/>
      <c r="H308" s="127"/>
      <c r="I308" s="127">
        <v>1</v>
      </c>
      <c r="J308" s="129">
        <v>42545</v>
      </c>
      <c r="K308" s="54" t="str">
        <f t="shared" si="12"/>
        <v>3 an(s) 0 mois et 7 jour(s)</v>
      </c>
      <c r="L308" s="127" t="s">
        <v>144</v>
      </c>
      <c r="M308" s="128" t="s">
        <v>13</v>
      </c>
      <c r="N308" s="6"/>
      <c r="O308" s="5">
        <v>1</v>
      </c>
      <c r="P308" s="27">
        <v>1</v>
      </c>
      <c r="Q308" s="26"/>
      <c r="R308" s="74"/>
      <c r="S308" s="55">
        <v>1</v>
      </c>
      <c r="T308" s="55"/>
      <c r="U308" s="55"/>
      <c r="V308" s="168">
        <f t="shared" si="13"/>
        <v>1</v>
      </c>
    </row>
    <row r="309" spans="1:22">
      <c r="A309" s="172"/>
      <c r="B309" s="171"/>
      <c r="C309" s="153"/>
      <c r="D309" s="127" t="s">
        <v>160</v>
      </c>
      <c r="E309" s="127" t="s">
        <v>162</v>
      </c>
      <c r="F309" s="127" t="s">
        <v>163</v>
      </c>
      <c r="G309" s="128"/>
      <c r="H309" s="127">
        <v>1</v>
      </c>
      <c r="I309" s="127"/>
      <c r="J309" s="129">
        <v>33429</v>
      </c>
      <c r="K309" s="54" t="str">
        <f t="shared" si="12"/>
        <v>27 an(s) 11 mois et 21 jour(s)</v>
      </c>
      <c r="L309" s="127" t="s">
        <v>144</v>
      </c>
      <c r="M309" s="128" t="s">
        <v>13</v>
      </c>
      <c r="N309" s="6"/>
      <c r="O309" s="5">
        <v>1</v>
      </c>
      <c r="P309" s="27">
        <v>1</v>
      </c>
      <c r="Q309" s="26"/>
      <c r="R309" s="74"/>
      <c r="S309" s="55">
        <v>1</v>
      </c>
      <c r="T309" s="55"/>
      <c r="U309" s="55"/>
      <c r="V309" s="168">
        <f t="shared" si="13"/>
        <v>1</v>
      </c>
    </row>
    <row r="310" spans="1:22">
      <c r="A310" s="172"/>
      <c r="B310" s="171"/>
      <c r="C310" s="153"/>
      <c r="D310" s="127" t="s">
        <v>160</v>
      </c>
      <c r="E310" s="127" t="s">
        <v>141</v>
      </c>
      <c r="F310" s="127" t="s">
        <v>164</v>
      </c>
      <c r="G310" s="128"/>
      <c r="H310" s="127">
        <v>1</v>
      </c>
      <c r="I310" s="127"/>
      <c r="J310" s="129">
        <v>42908</v>
      </c>
      <c r="K310" s="54" t="str">
        <f t="shared" si="12"/>
        <v>2 an(s) 0 mois et 9 jour(s)</v>
      </c>
      <c r="L310" s="127" t="s">
        <v>144</v>
      </c>
      <c r="M310" s="128" t="s">
        <v>13</v>
      </c>
      <c r="N310" s="6"/>
      <c r="O310" s="5">
        <v>1</v>
      </c>
      <c r="P310" s="27">
        <v>1</v>
      </c>
      <c r="Q310" s="26"/>
      <c r="R310" s="74"/>
      <c r="S310" s="55">
        <v>1</v>
      </c>
      <c r="T310" s="55"/>
      <c r="U310" s="55"/>
      <c r="V310" s="168">
        <f t="shared" si="13"/>
        <v>1</v>
      </c>
    </row>
    <row r="311" spans="1:22">
      <c r="A311" s="172"/>
      <c r="B311" s="171"/>
      <c r="C311" s="153"/>
      <c r="D311" s="127" t="s">
        <v>161</v>
      </c>
      <c r="E311" s="127" t="s">
        <v>161</v>
      </c>
      <c r="F311" s="127" t="s">
        <v>165</v>
      </c>
      <c r="G311" s="128"/>
      <c r="H311" s="127">
        <v>1</v>
      </c>
      <c r="I311" s="127"/>
      <c r="J311" s="129">
        <v>32331</v>
      </c>
      <c r="K311" s="54" t="str">
        <f t="shared" si="12"/>
        <v>30 an(s) 11 mois et 24 jour(s)</v>
      </c>
      <c r="L311" s="127" t="s">
        <v>167</v>
      </c>
      <c r="M311" s="128" t="s">
        <v>168</v>
      </c>
      <c r="N311" s="6"/>
      <c r="O311" s="5">
        <v>1</v>
      </c>
      <c r="P311" s="27">
        <v>1</v>
      </c>
      <c r="Q311" s="26"/>
      <c r="R311" s="74"/>
      <c r="S311" s="55">
        <v>1</v>
      </c>
      <c r="T311" s="55"/>
      <c r="U311" s="55"/>
      <c r="V311" s="168">
        <f t="shared" si="13"/>
        <v>1</v>
      </c>
    </row>
    <row r="312" spans="1:22">
      <c r="A312" s="172"/>
      <c r="B312" s="171"/>
      <c r="C312" s="153"/>
      <c r="D312" s="127" t="s">
        <v>161</v>
      </c>
      <c r="E312" s="127" t="s">
        <v>161</v>
      </c>
      <c r="F312" s="127" t="s">
        <v>166</v>
      </c>
      <c r="G312" s="128"/>
      <c r="H312" s="127"/>
      <c r="I312" s="127">
        <v>1</v>
      </c>
      <c r="J312" s="129">
        <v>42869</v>
      </c>
      <c r="K312" s="54" t="str">
        <f t="shared" si="12"/>
        <v>2 an(s) 1 mois et 17 jour(s)</v>
      </c>
      <c r="L312" s="127" t="s">
        <v>167</v>
      </c>
      <c r="M312" s="128" t="s">
        <v>168</v>
      </c>
      <c r="N312" s="6"/>
      <c r="O312" s="5">
        <v>1</v>
      </c>
      <c r="P312" s="27">
        <v>1</v>
      </c>
      <c r="Q312" s="26"/>
      <c r="R312" s="74"/>
      <c r="S312" s="55">
        <v>1</v>
      </c>
      <c r="T312" s="55"/>
      <c r="U312" s="55"/>
      <c r="V312" s="168">
        <f t="shared" si="13"/>
        <v>1</v>
      </c>
    </row>
    <row r="313" spans="1:22">
      <c r="A313" s="7"/>
      <c r="B313" s="7"/>
      <c r="C313" s="117"/>
      <c r="D313" s="148" t="s">
        <v>210</v>
      </c>
      <c r="E313" s="148" t="s">
        <v>210</v>
      </c>
      <c r="F313" s="148" t="s">
        <v>211</v>
      </c>
      <c r="G313" s="149"/>
      <c r="H313" s="148">
        <v>1</v>
      </c>
      <c r="I313" s="148"/>
      <c r="J313" s="150">
        <v>26837</v>
      </c>
      <c r="K313" s="54" t="str">
        <f t="shared" si="12"/>
        <v>46 an(s) 0 mois et 9 jour(s)</v>
      </c>
      <c r="L313" s="148" t="s">
        <v>213</v>
      </c>
      <c r="M313" s="149" t="s">
        <v>13</v>
      </c>
      <c r="N313" s="6"/>
      <c r="O313" s="5">
        <v>1</v>
      </c>
      <c r="P313" s="27">
        <v>1</v>
      </c>
      <c r="Q313" s="26"/>
      <c r="R313" s="74"/>
      <c r="S313" s="55"/>
      <c r="T313" s="55">
        <v>1</v>
      </c>
      <c r="U313" s="55"/>
      <c r="V313" s="168">
        <f t="shared" si="13"/>
        <v>1</v>
      </c>
    </row>
    <row r="314" spans="1:22">
      <c r="A314" s="7"/>
      <c r="B314" s="7"/>
      <c r="C314" s="117"/>
      <c r="D314" s="148" t="s">
        <v>210</v>
      </c>
      <c r="E314" s="148" t="s">
        <v>210</v>
      </c>
      <c r="F314" s="148" t="s">
        <v>212</v>
      </c>
      <c r="G314" s="149"/>
      <c r="H314" s="148">
        <v>1</v>
      </c>
      <c r="I314" s="148"/>
      <c r="J314" s="150">
        <v>40856</v>
      </c>
      <c r="K314" s="54" t="str">
        <f t="shared" si="12"/>
        <v>7 an(s) 7 mois et 22 jour(s)</v>
      </c>
      <c r="L314" s="148" t="s">
        <v>213</v>
      </c>
      <c r="M314" s="149" t="s">
        <v>13</v>
      </c>
      <c r="N314" s="6"/>
      <c r="O314" s="5">
        <v>1</v>
      </c>
      <c r="P314" s="27">
        <v>1</v>
      </c>
      <c r="Q314" s="26"/>
      <c r="R314" s="74"/>
      <c r="S314" s="55"/>
      <c r="T314" s="55">
        <v>1</v>
      </c>
      <c r="U314" s="55"/>
      <c r="V314" s="168">
        <f t="shared" si="13"/>
        <v>1</v>
      </c>
    </row>
    <row r="315" spans="1:22">
      <c r="A315" s="7"/>
      <c r="B315" s="7"/>
      <c r="C315" s="111"/>
      <c r="D315" s="56" t="s">
        <v>236</v>
      </c>
      <c r="E315" s="56" t="s">
        <v>237</v>
      </c>
      <c r="F315" s="56" t="s">
        <v>238</v>
      </c>
      <c r="G315" s="57"/>
      <c r="H315" s="56">
        <v>1</v>
      </c>
      <c r="I315" s="56"/>
      <c r="J315" s="58">
        <v>34698</v>
      </c>
      <c r="K315" s="54" t="str">
        <f t="shared" si="12"/>
        <v>24 an(s) 6 mois et 1 jour(s)</v>
      </c>
      <c r="L315" s="56" t="s">
        <v>167</v>
      </c>
      <c r="M315" s="57" t="s">
        <v>168</v>
      </c>
      <c r="N315" s="6"/>
      <c r="O315" s="5">
        <v>1</v>
      </c>
      <c r="P315" s="27"/>
      <c r="Q315" s="26">
        <v>1</v>
      </c>
      <c r="R315" s="74"/>
      <c r="S315" s="55">
        <v>1</v>
      </c>
      <c r="T315" s="55"/>
      <c r="U315" s="55"/>
      <c r="V315" s="168">
        <f t="shared" si="13"/>
        <v>1</v>
      </c>
    </row>
    <row r="316" spans="1:22">
      <c r="A316" s="7"/>
      <c r="B316" s="7"/>
      <c r="C316" s="174"/>
      <c r="D316" s="56" t="s">
        <v>239</v>
      </c>
      <c r="E316" s="56" t="s">
        <v>239</v>
      </c>
      <c r="F316" s="56" t="s">
        <v>223</v>
      </c>
      <c r="G316" s="57"/>
      <c r="H316" s="56">
        <v>1</v>
      </c>
      <c r="I316" s="56"/>
      <c r="J316" s="58">
        <v>23218</v>
      </c>
      <c r="K316" s="54" t="str">
        <f t="shared" si="12"/>
        <v>55 an(s) 11 mois et 5 jour(s)</v>
      </c>
      <c r="L316" s="56" t="s">
        <v>224</v>
      </c>
      <c r="M316" s="57" t="s">
        <v>225</v>
      </c>
      <c r="N316" s="6"/>
      <c r="O316" s="5">
        <v>1</v>
      </c>
      <c r="P316" s="27">
        <v>1</v>
      </c>
      <c r="Q316" s="26"/>
      <c r="R316" s="74"/>
      <c r="S316" s="55">
        <v>1</v>
      </c>
      <c r="T316" s="55"/>
      <c r="U316" s="55"/>
      <c r="V316" s="168">
        <f t="shared" si="13"/>
        <v>1</v>
      </c>
    </row>
    <row r="317" spans="1:22">
      <c r="A317" s="7"/>
      <c r="B317" s="7"/>
      <c r="C317" s="174"/>
      <c r="D317" s="56" t="s">
        <v>226</v>
      </c>
      <c r="E317" s="56" t="s">
        <v>227</v>
      </c>
      <c r="F317" s="56" t="s">
        <v>229</v>
      </c>
      <c r="G317" s="57"/>
      <c r="H317" s="56">
        <v>1</v>
      </c>
      <c r="I317" s="56"/>
      <c r="J317" s="58">
        <v>34181</v>
      </c>
      <c r="K317" s="54" t="str">
        <f t="shared" si="12"/>
        <v>25 an(s) 11 mois et 0 jour(s)</v>
      </c>
      <c r="L317" s="56" t="s">
        <v>234</v>
      </c>
      <c r="M317" s="57" t="s">
        <v>168</v>
      </c>
      <c r="N317" s="6"/>
      <c r="O317" s="5">
        <v>1</v>
      </c>
      <c r="P317" s="27">
        <v>1</v>
      </c>
      <c r="Q317" s="26"/>
      <c r="R317" s="74"/>
      <c r="S317" s="55">
        <v>1</v>
      </c>
      <c r="T317" s="55"/>
      <c r="U317" s="55"/>
      <c r="V317" s="168">
        <f t="shared" si="13"/>
        <v>1</v>
      </c>
    </row>
    <row r="318" spans="1:22">
      <c r="A318" s="7"/>
      <c r="B318" s="7"/>
      <c r="C318" s="174"/>
      <c r="D318" s="56" t="s">
        <v>226</v>
      </c>
      <c r="E318" s="56" t="s">
        <v>228</v>
      </c>
      <c r="F318" s="56" t="s">
        <v>230</v>
      </c>
      <c r="G318" s="57"/>
      <c r="H318" s="56"/>
      <c r="I318" s="56">
        <v>1</v>
      </c>
      <c r="J318" s="58">
        <v>41883</v>
      </c>
      <c r="K318" s="54" t="str">
        <f t="shared" si="12"/>
        <v>4 an(s) 10 mois et 0 jour(s)</v>
      </c>
      <c r="L318" s="56" t="s">
        <v>234</v>
      </c>
      <c r="M318" s="57" t="s">
        <v>168</v>
      </c>
      <c r="N318" s="6"/>
      <c r="O318" s="5">
        <v>1</v>
      </c>
      <c r="P318" s="27">
        <v>1</v>
      </c>
      <c r="Q318" s="26"/>
      <c r="R318" s="74"/>
      <c r="S318" s="55">
        <v>1</v>
      </c>
      <c r="T318" s="55"/>
      <c r="U318" s="55"/>
      <c r="V318" s="168">
        <f t="shared" si="13"/>
        <v>1</v>
      </c>
    </row>
    <row r="319" spans="1:22">
      <c r="A319" s="7"/>
      <c r="B319" s="7"/>
      <c r="C319" s="174"/>
      <c r="D319" s="56" t="s">
        <v>231</v>
      </c>
      <c r="E319" s="56" t="s">
        <v>227</v>
      </c>
      <c r="F319" s="56" t="s">
        <v>232</v>
      </c>
      <c r="G319" s="57"/>
      <c r="H319" s="56">
        <v>1</v>
      </c>
      <c r="I319" s="56"/>
      <c r="J319" s="58">
        <v>31842</v>
      </c>
      <c r="K319" s="54" t="str">
        <f t="shared" si="12"/>
        <v>32 an(s) 3 mois et 25 jour(s)</v>
      </c>
      <c r="L319" s="56" t="s">
        <v>235</v>
      </c>
      <c r="M319" s="57" t="s">
        <v>168</v>
      </c>
      <c r="N319" s="6"/>
      <c r="O319" s="5">
        <v>1</v>
      </c>
      <c r="P319" s="27">
        <v>1</v>
      </c>
      <c r="Q319" s="26"/>
      <c r="R319" s="74"/>
      <c r="S319" s="55">
        <v>1</v>
      </c>
      <c r="T319" s="55"/>
      <c r="U319" s="55"/>
      <c r="V319" s="168">
        <f t="shared" si="13"/>
        <v>1</v>
      </c>
    </row>
    <row r="320" spans="1:22">
      <c r="A320" s="7"/>
      <c r="B320" s="7"/>
      <c r="C320" s="174"/>
      <c r="D320" s="56" t="s">
        <v>231</v>
      </c>
      <c r="E320" s="56" t="s">
        <v>233</v>
      </c>
      <c r="F320" s="58" t="s">
        <v>233</v>
      </c>
      <c r="G320" s="57"/>
      <c r="H320" s="56">
        <v>1</v>
      </c>
      <c r="I320" s="56"/>
      <c r="J320" s="58">
        <v>42105</v>
      </c>
      <c r="K320" s="54" t="str">
        <f t="shared" si="12"/>
        <v>4 an(s) 2 mois et 20 jour(s)</v>
      </c>
      <c r="L320" s="56" t="s">
        <v>235</v>
      </c>
      <c r="M320" s="57" t="s">
        <v>168</v>
      </c>
      <c r="N320" s="6"/>
      <c r="O320" s="5">
        <v>1</v>
      </c>
      <c r="P320" s="27">
        <v>1</v>
      </c>
      <c r="Q320" s="26"/>
      <c r="R320" s="74"/>
      <c r="S320" s="55">
        <v>1</v>
      </c>
      <c r="T320" s="55"/>
      <c r="U320" s="55"/>
      <c r="V320" s="168">
        <f t="shared" si="13"/>
        <v>1</v>
      </c>
    </row>
    <row r="321" spans="1:22">
      <c r="A321" s="7"/>
      <c r="B321" s="7"/>
      <c r="C321" s="153"/>
      <c r="D321" s="155" t="s">
        <v>256</v>
      </c>
      <c r="E321" s="155" t="s">
        <v>246</v>
      </c>
      <c r="F321" s="155" t="s">
        <v>211</v>
      </c>
      <c r="G321" s="156">
        <v>1</v>
      </c>
      <c r="H321" s="155">
        <v>1</v>
      </c>
      <c r="I321" s="155"/>
      <c r="J321" s="157">
        <v>29128</v>
      </c>
      <c r="K321" s="54" t="str">
        <f t="shared" si="12"/>
        <v>39 an(s) 9 mois et 1 jour(s)</v>
      </c>
      <c r="L321" s="155" t="s">
        <v>247</v>
      </c>
      <c r="M321" s="156" t="s">
        <v>224</v>
      </c>
      <c r="N321" s="6">
        <v>1</v>
      </c>
      <c r="O321" s="5"/>
      <c r="P321" s="27">
        <v>1</v>
      </c>
      <c r="Q321" s="26"/>
      <c r="R321" s="74"/>
      <c r="S321" s="55"/>
      <c r="T321" s="55"/>
      <c r="U321" s="55"/>
      <c r="V321" s="168">
        <f t="shared" si="13"/>
        <v>1</v>
      </c>
    </row>
    <row r="322" spans="1:22">
      <c r="A322" s="7"/>
      <c r="B322" s="7"/>
      <c r="C322" s="153"/>
      <c r="D322" s="155" t="s">
        <v>256</v>
      </c>
      <c r="E322" s="155" t="s">
        <v>257</v>
      </c>
      <c r="F322" s="155" t="s">
        <v>258</v>
      </c>
      <c r="G322" s="156">
        <v>1</v>
      </c>
      <c r="H322" s="155">
        <v>1</v>
      </c>
      <c r="I322" s="155"/>
      <c r="J322" s="157">
        <v>42816</v>
      </c>
      <c r="K322" s="54" t="str">
        <f t="shared" si="12"/>
        <v>2 an(s) 3 mois et 9 jour(s)</v>
      </c>
      <c r="L322" s="155" t="s">
        <v>247</v>
      </c>
      <c r="M322" s="156" t="s">
        <v>224</v>
      </c>
      <c r="N322" s="6">
        <v>1</v>
      </c>
      <c r="O322" s="5"/>
      <c r="P322" s="27">
        <v>1</v>
      </c>
      <c r="Q322" s="26"/>
      <c r="R322" s="74"/>
      <c r="S322" s="55"/>
      <c r="T322" s="55"/>
      <c r="U322" s="55"/>
      <c r="V322" s="168">
        <f t="shared" si="13"/>
        <v>1</v>
      </c>
    </row>
    <row r="323" spans="1:22">
      <c r="A323" s="7"/>
      <c r="B323" s="7"/>
      <c r="C323" s="121"/>
      <c r="D323" s="158" t="s">
        <v>251</v>
      </c>
      <c r="E323" s="158" t="s">
        <v>252</v>
      </c>
      <c r="F323" s="158" t="s">
        <v>253</v>
      </c>
      <c r="G323" s="159"/>
      <c r="H323" s="158">
        <v>1</v>
      </c>
      <c r="I323" s="158"/>
      <c r="J323" s="160">
        <v>41202</v>
      </c>
      <c r="K323" s="54" t="str">
        <f t="shared" si="12"/>
        <v>6 an(s) 8 mois et 11 jour(s)</v>
      </c>
      <c r="L323" s="158" t="s">
        <v>254</v>
      </c>
      <c r="M323" s="159" t="s">
        <v>255</v>
      </c>
      <c r="N323" s="6"/>
      <c r="O323" s="5">
        <v>1</v>
      </c>
      <c r="P323" s="27">
        <v>1</v>
      </c>
      <c r="Q323" s="26"/>
      <c r="R323" s="74"/>
      <c r="S323" s="55"/>
      <c r="T323" s="55"/>
      <c r="U323" s="55">
        <v>1</v>
      </c>
      <c r="V323" s="168">
        <f t="shared" si="13"/>
        <v>1</v>
      </c>
    </row>
    <row r="324" spans="1:22">
      <c r="A324" s="7"/>
      <c r="B324" s="7"/>
      <c r="C324" s="174"/>
      <c r="D324" s="52" t="s">
        <v>268</v>
      </c>
      <c r="E324" s="52" t="s">
        <v>269</v>
      </c>
      <c r="F324" s="52" t="s">
        <v>270</v>
      </c>
      <c r="G324" s="53"/>
      <c r="H324" s="52">
        <v>1</v>
      </c>
      <c r="I324" s="52"/>
      <c r="J324" s="54">
        <v>43466</v>
      </c>
      <c r="K324" s="54" t="str">
        <f t="shared" ref="K324:K387" si="14">DATEDIF(J324,Date_de_reference,"y") &amp; " an(s) " &amp; DATEDIF(J324,Date_de_reference,"ym") &amp; " mois et " &amp; DATEDIF(J324,Date_de_reference,"md") &amp; " jour(s)"</f>
        <v>0 an(s) 6 mois et 0 jour(s)</v>
      </c>
      <c r="L324" s="52" t="s">
        <v>167</v>
      </c>
      <c r="M324" s="53" t="s">
        <v>168</v>
      </c>
      <c r="N324" s="6">
        <v>1</v>
      </c>
      <c r="O324" s="5"/>
      <c r="P324" s="27">
        <v>1</v>
      </c>
      <c r="Q324" s="26"/>
      <c r="R324" s="74"/>
      <c r="S324" s="55"/>
      <c r="T324" s="55"/>
      <c r="U324" s="55"/>
      <c r="V324" s="168">
        <f t="shared" si="13"/>
        <v>1</v>
      </c>
    </row>
    <row r="325" spans="1:22">
      <c r="A325" s="7"/>
      <c r="B325" s="7"/>
      <c r="C325" s="174"/>
      <c r="D325" s="56" t="s">
        <v>283</v>
      </c>
      <c r="E325" s="56" t="s">
        <v>284</v>
      </c>
      <c r="F325" s="56" t="s">
        <v>286</v>
      </c>
      <c r="G325" s="57"/>
      <c r="H325" s="56">
        <v>1</v>
      </c>
      <c r="I325" s="56"/>
      <c r="J325" s="58">
        <v>26387</v>
      </c>
      <c r="K325" s="54" t="str">
        <f t="shared" si="14"/>
        <v>47 an(s) 3 mois et 2 jour(s)</v>
      </c>
      <c r="L325" s="56" t="s">
        <v>288</v>
      </c>
      <c r="M325" s="57" t="s">
        <v>289</v>
      </c>
      <c r="N325" s="6"/>
      <c r="O325" s="5">
        <v>1</v>
      </c>
      <c r="P325" s="27">
        <v>1</v>
      </c>
      <c r="Q325" s="26"/>
      <c r="R325" s="74"/>
      <c r="S325" s="55">
        <v>1</v>
      </c>
      <c r="T325" s="55"/>
      <c r="U325" s="55"/>
      <c r="V325" s="168">
        <f t="shared" si="13"/>
        <v>1</v>
      </c>
    </row>
    <row r="326" spans="1:22" ht="15.75" thickBot="1">
      <c r="A326" s="7"/>
      <c r="B326" s="7"/>
      <c r="C326" s="174"/>
      <c r="D326" s="56" t="s">
        <v>283</v>
      </c>
      <c r="E326" s="56" t="s">
        <v>285</v>
      </c>
      <c r="F326" s="56" t="s">
        <v>287</v>
      </c>
      <c r="G326" s="57"/>
      <c r="H326" s="56"/>
      <c r="I326" s="56">
        <v>1</v>
      </c>
      <c r="J326" s="58">
        <v>40004</v>
      </c>
      <c r="K326" s="54" t="str">
        <f t="shared" si="14"/>
        <v>9 an(s) 11 mois et 21 jour(s)</v>
      </c>
      <c r="L326" s="56" t="s">
        <v>288</v>
      </c>
      <c r="M326" s="57" t="s">
        <v>289</v>
      </c>
      <c r="N326" s="6"/>
      <c r="O326" s="5">
        <v>1</v>
      </c>
      <c r="P326" s="27">
        <v>1</v>
      </c>
      <c r="Q326" s="26"/>
      <c r="R326" s="74"/>
      <c r="S326" s="55">
        <v>1</v>
      </c>
      <c r="T326" s="55"/>
      <c r="U326" s="55"/>
      <c r="V326" s="168">
        <f t="shared" si="13"/>
        <v>1</v>
      </c>
    </row>
    <row r="327" spans="1:22" ht="19.5" thickBot="1">
      <c r="C327" s="100"/>
      <c r="D327" s="4"/>
      <c r="E327" s="4"/>
      <c r="F327" s="4"/>
      <c r="G327" s="21"/>
      <c r="H327" s="21">
        <f>SUM(H4:H326)</f>
        <v>174</v>
      </c>
      <c r="I327" s="21">
        <f>SUM(I4:I326)</f>
        <v>149</v>
      </c>
      <c r="J327" s="21"/>
      <c r="K327" s="21"/>
      <c r="L327" s="21"/>
      <c r="M327" s="21"/>
      <c r="N327" s="21">
        <f t="shared" ref="N327:U327" si="15">SUM(N4:N326)</f>
        <v>174</v>
      </c>
      <c r="O327" s="21">
        <f t="shared" si="15"/>
        <v>150</v>
      </c>
      <c r="P327" s="21">
        <f t="shared" si="15"/>
        <v>168</v>
      </c>
      <c r="Q327" s="21">
        <f t="shared" si="15"/>
        <v>30</v>
      </c>
      <c r="R327" s="21">
        <f t="shared" si="15"/>
        <v>126</v>
      </c>
      <c r="S327" s="21">
        <f t="shared" si="15"/>
        <v>14</v>
      </c>
      <c r="T327" s="21">
        <f t="shared" si="15"/>
        <v>2</v>
      </c>
      <c r="U327" s="21">
        <f t="shared" si="15"/>
        <v>13</v>
      </c>
    </row>
    <row r="328" spans="1:22" ht="27" thickBot="1">
      <c r="D328">
        <f>COUNTA(nom_famille)</f>
        <v>220</v>
      </c>
      <c r="H328" s="201">
        <f>H327+I327</f>
        <v>323</v>
      </c>
      <c r="I328" s="201"/>
      <c r="N328" s="226">
        <f>N327+O327</f>
        <v>324</v>
      </c>
      <c r="O328" s="227"/>
      <c r="P328" s="234">
        <f>P327+Q327+R327</f>
        <v>324</v>
      </c>
      <c r="Q328" s="235"/>
      <c r="R328" s="236"/>
      <c r="T328" s="44"/>
    </row>
    <row r="329" spans="1:22">
      <c r="D329">
        <f>SUMPRODUCT((1/COUNTIF(D107:D326,D107:D326))*1)</f>
        <v>48.000000000000114</v>
      </c>
      <c r="E329" s="50" t="s">
        <v>57</v>
      </c>
      <c r="H329" s="35">
        <f>nb_feminin/(I327+H327)</f>
        <v>0.53869969040247678</v>
      </c>
      <c r="I329" s="35">
        <f>nb_masculin/(H327+I327)</f>
        <v>0.46130030959752322</v>
      </c>
      <c r="N329" s="35" t="e">
        <f>presences_matin/presences_MERCREDIS</f>
        <v>#NAME?</v>
      </c>
      <c r="O329" s="35">
        <f>presences_AM/(presences_matin+presences_AM)</f>
        <v>0.46296296296296297</v>
      </c>
      <c r="P329" s="7"/>
      <c r="Q329" s="7"/>
      <c r="R329" s="7"/>
    </row>
    <row r="330" spans="1:22">
      <c r="D330" s="17" t="s">
        <v>66</v>
      </c>
      <c r="E330" s="17"/>
      <c r="F330" s="17"/>
      <c r="G330" s="17"/>
      <c r="H330" s="17"/>
      <c r="I330" s="17"/>
      <c r="J330" s="17"/>
      <c r="K330" s="17"/>
      <c r="L330" s="210" t="s">
        <v>11</v>
      </c>
      <c r="M330" s="232"/>
      <c r="N330" s="170">
        <f>SUMIF(ASSMAT,"1",matin)</f>
        <v>106</v>
      </c>
      <c r="O330" s="170">
        <f>SUMIF(ASSMAT,"1",Apres_midi)</f>
        <v>5</v>
      </c>
      <c r="P330" s="170">
        <f ca="1">SUMIF(ASSMAT,1,JeuSurPlace)</f>
        <v>58</v>
      </c>
      <c r="Q330" s="170">
        <f ca="1">SUMIF(ASSMAT,"&gt;0",Emprunt)</f>
        <v>14</v>
      </c>
      <c r="R330" s="170">
        <f ca="1">SUMIF(ASSMAT,"&gt;0",JeuSurPlace_Et_Emprunt)</f>
        <v>38</v>
      </c>
    </row>
    <row r="331" spans="1:22">
      <c r="D331" s="17" t="s">
        <v>67</v>
      </c>
      <c r="E331" s="17"/>
      <c r="F331" s="17"/>
      <c r="G331" s="17"/>
      <c r="H331" s="17"/>
      <c r="I331" s="17"/>
      <c r="J331" s="17"/>
      <c r="K331" s="17"/>
      <c r="L331" s="210" t="s">
        <v>54</v>
      </c>
      <c r="M331" s="232"/>
      <c r="N331" s="170">
        <f>SUMIF(ASSMAT,"0",matin)</f>
        <v>67</v>
      </c>
      <c r="O331" s="170">
        <f>SUMIF(ASSMAT,"0",Apres_midi)</f>
        <v>128</v>
      </c>
      <c r="P331" s="170">
        <f ca="1">SUMIF(ASSMAT,0,JeuSurPlace)</f>
        <v>57</v>
      </c>
      <c r="Q331" s="170">
        <f ca="1">SUMIF(ASSMAT,"0",Emprunt)</f>
        <v>18</v>
      </c>
      <c r="R331" s="170">
        <f ca="1">SUMIF(ASSMAT,"0",JeuSurPlace_Et_Emprunt)</f>
        <v>187</v>
      </c>
    </row>
    <row r="332" spans="1:22">
      <c r="D332" s="17"/>
      <c r="E332" s="17"/>
      <c r="F332" s="17"/>
      <c r="G332" s="17"/>
      <c r="H332" s="17"/>
      <c r="I332" s="17"/>
      <c r="J332" s="17"/>
      <c r="K332" s="17"/>
      <c r="L332" s="17"/>
      <c r="N332" s="167">
        <f>N330+N331</f>
        <v>173</v>
      </c>
      <c r="O332" s="167">
        <f>O330+O331</f>
        <v>133</v>
      </c>
      <c r="P332" s="167">
        <f ca="1">P330+P331</f>
        <v>103</v>
      </c>
      <c r="Q332" s="167">
        <f ca="1">Q330+Q331</f>
        <v>18</v>
      </c>
      <c r="R332" s="167"/>
    </row>
    <row r="334" spans="1:22">
      <c r="L334" s="215" t="s">
        <v>55</v>
      </c>
      <c r="M334" s="233"/>
      <c r="N334" s="6">
        <f>MIN(matin)</f>
        <v>1</v>
      </c>
      <c r="O334" s="5">
        <f>MIN(Apres_midi)</f>
        <v>1</v>
      </c>
      <c r="P334" s="48">
        <f>MIN(JeuSurPlace)</f>
        <v>1</v>
      </c>
      <c r="Q334" s="49">
        <f>MIN(Emprunt)</f>
        <v>1</v>
      </c>
      <c r="R334" s="49">
        <f>MIN(JeuSurPlace_Et_Emprunt)</f>
        <v>1</v>
      </c>
    </row>
    <row r="335" spans="1:22">
      <c r="L335" s="215" t="s">
        <v>56</v>
      </c>
      <c r="M335" s="233"/>
      <c r="N335" s="6">
        <f>MAX(matin)</f>
        <v>1</v>
      </c>
      <c r="O335" s="5">
        <f>MAX(Apres_midi)</f>
        <v>1</v>
      </c>
      <c r="P335" s="48">
        <f>MAX(JeuSurPlace)</f>
        <v>2</v>
      </c>
      <c r="Q335" s="49">
        <f>MAX(Emprunt)</f>
        <v>1</v>
      </c>
      <c r="R335" s="49">
        <f>MAX(JeuSurPlace_Et_Emprunt)</f>
        <v>1</v>
      </c>
    </row>
  </sheetData>
  <sortState ref="A4:V326">
    <sortCondition ref="C4:C326"/>
  </sortState>
  <mergeCells count="22">
    <mergeCell ref="L330:M330"/>
    <mergeCell ref="L331:M331"/>
    <mergeCell ref="L334:M334"/>
    <mergeCell ref="L335:M335"/>
    <mergeCell ref="P328:R328"/>
    <mergeCell ref="H328:I328"/>
    <mergeCell ref="N328:O328"/>
    <mergeCell ref="X10:Z10"/>
    <mergeCell ref="X18:Z18"/>
    <mergeCell ref="X19:Z19"/>
    <mergeCell ref="X15:Z15"/>
    <mergeCell ref="X16:Z16"/>
    <mergeCell ref="X17:Z17"/>
    <mergeCell ref="Y30:Z30"/>
    <mergeCell ref="D1:Q1"/>
    <mergeCell ref="H2:I2"/>
    <mergeCell ref="X4:AE4"/>
    <mergeCell ref="X6:Z6"/>
    <mergeCell ref="AD22:AE22"/>
    <mergeCell ref="X7:Z7"/>
    <mergeCell ref="X8:Z8"/>
    <mergeCell ref="X9:Z9"/>
  </mergeCells>
  <conditionalFormatting sqref="B107">
    <cfRule type="expression" dxfId="21" priority="506">
      <formula>MOD(ROW(),2)</formula>
    </cfRule>
    <cfRule type="expression" dxfId="20" priority="507">
      <formula>NOT(MOD(ROW(),2))</formula>
    </cfRule>
  </conditionalFormatting>
  <conditionalFormatting sqref="AH7">
    <cfRule type="cellIs" dxfId="19" priority="499" operator="notEqual">
      <formula>presences_matin</formula>
    </cfRule>
    <cfRule type="cellIs" dxfId="18" priority="500" operator="equal">
      <formula>presences_matin</formula>
    </cfRule>
  </conditionalFormatting>
  <conditionalFormatting sqref="AH8">
    <cfRule type="cellIs" dxfId="17" priority="497" operator="notEqual">
      <formula>presences_AM</formula>
    </cfRule>
    <cfRule type="cellIs" dxfId="16" priority="498" operator="equal">
      <formula>presences_AM</formula>
    </cfRule>
  </conditionalFormatting>
  <conditionalFormatting sqref="AH10 AF24">
    <cfRule type="cellIs" dxfId="15" priority="335" operator="notEqual">
      <formula>nb_familles</formula>
    </cfRule>
    <cfRule type="cellIs" dxfId="14" priority="336" operator="equal">
      <formula>nb_familles</formula>
    </cfRule>
  </conditionalFormatting>
  <conditionalFormatting sqref="AH9">
    <cfRule type="cellIs" dxfId="13" priority="495" operator="notEqual">
      <formula>presences_samedis</formula>
    </cfRule>
    <cfRule type="cellIs" dxfId="12" priority="496" operator="equal">
      <formula>presences_samedis</formula>
    </cfRule>
  </conditionalFormatting>
  <conditionalFormatting sqref="AH6">
    <cfRule type="cellIs" dxfId="11" priority="11" operator="notEqual">
      <formula>Inscrits_samedis</formula>
    </cfRule>
    <cfRule type="cellIs" dxfId="10" priority="12" operator="equal">
      <formula>Inscrits_samedis</formula>
    </cfRule>
  </conditionalFormatting>
  <conditionalFormatting sqref="V4:V326">
    <cfRule type="expression" dxfId="9" priority="7">
      <formula>IF($V4=($P4+$Q4+$R4),"FAUX","VRAI")</formula>
    </cfRule>
    <cfRule type="expression" dxfId="8" priority="8">
      <formula>IF($V4&lt;&gt;($P4+$Q4+$R4),"FAUX","VRAI")</formula>
    </cfRule>
  </conditionalFormatting>
  <conditionalFormatting sqref="AA29">
    <cfRule type="cellIs" dxfId="7" priority="3" operator="notEqual">
      <formula>Inscrits_samedi</formula>
    </cfRule>
    <cfRule type="cellIs" dxfId="6" priority="4" operator="equal">
      <formula>Inscrits_samedis</formula>
    </cfRule>
  </conditionalFormatting>
  <conditionalFormatting sqref="Y30:Z30">
    <cfRule type="cellIs" dxfId="5" priority="1" operator="notEqual">
      <formula>$AA$29</formula>
    </cfRule>
    <cfRule type="cellIs" dxfId="4" priority="2" operator="equal">
      <formula>$AA$29</formula>
    </cfRule>
  </conditionalFormatting>
  <conditionalFormatting sqref="V317:V320">
    <cfRule type="expression" dxfId="3" priority="532">
      <formula>IF($V317=(#REF!+#REF!+#REF!),"FAUX","VRAI")</formula>
    </cfRule>
    <cfRule type="expression" dxfId="2" priority="533">
      <formula>IF($V317&lt;&gt;(#REF!+#REF!+#REF!),"FAUX","VRAI")</formula>
    </cfRule>
  </conditionalFormatting>
  <conditionalFormatting sqref="V313:V316">
    <cfRule type="expression" dxfId="1" priority="554">
      <formula>IF($V313=(#REF!+#REF!+#REF!),"FAUX","VRAI")</formula>
    </cfRule>
    <cfRule type="expression" dxfId="0" priority="555">
      <formula>IF($V313&lt;&gt;(#REF!+#REF!+#REF!),"FAUX","VRAI")</formula>
    </cfRule>
  </conditionalFormatting>
  <dataValidations count="2">
    <dataValidation type="list" showInputMessage="1" showErrorMessage="1" errorTitle="ERREUR" error="Choisir une valeur de la liste !" sqref="B107:B320">
      <formula1>"Champagne,Chateauneuf,Cognac,Jarnac,Hors_CDA,Hors_Charente"</formula1>
    </dataValidation>
    <dataValidation type="list" allowBlank="1" showInputMessage="1" showErrorMessage="1" sqref="A107:A320">
      <formula1>"OUI,NON"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109</vt:i4>
      </vt:variant>
    </vt:vector>
  </HeadingPairs>
  <TitlesOfParts>
    <vt:vector size="125" baseType="lpstr">
      <vt:lpstr>09 janvier 2019</vt:lpstr>
      <vt:lpstr>16 janvier 2019</vt:lpstr>
      <vt:lpstr>23 janvier 2019</vt:lpstr>
      <vt:lpstr>30 janvier 2019</vt:lpstr>
      <vt:lpstr>06 fevrier 2019</vt:lpstr>
      <vt:lpstr>13 fevrier 2019</vt:lpstr>
      <vt:lpstr>06 mars 2019</vt:lpstr>
      <vt:lpstr>13 mars 2019</vt:lpstr>
      <vt:lpstr>20 mars 2019</vt:lpstr>
      <vt:lpstr>27 mars 2019</vt:lpstr>
      <vt:lpstr>03 avril 2019</vt:lpstr>
      <vt:lpstr>10 avril 2019</vt:lpstr>
      <vt:lpstr>15 mai 2019</vt:lpstr>
      <vt:lpstr>22 mai 2019</vt:lpstr>
      <vt:lpstr>LISTE MERCREDIS 2019</vt:lpstr>
      <vt:lpstr>Feuil1</vt:lpstr>
      <vt:lpstr>'LISTE MERCREDIS 2019'!adherent</vt:lpstr>
      <vt:lpstr>Apres_midi</vt:lpstr>
      <vt:lpstr>ASSMAT</vt:lpstr>
      <vt:lpstr>'03 avril 2019'!Date_de_reference</vt:lpstr>
      <vt:lpstr>'06 fevrier 2019'!Date_de_reference</vt:lpstr>
      <vt:lpstr>'06 mars 2019'!Date_de_reference</vt:lpstr>
      <vt:lpstr>'09 janvier 2019'!Date_de_reference</vt:lpstr>
      <vt:lpstr>'10 avril 2019'!Date_de_reference</vt:lpstr>
      <vt:lpstr>'13 fevrier 2019'!Date_de_reference</vt:lpstr>
      <vt:lpstr>'13 mars 2019'!Date_de_reference</vt:lpstr>
      <vt:lpstr>'15 mai 2019'!Date_de_reference</vt:lpstr>
      <vt:lpstr>'16 janvier 2019'!Date_de_reference</vt:lpstr>
      <vt:lpstr>'20 mars 2019'!Date_de_reference</vt:lpstr>
      <vt:lpstr>'22 mai 2019'!Date_de_reference</vt:lpstr>
      <vt:lpstr>'23 janvier 2019'!Date_de_reference</vt:lpstr>
      <vt:lpstr>'27 mars 2019'!Date_de_reference</vt:lpstr>
      <vt:lpstr>'30 janvier 2019'!Date_de_reference</vt:lpstr>
      <vt:lpstr>'LISTE MERCREDIS 2019'!Date_de_reference</vt:lpstr>
      <vt:lpstr>'03 avril 2019'!Date_du_jour</vt:lpstr>
      <vt:lpstr>'06 fevrier 2019'!Date_du_jour</vt:lpstr>
      <vt:lpstr>'06 mars 2019'!Date_du_jour</vt:lpstr>
      <vt:lpstr>'09 janvier 2019'!Date_du_jour</vt:lpstr>
      <vt:lpstr>'10 avril 2019'!Date_du_jour</vt:lpstr>
      <vt:lpstr>'13 fevrier 2019'!Date_du_jour</vt:lpstr>
      <vt:lpstr>'13 mars 2019'!Date_du_jour</vt:lpstr>
      <vt:lpstr>'15 mai 2019'!Date_du_jour</vt:lpstr>
      <vt:lpstr>'16 janvier 2019'!Date_du_jour</vt:lpstr>
      <vt:lpstr>'20 mars 2019'!Date_du_jour</vt:lpstr>
      <vt:lpstr>'22 mai 2019'!Date_du_jour</vt:lpstr>
      <vt:lpstr>'23 janvier 2019'!Date_du_jour</vt:lpstr>
      <vt:lpstr>'27 mars 2019'!Date_du_jour</vt:lpstr>
      <vt:lpstr>'30 janvier 2019'!Date_du_jour</vt:lpstr>
      <vt:lpstr>'LISTE MERCREDIS 2019'!Date_du_jour</vt:lpstr>
      <vt:lpstr>'LISTE MERCREDIS 2019'!DATE_NAISSANCE</vt:lpstr>
      <vt:lpstr>Emprunt</vt:lpstr>
      <vt:lpstr>'LISTE MERCREDIS 2019'!Feminin</vt:lpstr>
      <vt:lpstr>'03 avril 2019'!Inscrits_samedis</vt:lpstr>
      <vt:lpstr>'06 fevrier 2019'!Inscrits_samedis</vt:lpstr>
      <vt:lpstr>'06 mars 2019'!Inscrits_samedis</vt:lpstr>
      <vt:lpstr>'09 janvier 2019'!Inscrits_samedis</vt:lpstr>
      <vt:lpstr>'10 avril 2019'!Inscrits_samedis</vt:lpstr>
      <vt:lpstr>'13 fevrier 2019'!Inscrits_samedis</vt:lpstr>
      <vt:lpstr>'13 mars 2019'!Inscrits_samedis</vt:lpstr>
      <vt:lpstr>'15 mai 2019'!Inscrits_samedis</vt:lpstr>
      <vt:lpstr>'16 janvier 2019'!Inscrits_samedis</vt:lpstr>
      <vt:lpstr>'20 mars 2019'!Inscrits_samedis</vt:lpstr>
      <vt:lpstr>'22 mai 2019'!Inscrits_samedis</vt:lpstr>
      <vt:lpstr>'23 janvier 2019'!Inscrits_samedis</vt:lpstr>
      <vt:lpstr>'27 mars 2019'!Inscrits_samedis</vt:lpstr>
      <vt:lpstr>'30 janvier 2019'!Inscrits_samedis</vt:lpstr>
      <vt:lpstr>'LISTE MERCREDIS 2019'!Inscrits_samedis</vt:lpstr>
      <vt:lpstr>JeuSurPlace</vt:lpstr>
      <vt:lpstr>JeuSurPlace_Et_Emprunt</vt:lpstr>
      <vt:lpstr>'LISTE MERCREDIS 2019'!masculin</vt:lpstr>
      <vt:lpstr>matin</vt:lpstr>
      <vt:lpstr>'LISTE MERCREDIS 2019'!nb_familles</vt:lpstr>
      <vt:lpstr>'03 avril 2019'!nb_feminin</vt:lpstr>
      <vt:lpstr>'06 fevrier 2019'!nb_feminin</vt:lpstr>
      <vt:lpstr>'06 mars 2019'!nb_feminin</vt:lpstr>
      <vt:lpstr>'09 janvier 2019'!nb_feminin</vt:lpstr>
      <vt:lpstr>'10 avril 2019'!nb_feminin</vt:lpstr>
      <vt:lpstr>'13 fevrier 2019'!nb_feminin</vt:lpstr>
      <vt:lpstr>'13 mars 2019'!nb_feminin</vt:lpstr>
      <vt:lpstr>'15 mai 2019'!nb_feminin</vt:lpstr>
      <vt:lpstr>'16 janvier 2019'!nb_feminin</vt:lpstr>
      <vt:lpstr>'20 mars 2019'!nb_feminin</vt:lpstr>
      <vt:lpstr>'22 mai 2019'!nb_feminin</vt:lpstr>
      <vt:lpstr>'23 janvier 2019'!nb_feminin</vt:lpstr>
      <vt:lpstr>'27 mars 2019'!nb_feminin</vt:lpstr>
      <vt:lpstr>'30 janvier 2019'!nb_feminin</vt:lpstr>
      <vt:lpstr>'LISTE MERCREDIS 2019'!nb_feminin</vt:lpstr>
      <vt:lpstr>'03 avril 2019'!nb_masculin</vt:lpstr>
      <vt:lpstr>'06 fevrier 2019'!nb_masculin</vt:lpstr>
      <vt:lpstr>'06 mars 2019'!nb_masculin</vt:lpstr>
      <vt:lpstr>'09 janvier 2019'!nb_masculin</vt:lpstr>
      <vt:lpstr>'10 avril 2019'!nb_masculin</vt:lpstr>
      <vt:lpstr>'13 fevrier 2019'!nb_masculin</vt:lpstr>
      <vt:lpstr>'13 mars 2019'!nb_masculin</vt:lpstr>
      <vt:lpstr>'15 mai 2019'!nb_masculin</vt:lpstr>
      <vt:lpstr>'16 janvier 2019'!nb_masculin</vt:lpstr>
      <vt:lpstr>'20 mars 2019'!nb_masculin</vt:lpstr>
      <vt:lpstr>'22 mai 2019'!nb_masculin</vt:lpstr>
      <vt:lpstr>'23 janvier 2019'!nb_masculin</vt:lpstr>
      <vt:lpstr>'27 mars 2019'!nb_masculin</vt:lpstr>
      <vt:lpstr>'30 janvier 2019'!nb_masculin</vt:lpstr>
      <vt:lpstr>'LISTE MERCREDIS 2019'!nb_masculin</vt:lpstr>
      <vt:lpstr>'LISTE MERCREDIS 2019'!nom_famille</vt:lpstr>
      <vt:lpstr>presences_AM</vt:lpstr>
      <vt:lpstr>presences_matin</vt:lpstr>
      <vt:lpstr>'LISTE MERCREDIS 2019'!presences_samedis</vt:lpstr>
      <vt:lpstr>'LISTE MERCREDIS 2019'!REGIME</vt:lpstr>
      <vt:lpstr>'LISTE MERCREDIS 2019'!TERRITOIRE</vt:lpstr>
      <vt:lpstr>TERRITOIRE_FAMILLE</vt:lpstr>
      <vt:lpstr>'LISTE MERCREDIS 2019'!VILLE</vt:lpstr>
      <vt:lpstr>'03 avril 2019'!Zone_d_impression</vt:lpstr>
      <vt:lpstr>'06 fevrier 2019'!Zone_d_impression</vt:lpstr>
      <vt:lpstr>'06 mars 2019'!Zone_d_impression</vt:lpstr>
      <vt:lpstr>'09 janvier 2019'!Zone_d_impression</vt:lpstr>
      <vt:lpstr>'10 avril 2019'!Zone_d_impression</vt:lpstr>
      <vt:lpstr>'13 fevrier 2019'!Zone_d_impression</vt:lpstr>
      <vt:lpstr>'13 mars 2019'!Zone_d_impression</vt:lpstr>
      <vt:lpstr>'15 mai 2019'!Zone_d_impression</vt:lpstr>
      <vt:lpstr>'16 janvier 2019'!Zone_d_impression</vt:lpstr>
      <vt:lpstr>'20 mars 2019'!Zone_d_impression</vt:lpstr>
      <vt:lpstr>'22 mai 2019'!Zone_d_impression</vt:lpstr>
      <vt:lpstr>'23 janvier 2019'!Zone_d_impression</vt:lpstr>
      <vt:lpstr>'27 mars 2019'!Zone_d_impression</vt:lpstr>
      <vt:lpstr>'30 janvier 2019'!Zone_d_impression</vt:lpstr>
      <vt:lpstr>'LISTE MERCREDIS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LUDOTHEQUE ACCOLADE</dc:creator>
  <cp:lastModifiedBy>LUDOTHEQUE ACCOLADE</cp:lastModifiedBy>
  <cp:lastPrinted>2018-10-03T14:55:34Z</cp:lastPrinted>
  <dcterms:created xsi:type="dcterms:W3CDTF">2016-09-14T07:30:22Z</dcterms:created>
  <dcterms:modified xsi:type="dcterms:W3CDTF">2019-05-24T12:47:38Z</dcterms:modified>
</cp:coreProperties>
</file>