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-120" yWindow="-120" windowWidth="24240" windowHeight="13740" activeTab="1"/>
  </bookViews>
  <sheets>
    <sheet name="adhérents" sheetId="2" r:id="rId1"/>
    <sheet name="calendrier" sheetId="4" r:id="rId2"/>
    <sheet name="présences" sheetId="3" r:id="rId3"/>
    <sheet name="ANNEE" sheetId="9" r:id="rId4"/>
    <sheet name="MERCREDIS" sheetId="12" r:id="rId5"/>
    <sheet name="VAC HIVER" sheetId="13" r:id="rId6"/>
  </sheets>
  <definedNames>
    <definedName name="age">présences!$J$4:$J$41</definedName>
    <definedName name="Apres_midi" localSheetId="4">MERCREDIS!$Q$4:$Q$441</definedName>
    <definedName name="Apres_midi" localSheetId="5">'VAC HIVER'!$Q$4:$Q$441</definedName>
    <definedName name="Apres_midi">ANNEE!$Q$4:$Q$441</definedName>
    <definedName name="Atelier">présences!$Q$4:$Q$41</definedName>
    <definedName name="code_famille">adhérents!$D$2:$D$28</definedName>
    <definedName name="code_individu">présences!$B$4:$B$41</definedName>
    <definedName name="Cotisant" localSheetId="3">ANNEE!$D$4:$D$441</definedName>
    <definedName name="Cotisant" localSheetId="4">MERCREDIS!$D$4:$D$441</definedName>
    <definedName name="Cotisant" localSheetId="5">'VAC HIVER'!$D$4:$D$441</definedName>
    <definedName name="Date_de_référence_année" localSheetId="4">MERCREDIS!$A$1</definedName>
    <definedName name="Date_de_référence_année" localSheetId="5">'VAC HIVER'!$A$1</definedName>
    <definedName name="Date_de_référence_année">ANNEE!$A$1</definedName>
    <definedName name="Date_naissance">présences!$I$4:$I$41</definedName>
    <definedName name="date_presence">présences!$A$4:$A$41</definedName>
    <definedName name="Découverte">présences!$O$4:$O$41</definedName>
    <definedName name="famille">présences!$D$4:$D$41</definedName>
    <definedName name="Famille_nom_prenom">présences!$D$4:$F$41</definedName>
    <definedName name="Famille_ou_Assmat">présences!$G$4:$G$41</definedName>
    <definedName name="JSP_OU_EMPRUNT">présences!$N$4:$N$41</definedName>
    <definedName name="matin" localSheetId="4">MERCREDIS!$P$4:$P$441</definedName>
    <definedName name="matin" localSheetId="5">'VAC HIVER'!$P$4:$P$441</definedName>
    <definedName name="matin">ANNEE!$P$4:$P$441</definedName>
    <definedName name="Matin_et_ou_AM">présences!$M$4:$M$41</definedName>
    <definedName name="nom">présences!$E$4:$E$41</definedName>
    <definedName name="nom_prenom">présences!$E$4:$F$41</definedName>
    <definedName name="periode">présences!$R$4:$R$41</definedName>
    <definedName name="Ponctuel">présences!$P$4:$P$41</definedName>
    <definedName name="prenom">présences!$F$4:$F$41</definedName>
    <definedName name="Présences">présences!$A$4:$P$41</definedName>
    <definedName name="sexe">présences!$H$4:$H$41</definedName>
    <definedName name="Tableau_cotisants">adhérents!$C$2:$M$28</definedName>
    <definedName name="Territoire">présences!$L$4:$L$41</definedName>
    <definedName name="TEST_NOM">#REF!</definedName>
    <definedName name="TEST_PRENOM">#REF!</definedName>
    <definedName name="TEST_TERRITOIRE">#REF!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4" i="13"/>
  <c r="C44" i="3"/>
  <c r="D44"/>
  <c r="E44"/>
  <c r="F44"/>
  <c r="G44"/>
  <c r="H44"/>
  <c r="I44"/>
  <c r="J44"/>
  <c r="K44"/>
  <c r="L44"/>
  <c r="R44"/>
  <c r="S44" s="1"/>
  <c r="R43"/>
  <c r="S43" s="1"/>
  <c r="C43"/>
  <c r="D43"/>
  <c r="E43"/>
  <c r="F43"/>
  <c r="G43"/>
  <c r="H43"/>
  <c r="I43"/>
  <c r="J43" s="1"/>
  <c r="K43"/>
  <c r="L43"/>
  <c r="R42"/>
  <c r="S42" s="1"/>
  <c r="C42"/>
  <c r="D42"/>
  <c r="E42"/>
  <c r="F42"/>
  <c r="G42"/>
  <c r="H42"/>
  <c r="I42"/>
  <c r="J42" s="1"/>
  <c r="K42"/>
  <c r="L42"/>
  <c r="R21"/>
  <c r="R4" l="1"/>
  <c r="R5"/>
  <c r="S5" s="1"/>
  <c r="R6"/>
  <c r="S6" s="1"/>
  <c r="R7"/>
  <c r="S7" s="1"/>
  <c r="R8"/>
  <c r="S8" s="1"/>
  <c r="R9"/>
  <c r="S9" s="1"/>
  <c r="R10"/>
  <c r="R11"/>
  <c r="S11" s="1"/>
  <c r="R12"/>
  <c r="S12" s="1"/>
  <c r="R13"/>
  <c r="S13" s="1"/>
  <c r="R14"/>
  <c r="S14" s="1"/>
  <c r="R15"/>
  <c r="R16"/>
  <c r="S16" s="1"/>
  <c r="R17"/>
  <c r="S17" s="1"/>
  <c r="R18"/>
  <c r="R19"/>
  <c r="S19" s="1"/>
  <c r="R20"/>
  <c r="S20" s="1"/>
  <c r="S21"/>
  <c r="R22"/>
  <c r="S22" s="1"/>
  <c r="R23"/>
  <c r="S23" s="1"/>
  <c r="R24"/>
  <c r="S24" s="1"/>
  <c r="R25"/>
  <c r="S25" s="1"/>
  <c r="R26"/>
  <c r="R27"/>
  <c r="S27" s="1"/>
  <c r="R28"/>
  <c r="S28" s="1"/>
  <c r="R29"/>
  <c r="S29" s="1"/>
  <c r="R30"/>
  <c r="S30" s="1"/>
  <c r="R31"/>
  <c r="S31" s="1"/>
  <c r="R32"/>
  <c r="S32" s="1"/>
  <c r="R33"/>
  <c r="S33" s="1"/>
  <c r="R34"/>
  <c r="S34" s="1"/>
  <c r="R35"/>
  <c r="S35" s="1"/>
  <c r="R36"/>
  <c r="S36" s="1"/>
  <c r="R37"/>
  <c r="S37" s="1"/>
  <c r="R38"/>
  <c r="S38" s="1"/>
  <c r="R39"/>
  <c r="S39" s="1"/>
  <c r="R40"/>
  <c r="S40" s="1"/>
  <c r="R41"/>
  <c r="S41" s="1"/>
  <c r="J41" i="12"/>
  <c r="I41"/>
  <c r="J40"/>
  <c r="I40"/>
  <c r="E40"/>
  <c r="B40"/>
  <c r="G24"/>
  <c r="F24"/>
  <c r="E24"/>
  <c r="D24"/>
  <c r="C24"/>
  <c r="B24"/>
  <c r="I41" i="9"/>
  <c r="I40"/>
  <c r="J41"/>
  <c r="J40"/>
  <c r="S4" i="3" l="1"/>
  <c r="E40" i="13"/>
  <c r="I40"/>
  <c r="B24"/>
  <c r="B40"/>
  <c r="S26" i="3"/>
  <c r="E24" i="13"/>
  <c r="J40"/>
  <c r="K40" s="1"/>
  <c r="S18" i="3"/>
  <c r="J41" i="13"/>
  <c r="F24"/>
  <c r="S10" i="3"/>
  <c r="I41" i="13"/>
  <c r="K41" s="1"/>
  <c r="C24"/>
  <c r="S15" i="3"/>
  <c r="D24" i="13"/>
  <c r="J42" i="12"/>
  <c r="I42"/>
  <c r="K41"/>
  <c r="K40"/>
  <c r="K41" i="9"/>
  <c r="J42" i="13" l="1"/>
  <c r="I42"/>
  <c r="K42" i="12"/>
  <c r="J43" s="1"/>
  <c r="E40" i="9"/>
  <c r="C8" i="3"/>
  <c r="C9"/>
  <c r="B40" i="9"/>
  <c r="L41" i="3"/>
  <c r="K41"/>
  <c r="I41"/>
  <c r="J41" s="1"/>
  <c r="H41"/>
  <c r="G41"/>
  <c r="F41"/>
  <c r="E41"/>
  <c r="D41"/>
  <c r="C41"/>
  <c r="L40"/>
  <c r="K40"/>
  <c r="I40"/>
  <c r="J40" s="1"/>
  <c r="H40"/>
  <c r="G40"/>
  <c r="F40"/>
  <c r="E40"/>
  <c r="D40"/>
  <c r="C40"/>
  <c r="L39"/>
  <c r="K39"/>
  <c r="I39"/>
  <c r="J39" s="1"/>
  <c r="H39"/>
  <c r="G39"/>
  <c r="F39"/>
  <c r="E39"/>
  <c r="D39"/>
  <c r="C39"/>
  <c r="L38"/>
  <c r="K38"/>
  <c r="I38"/>
  <c r="J38" s="1"/>
  <c r="H38"/>
  <c r="G38"/>
  <c r="F38"/>
  <c r="E38"/>
  <c r="D38"/>
  <c r="C38"/>
  <c r="L17"/>
  <c r="K17"/>
  <c r="I17"/>
  <c r="J17" s="1"/>
  <c r="H17"/>
  <c r="G17"/>
  <c r="F17"/>
  <c r="E17"/>
  <c r="D17"/>
  <c r="C17"/>
  <c r="L16"/>
  <c r="K16"/>
  <c r="I16"/>
  <c r="J16" s="1"/>
  <c r="H16"/>
  <c r="G16"/>
  <c r="F16"/>
  <c r="E16"/>
  <c r="D16"/>
  <c r="C16"/>
  <c r="L15"/>
  <c r="K15"/>
  <c r="I15"/>
  <c r="J15" s="1"/>
  <c r="H15"/>
  <c r="G15"/>
  <c r="F15"/>
  <c r="E15"/>
  <c r="D15"/>
  <c r="C15"/>
  <c r="D8"/>
  <c r="E8"/>
  <c r="F8"/>
  <c r="G8"/>
  <c r="H8"/>
  <c r="I8"/>
  <c r="J8" s="1"/>
  <c r="K8"/>
  <c r="L8"/>
  <c r="D9"/>
  <c r="E9"/>
  <c r="F9"/>
  <c r="G9"/>
  <c r="H9"/>
  <c r="I9"/>
  <c r="J9" s="1"/>
  <c r="K9"/>
  <c r="L9"/>
  <c r="L7"/>
  <c r="K7"/>
  <c r="I7"/>
  <c r="J7" s="1"/>
  <c r="H7"/>
  <c r="G7"/>
  <c r="F7"/>
  <c r="E7"/>
  <c r="D7"/>
  <c r="C7"/>
  <c r="C34"/>
  <c r="D34"/>
  <c r="E34"/>
  <c r="F34"/>
  <c r="G34"/>
  <c r="H34"/>
  <c r="I34"/>
  <c r="J34" s="1"/>
  <c r="K34"/>
  <c r="L34"/>
  <c r="C35"/>
  <c r="D35"/>
  <c r="E35"/>
  <c r="F35"/>
  <c r="G35"/>
  <c r="H35"/>
  <c r="I35"/>
  <c r="J35" s="1"/>
  <c r="K35"/>
  <c r="L35"/>
  <c r="C36"/>
  <c r="D36"/>
  <c r="E36"/>
  <c r="F36"/>
  <c r="G36"/>
  <c r="H36"/>
  <c r="I36"/>
  <c r="J36" s="1"/>
  <c r="K36"/>
  <c r="L36"/>
  <c r="C37"/>
  <c r="D37"/>
  <c r="E37"/>
  <c r="F37"/>
  <c r="G37"/>
  <c r="H37"/>
  <c r="I37"/>
  <c r="J37" s="1"/>
  <c r="K37"/>
  <c r="L37"/>
  <c r="L33"/>
  <c r="K33"/>
  <c r="I33"/>
  <c r="J33" s="1"/>
  <c r="H33"/>
  <c r="G33"/>
  <c r="F33"/>
  <c r="E33"/>
  <c r="D33"/>
  <c r="C33"/>
  <c r="L32"/>
  <c r="K32"/>
  <c r="I32"/>
  <c r="J32" s="1"/>
  <c r="H32"/>
  <c r="G32"/>
  <c r="F32"/>
  <c r="E32"/>
  <c r="D32"/>
  <c r="C32"/>
  <c r="L31"/>
  <c r="K31"/>
  <c r="I31"/>
  <c r="J31" s="1"/>
  <c r="H31"/>
  <c r="G31"/>
  <c r="F31"/>
  <c r="E31"/>
  <c r="D31"/>
  <c r="C31"/>
  <c r="L30"/>
  <c r="K30"/>
  <c r="I30"/>
  <c r="J30" s="1"/>
  <c r="H30"/>
  <c r="G30"/>
  <c r="F30"/>
  <c r="E30"/>
  <c r="D30"/>
  <c r="C30"/>
  <c r="L29"/>
  <c r="K29"/>
  <c r="I29"/>
  <c r="J29" s="1"/>
  <c r="H29"/>
  <c r="G29"/>
  <c r="F29"/>
  <c r="E29"/>
  <c r="D29"/>
  <c r="C29"/>
  <c r="L25"/>
  <c r="K25"/>
  <c r="I25"/>
  <c r="J25" s="1"/>
  <c r="H25"/>
  <c r="G25"/>
  <c r="F25"/>
  <c r="E25"/>
  <c r="D25"/>
  <c r="C25"/>
  <c r="L24"/>
  <c r="K24"/>
  <c r="I24"/>
  <c r="J24" s="1"/>
  <c r="H24"/>
  <c r="G24"/>
  <c r="F24"/>
  <c r="E24"/>
  <c r="D24"/>
  <c r="C24"/>
  <c r="L23"/>
  <c r="K23"/>
  <c r="I23"/>
  <c r="J23" s="1"/>
  <c r="H23"/>
  <c r="G23"/>
  <c r="F23"/>
  <c r="E23"/>
  <c r="D23"/>
  <c r="C23"/>
  <c r="L22"/>
  <c r="K22"/>
  <c r="I22"/>
  <c r="J22" s="1"/>
  <c r="H22"/>
  <c r="G22"/>
  <c r="F22"/>
  <c r="E22"/>
  <c r="D22"/>
  <c r="C22"/>
  <c r="L21"/>
  <c r="K21"/>
  <c r="I21"/>
  <c r="J21" s="1"/>
  <c r="H21"/>
  <c r="G21"/>
  <c r="F21"/>
  <c r="E21"/>
  <c r="D21"/>
  <c r="C21"/>
  <c r="L20"/>
  <c r="K20"/>
  <c r="I20"/>
  <c r="J20" s="1"/>
  <c r="H20"/>
  <c r="G20"/>
  <c r="F20"/>
  <c r="E20"/>
  <c r="D20"/>
  <c r="C20"/>
  <c r="L14"/>
  <c r="K14"/>
  <c r="I14"/>
  <c r="J14" s="1"/>
  <c r="H14"/>
  <c r="G14"/>
  <c r="F14"/>
  <c r="E14"/>
  <c r="D14"/>
  <c r="C14"/>
  <c r="L13"/>
  <c r="K13"/>
  <c r="I13"/>
  <c r="J13" s="1"/>
  <c r="H13"/>
  <c r="G13"/>
  <c r="F13"/>
  <c r="E13"/>
  <c r="D13"/>
  <c r="C13"/>
  <c r="L12"/>
  <c r="K12"/>
  <c r="I12"/>
  <c r="J12" s="1"/>
  <c r="H12"/>
  <c r="G12"/>
  <c r="F12"/>
  <c r="E12"/>
  <c r="D12"/>
  <c r="C12"/>
  <c r="L11"/>
  <c r="K11"/>
  <c r="I11"/>
  <c r="J11" s="1"/>
  <c r="H11"/>
  <c r="G11"/>
  <c r="F11"/>
  <c r="E11"/>
  <c r="D11"/>
  <c r="C11"/>
  <c r="L10"/>
  <c r="K10"/>
  <c r="I10"/>
  <c r="J10" s="1"/>
  <c r="H10"/>
  <c r="G10"/>
  <c r="F10"/>
  <c r="E10"/>
  <c r="D10"/>
  <c r="C10"/>
  <c r="C5"/>
  <c r="D5"/>
  <c r="E5"/>
  <c r="F5"/>
  <c r="G5"/>
  <c r="H5"/>
  <c r="I5"/>
  <c r="J5" s="1"/>
  <c r="K5"/>
  <c r="L5"/>
  <c r="C6"/>
  <c r="D6"/>
  <c r="E6"/>
  <c r="F6"/>
  <c r="G6"/>
  <c r="H6"/>
  <c r="I6"/>
  <c r="J6" s="1"/>
  <c r="K6"/>
  <c r="L6"/>
  <c r="K42" i="13" l="1"/>
  <c r="J43" s="1"/>
  <c r="I16"/>
  <c r="I9"/>
  <c r="I43"/>
  <c r="I43" i="12"/>
  <c r="I9"/>
  <c r="I16"/>
  <c r="G24" i="9" l="1"/>
  <c r="F24"/>
  <c r="E24"/>
  <c r="D24"/>
  <c r="C24"/>
  <c r="B24"/>
  <c r="J18" i="3" l="1"/>
  <c r="J19"/>
  <c r="J26"/>
  <c r="J27"/>
  <c r="J28"/>
  <c r="K28" i="2"/>
  <c r="K27"/>
  <c r="K26"/>
  <c r="K25"/>
  <c r="K24"/>
  <c r="K23"/>
  <c r="K22"/>
  <c r="K21"/>
  <c r="K20"/>
  <c r="K17"/>
  <c r="K18"/>
  <c r="K19"/>
  <c r="K16"/>
  <c r="K15"/>
  <c r="K14"/>
  <c r="I9" i="9" l="1"/>
  <c r="I16"/>
  <c r="K3" i="2" l="1"/>
  <c r="K4"/>
  <c r="K5"/>
  <c r="K6"/>
  <c r="K7"/>
  <c r="K8"/>
  <c r="K9"/>
  <c r="K10"/>
  <c r="K11"/>
  <c r="K12"/>
  <c r="K13"/>
  <c r="K2"/>
  <c r="C4" i="3" l="1"/>
  <c r="K4"/>
  <c r="E4"/>
  <c r="F4"/>
  <c r="D4"/>
  <c r="E7" i="13" s="1"/>
  <c r="H4" i="3"/>
  <c r="G4"/>
  <c r="L4"/>
  <c r="I4"/>
  <c r="E15" i="13" l="1"/>
  <c r="F9"/>
  <c r="G15"/>
  <c r="G10"/>
  <c r="F17"/>
  <c r="E16"/>
  <c r="F10"/>
  <c r="F19" s="1"/>
  <c r="G9"/>
  <c r="F8"/>
  <c r="E17"/>
  <c r="G8"/>
  <c r="G16"/>
  <c r="F15"/>
  <c r="E9"/>
  <c r="G17"/>
  <c r="F16"/>
  <c r="E10"/>
  <c r="E8"/>
  <c r="I29"/>
  <c r="D31"/>
  <c r="C29"/>
  <c r="N29"/>
  <c r="D29"/>
  <c r="M34"/>
  <c r="M30"/>
  <c r="H31"/>
  <c r="N33"/>
  <c r="D33"/>
  <c r="C31"/>
  <c r="I33"/>
  <c r="C33"/>
  <c r="I31"/>
  <c r="M32"/>
  <c r="M29"/>
  <c r="I30"/>
  <c r="M31"/>
  <c r="I32"/>
  <c r="N32"/>
  <c r="N31"/>
  <c r="M33"/>
  <c r="I34"/>
  <c r="C30"/>
  <c r="N30"/>
  <c r="C32"/>
  <c r="H32"/>
  <c r="D30"/>
  <c r="C34"/>
  <c r="N34"/>
  <c r="H34"/>
  <c r="H30"/>
  <c r="D32"/>
  <c r="H33"/>
  <c r="D34"/>
  <c r="H29"/>
  <c r="D36"/>
  <c r="C36"/>
  <c r="H36"/>
  <c r="M36"/>
  <c r="I36"/>
  <c r="N36"/>
  <c r="I17"/>
  <c r="I8"/>
  <c r="I10"/>
  <c r="E6" i="12"/>
  <c r="E6" i="9"/>
  <c r="E6" i="13"/>
  <c r="C40"/>
  <c r="F7" i="12"/>
  <c r="E7"/>
  <c r="G7"/>
  <c r="H17" i="13"/>
  <c r="F40"/>
  <c r="I14"/>
  <c r="E14"/>
  <c r="F7"/>
  <c r="F14"/>
  <c r="G14"/>
  <c r="I7"/>
  <c r="G7"/>
  <c r="H7"/>
  <c r="F13"/>
  <c r="G6"/>
  <c r="G13"/>
  <c r="I6"/>
  <c r="E13"/>
  <c r="F6"/>
  <c r="I13"/>
  <c r="I15"/>
  <c r="F17" i="12"/>
  <c r="G16"/>
  <c r="G10"/>
  <c r="E8"/>
  <c r="F8"/>
  <c r="G17"/>
  <c r="E15"/>
  <c r="E9"/>
  <c r="E16"/>
  <c r="F15"/>
  <c r="E10"/>
  <c r="F9"/>
  <c r="G8"/>
  <c r="E17"/>
  <c r="G15"/>
  <c r="G9"/>
  <c r="F16"/>
  <c r="F10"/>
  <c r="M34"/>
  <c r="C34"/>
  <c r="H33"/>
  <c r="M32"/>
  <c r="C32"/>
  <c r="H31"/>
  <c r="M30"/>
  <c r="C30"/>
  <c r="H29"/>
  <c r="N34"/>
  <c r="I33"/>
  <c r="D32"/>
  <c r="N30"/>
  <c r="D34"/>
  <c r="N32"/>
  <c r="I31"/>
  <c r="D30"/>
  <c r="H34"/>
  <c r="M33"/>
  <c r="C33"/>
  <c r="H32"/>
  <c r="M31"/>
  <c r="C31"/>
  <c r="H30"/>
  <c r="M29"/>
  <c r="C29"/>
  <c r="D29"/>
  <c r="I29"/>
  <c r="I34"/>
  <c r="N33"/>
  <c r="D33"/>
  <c r="I32"/>
  <c r="N31"/>
  <c r="D31"/>
  <c r="I30"/>
  <c r="N29"/>
  <c r="F40"/>
  <c r="I14"/>
  <c r="E14"/>
  <c r="F14"/>
  <c r="G14"/>
  <c r="I7"/>
  <c r="N36"/>
  <c r="D36"/>
  <c r="H36"/>
  <c r="I36"/>
  <c r="M36"/>
  <c r="C36"/>
  <c r="I6" i="9"/>
  <c r="I8" i="12"/>
  <c r="I15"/>
  <c r="I10"/>
  <c r="I17"/>
  <c r="F13"/>
  <c r="G6"/>
  <c r="C40"/>
  <c r="I6"/>
  <c r="E13"/>
  <c r="G13"/>
  <c r="I13"/>
  <c r="F6"/>
  <c r="F40" i="9"/>
  <c r="E7"/>
  <c r="E8"/>
  <c r="F7"/>
  <c r="H32"/>
  <c r="G6"/>
  <c r="E17"/>
  <c r="F10"/>
  <c r="E9"/>
  <c r="N36"/>
  <c r="H30"/>
  <c r="C40"/>
  <c r="D33"/>
  <c r="D29"/>
  <c r="H31"/>
  <c r="C30"/>
  <c r="D31"/>
  <c r="D32"/>
  <c r="I33"/>
  <c r="C31"/>
  <c r="D30"/>
  <c r="F8"/>
  <c r="C36"/>
  <c r="G7"/>
  <c r="I13"/>
  <c r="E16"/>
  <c r="I29"/>
  <c r="N32"/>
  <c r="J4" i="3"/>
  <c r="I31" i="9"/>
  <c r="I15"/>
  <c r="F9"/>
  <c r="I36"/>
  <c r="F13"/>
  <c r="F6"/>
  <c r="G14"/>
  <c r="I14"/>
  <c r="M36"/>
  <c r="E13"/>
  <c r="D34"/>
  <c r="M34"/>
  <c r="M30"/>
  <c r="I8"/>
  <c r="F16"/>
  <c r="G9"/>
  <c r="H29"/>
  <c r="C29"/>
  <c r="E10"/>
  <c r="E14"/>
  <c r="M31"/>
  <c r="C33"/>
  <c r="M32"/>
  <c r="I30"/>
  <c r="H33"/>
  <c r="M33"/>
  <c r="N33"/>
  <c r="I32"/>
  <c r="E15"/>
  <c r="I10"/>
  <c r="F17"/>
  <c r="F19" s="1"/>
  <c r="F15"/>
  <c r="G16"/>
  <c r="D36"/>
  <c r="H36"/>
  <c r="G13"/>
  <c r="F14"/>
  <c r="I7"/>
  <c r="N29"/>
  <c r="G10"/>
  <c r="M29"/>
  <c r="N34"/>
  <c r="C32"/>
  <c r="N30"/>
  <c r="I34"/>
  <c r="N31"/>
  <c r="C34"/>
  <c r="H34"/>
  <c r="I17"/>
  <c r="G15"/>
  <c r="G17"/>
  <c r="G8"/>
  <c r="H8" s="1"/>
  <c r="N35" i="12" l="1"/>
  <c r="H7" i="9"/>
  <c r="H17" i="12"/>
  <c r="H13" i="13"/>
  <c r="D35"/>
  <c r="F19" i="12"/>
  <c r="M35" i="13"/>
  <c r="E19"/>
  <c r="H19" s="1"/>
  <c r="H10"/>
  <c r="M35" i="12"/>
  <c r="H6" i="13"/>
  <c r="H14"/>
  <c r="N35"/>
  <c r="C35"/>
  <c r="H15"/>
  <c r="H35"/>
  <c r="H9"/>
  <c r="H16"/>
  <c r="G19"/>
  <c r="I35"/>
  <c r="H8"/>
  <c r="H13" i="12"/>
  <c r="H7"/>
  <c r="H14"/>
  <c r="D35"/>
  <c r="H16"/>
  <c r="I35"/>
  <c r="E19"/>
  <c r="H10"/>
  <c r="H35"/>
  <c r="J35" s="1"/>
  <c r="H15"/>
  <c r="G19"/>
  <c r="H6"/>
  <c r="C35"/>
  <c r="H9"/>
  <c r="H8"/>
  <c r="G19" i="9"/>
  <c r="H15"/>
  <c r="H13"/>
  <c r="I35"/>
  <c r="M35"/>
  <c r="H35"/>
  <c r="D35"/>
  <c r="J42" s="1"/>
  <c r="N35"/>
  <c r="C35"/>
  <c r="H6"/>
  <c r="H9"/>
  <c r="H17"/>
  <c r="H10"/>
  <c r="E19"/>
  <c r="H14"/>
  <c r="H16"/>
  <c r="E35" i="13" l="1"/>
  <c r="O35" i="12"/>
  <c r="E35"/>
  <c r="O35" i="13"/>
  <c r="J35"/>
  <c r="H19" i="9"/>
  <c r="J35"/>
  <c r="H19" i="12"/>
  <c r="E35" i="9"/>
  <c r="I42"/>
  <c r="K40"/>
  <c r="O35"/>
  <c r="K42" l="1"/>
  <c r="J43" s="1"/>
  <c r="I43" l="1"/>
</calcChain>
</file>

<file path=xl/sharedStrings.xml><?xml version="1.0" encoding="utf-8"?>
<sst xmlns="http://schemas.openxmlformats.org/spreadsheetml/2006/main" count="671" uniqueCount="208">
  <si>
    <t>NOM</t>
  </si>
  <si>
    <t>ASSMAT</t>
  </si>
  <si>
    <t>F</t>
  </si>
  <si>
    <t>naissance</t>
  </si>
  <si>
    <t>Commune</t>
  </si>
  <si>
    <t>Age</t>
  </si>
  <si>
    <t>F1-1</t>
  </si>
  <si>
    <t>F1-2</t>
  </si>
  <si>
    <t>F1-3</t>
  </si>
  <si>
    <t>AM1-1</t>
  </si>
  <si>
    <t>AM1-2</t>
  </si>
  <si>
    <t>AM1-4</t>
  </si>
  <si>
    <t>F2-1</t>
  </si>
  <si>
    <t>F2-2</t>
  </si>
  <si>
    <t>F2-3</t>
  </si>
  <si>
    <t>TERRITOIRE</t>
  </si>
  <si>
    <t>NOUVEAU</t>
  </si>
  <si>
    <t>AM1-3</t>
  </si>
  <si>
    <t>AM1-5</t>
  </si>
  <si>
    <t>FAMILLE</t>
  </si>
  <si>
    <t>Prénom</t>
  </si>
  <si>
    <t>FAMILLE 1</t>
  </si>
  <si>
    <t>Prénom F1-1</t>
  </si>
  <si>
    <t>Prénom F1-2</t>
  </si>
  <si>
    <t>Prénom F1-3</t>
  </si>
  <si>
    <t>Commune 1</t>
  </si>
  <si>
    <t>Nom F1-1</t>
  </si>
  <si>
    <t>Nom F1-2</t>
  </si>
  <si>
    <t>F2-4</t>
  </si>
  <si>
    <t>FAMILLE 2</t>
  </si>
  <si>
    <t>Nom F2-1</t>
  </si>
  <si>
    <t>Nom F2-2</t>
  </si>
  <si>
    <t>Nom F2-3</t>
  </si>
  <si>
    <t>Prénom F2-1</t>
  </si>
  <si>
    <t>Prénom F2-2</t>
  </si>
  <si>
    <t>Prénom F2-3</t>
  </si>
  <si>
    <t>Prénom F2-4</t>
  </si>
  <si>
    <t>Commune 2</t>
  </si>
  <si>
    <t>AM1</t>
  </si>
  <si>
    <t>Prénom AM1-1</t>
  </si>
  <si>
    <t>Prénom AM1-2</t>
  </si>
  <si>
    <t>Prénom AM1-3</t>
  </si>
  <si>
    <t>Prénom AM1-4</t>
  </si>
  <si>
    <t>Prénom AM1-5</t>
  </si>
  <si>
    <t>Commune 3</t>
  </si>
  <si>
    <t>Territoire 3</t>
  </si>
  <si>
    <t>TERRI
TOIRE</t>
  </si>
  <si>
    <t>DEC</t>
  </si>
  <si>
    <t>Ponc
tuel</t>
  </si>
  <si>
    <t>SEXE</t>
  </si>
  <si>
    <t>Matin
Après-midi</t>
  </si>
  <si>
    <t>JSP
Emprunt</t>
  </si>
  <si>
    <t>DATE</t>
  </si>
  <si>
    <t>féminin</t>
  </si>
  <si>
    <t>Nombre de présences matin</t>
  </si>
  <si>
    <t>Nombre de présences Après-midi</t>
  </si>
  <si>
    <t>Nombre de Familles</t>
  </si>
  <si>
    <t>Nombre d'individus différents</t>
  </si>
  <si>
    <t>Territoire 1</t>
  </si>
  <si>
    <t>Territoire 2</t>
  </si>
  <si>
    <t>Nombre d'assistants maternels</t>
  </si>
  <si>
    <t>Nombres d'individus ASSMAT</t>
  </si>
  <si>
    <t>Nombre présences ASSMAT Matin</t>
  </si>
  <si>
    <t>Nombre présences ASSMAT Après-midi</t>
  </si>
  <si>
    <t>FAMILLES</t>
  </si>
  <si>
    <t>Masculin</t>
  </si>
  <si>
    <t>Féminin</t>
  </si>
  <si>
    <t>0-3</t>
  </si>
  <si>
    <t>4-6</t>
  </si>
  <si>
    <t>7-12</t>
  </si>
  <si>
    <t>13-18</t>
  </si>
  <si>
    <t>19-50</t>
  </si>
  <si>
    <t>51-120</t>
  </si>
  <si>
    <t>Total</t>
  </si>
  <si>
    <t>OUI</t>
  </si>
  <si>
    <t>NON</t>
  </si>
  <si>
    <t>Individus adhérents</t>
  </si>
  <si>
    <t>Jeu sur place
seul</t>
  </si>
  <si>
    <t>Emprunt
seul</t>
  </si>
  <si>
    <t>JSP       +      
emprunt</t>
  </si>
  <si>
    <t>Découverte</t>
  </si>
  <si>
    <t>Ponctuel</t>
  </si>
  <si>
    <t>Atelier</t>
  </si>
  <si>
    <t>Familles adhérentes</t>
  </si>
  <si>
    <t>PRESENCES</t>
  </si>
  <si>
    <t>Type Adhérent</t>
  </si>
  <si>
    <t>FAMILLE 3</t>
  </si>
  <si>
    <t>FAMILLE 4</t>
  </si>
  <si>
    <t>Commune 4</t>
  </si>
  <si>
    <t>Nom F3-1</t>
  </si>
  <si>
    <t>Nom F3-2</t>
  </si>
  <si>
    <t>Prénom F3-1</t>
  </si>
  <si>
    <t>Prénom F3-2</t>
  </si>
  <si>
    <t>Prénom F3-3</t>
  </si>
  <si>
    <t>Prénom F3-4</t>
  </si>
  <si>
    <t>Prénom F3-5</t>
  </si>
  <si>
    <t>Prénom F3-6</t>
  </si>
  <si>
    <t>F4-1</t>
  </si>
  <si>
    <t>F4-2</t>
  </si>
  <si>
    <t>F4-3</t>
  </si>
  <si>
    <t>F4-4</t>
  </si>
  <si>
    <t>F3-1</t>
  </si>
  <si>
    <t>F3-2</t>
  </si>
  <si>
    <t>F3-3</t>
  </si>
  <si>
    <t>F3-4</t>
  </si>
  <si>
    <t>F3-5</t>
  </si>
  <si>
    <t>F3-6</t>
  </si>
  <si>
    <t>Nom F4-1</t>
  </si>
  <si>
    <t>Nom F4-2</t>
  </si>
  <si>
    <t>Prénom F4-1</t>
  </si>
  <si>
    <t>Prénom F4-2</t>
  </si>
  <si>
    <t>Prénom F4-3</t>
  </si>
  <si>
    <t>Prénom F4-4</t>
  </si>
  <si>
    <t>AM2-1</t>
  </si>
  <si>
    <t>AM2-2</t>
  </si>
  <si>
    <t>AM2-3</t>
  </si>
  <si>
    <t>AM2-4</t>
  </si>
  <si>
    <t>AM2-5</t>
  </si>
  <si>
    <t>Am2-1</t>
  </si>
  <si>
    <t>Am2-2</t>
  </si>
  <si>
    <t>Am2-3</t>
  </si>
  <si>
    <t>Jeu sur place ET emprunt</t>
  </si>
  <si>
    <t>TRUCMUCHE</t>
  </si>
  <si>
    <t>TRUMUCHE 1</t>
  </si>
  <si>
    <t>Prénom Trucmuche 1</t>
  </si>
  <si>
    <t>Prénom Trucmuche 2</t>
  </si>
  <si>
    <t>Prénom Trucmuche 3</t>
  </si>
  <si>
    <t>Oui</t>
  </si>
  <si>
    <t>BIDULE</t>
  </si>
  <si>
    <t>Prénom BIDULE 1</t>
  </si>
  <si>
    <t>Prénom BIDULE 2</t>
  </si>
  <si>
    <t>TRUCMUCHE 2</t>
  </si>
  <si>
    <t>TRUCMUCHE 3</t>
  </si>
  <si>
    <t>BIDULE 1</t>
  </si>
  <si>
    <t>BIDULE 2</t>
  </si>
  <si>
    <t>NOM AM2-1</t>
  </si>
  <si>
    <t>NOM AM2-3</t>
  </si>
  <si>
    <t>NOM AM2-4</t>
  </si>
  <si>
    <t>NOM AM2-5</t>
  </si>
  <si>
    <t>AM2</t>
  </si>
  <si>
    <t>Prénom AM2-1</t>
  </si>
  <si>
    <t>Prénom AM2-2</t>
  </si>
  <si>
    <t>Prénom AM2-3</t>
  </si>
  <si>
    <t>Prénom AM2-4</t>
  </si>
  <si>
    <t>Prénom AM2-5</t>
  </si>
  <si>
    <t>un mercredi hors vacances</t>
  </si>
  <si>
    <t>Date en rose</t>
  </si>
  <si>
    <t>Date en orange</t>
  </si>
  <si>
    <t>matin</t>
  </si>
  <si>
    <t>après-midi</t>
  </si>
  <si>
    <t>Famille</t>
  </si>
  <si>
    <t>Emprunt seul</t>
  </si>
  <si>
    <t>Jeu sur place</t>
  </si>
  <si>
    <t>masculin</t>
  </si>
  <si>
    <t>NOM AM1-1</t>
  </si>
  <si>
    <t>NOM AM1-2</t>
  </si>
  <si>
    <t>NOM AM1-3</t>
  </si>
  <si>
    <t>NOM AM1-4</t>
  </si>
  <si>
    <t>NOM AM1-5</t>
  </si>
  <si>
    <t>Somme</t>
  </si>
  <si>
    <t>Vérif</t>
  </si>
  <si>
    <t>1 présence par ligne : si même individu 2 fois dans même journée = 2 lignes (sinon pas même comptage avec JSP et emprunt)</t>
  </si>
  <si>
    <t>FAMILLES UNIQUEMENT</t>
  </si>
  <si>
    <t>ASSMAT UNIQUEMENT</t>
  </si>
  <si>
    <t>NA</t>
  </si>
  <si>
    <t>Faire listes pour lignes non adhérent pour éviter erreur frappe (espace invisible par exemple) faussant les statistiques.</t>
  </si>
  <si>
    <t>Famille
ou
ASSMAT</t>
  </si>
  <si>
    <t>âge
du
jour</t>
  </si>
  <si>
    <t>CODE
individu</t>
  </si>
  <si>
    <t>CODE
ind</t>
  </si>
  <si>
    <t>CODE
Famille</t>
  </si>
  <si>
    <t>F1</t>
  </si>
  <si>
    <t>F2</t>
  </si>
  <si>
    <t>F3</t>
  </si>
  <si>
    <t>F4</t>
  </si>
  <si>
    <t>CODE
famille</t>
  </si>
  <si>
    <t>Présences cotisants</t>
  </si>
  <si>
    <t>Cotisants</t>
  </si>
  <si>
    <t>Non cotisants</t>
  </si>
  <si>
    <t xml:space="preserve">matin </t>
  </si>
  <si>
    <t>Vacances Hiver</t>
  </si>
  <si>
    <t>Vacances Printemps</t>
  </si>
  <si>
    <t>Vacances Été</t>
  </si>
  <si>
    <t>Vacances Automne</t>
  </si>
  <si>
    <t>non connues à ce jour</t>
  </si>
  <si>
    <t>vacances hiver ; même les mercredis comme le 27/02</t>
  </si>
  <si>
    <t xml:space="preserve">ANNEE LUDO 2020 Répartition géographique </t>
  </si>
  <si>
    <t>ANNEE LUDO 2020 Répartition type de présence</t>
  </si>
  <si>
    <t>ANNEE LUDO 2020 Répartition des présences selon l'âge</t>
  </si>
  <si>
    <t xml:space="preserve">ANNEE LUDO 2020 Répartition des présences selon l'âge </t>
  </si>
  <si>
    <t xml:space="preserve">MERCREDI LUDO 2020 Répartition géographique </t>
  </si>
  <si>
    <t>MERCREDI LUDO 2020 Répartition type de présence</t>
  </si>
  <si>
    <t>MERCREDI LUDO 2020 Répartition des présences selon l'âge</t>
  </si>
  <si>
    <t xml:space="preserve">MERCREDI LUDO 2020 Répartition des présences selon l'âge </t>
  </si>
  <si>
    <t xml:space="preserve">VACANCES HIVER LUDO 2020 Répartition géographique </t>
  </si>
  <si>
    <t>VACANCES HIVER LUDO 2020 Répartition type de présence</t>
  </si>
  <si>
    <t>VACANCES HIVER LUDO 2020 Répartition des présences selon l'âge</t>
  </si>
  <si>
    <t xml:space="preserve">VACANCES HIVER LUDO 2020 Répartition des présences selon l'âge </t>
  </si>
  <si>
    <t>periode</t>
  </si>
  <si>
    <t>fin</t>
  </si>
  <si>
    <t>debut</t>
  </si>
  <si>
    <t>Column1</t>
  </si>
  <si>
    <t>indice</t>
  </si>
  <si>
    <t>libelle période</t>
  </si>
  <si>
    <t>Mercredi</t>
  </si>
  <si>
    <t>Mardi</t>
  </si>
  <si>
    <t>Vendredi</t>
  </si>
  <si>
    <t>Samedi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</si>
</sst>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0"/>
      <name val="Arial"/>
      <family val="2"/>
    </font>
    <font>
      <b/>
      <sz val="11"/>
      <color rgb="FFFF000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gradientFill>
        <stop position="0">
          <color theme="7" tint="-0.25098422193060094"/>
        </stop>
        <stop position="1">
          <color theme="9" tint="-0.25098422193060094"/>
        </stop>
      </gradientFill>
    </fill>
    <fill>
      <patternFill patternType="solid">
        <fgColor rgb="FFFF006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B35AE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9" tint="0.39997558519241921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ck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3">
    <xf numFmtId="0" fontId="0" fillId="0" borderId="0" xfId="0"/>
    <xf numFmtId="0" fontId="1" fillId="0" borderId="2" xfId="0" applyFont="1" applyBorder="1"/>
    <xf numFmtId="0" fontId="0" fillId="2" borderId="1" xfId="0" applyFill="1" applyBorder="1"/>
    <xf numFmtId="14" fontId="0" fillId="2" borderId="1" xfId="0" applyNumberFormat="1" applyFill="1" applyBorder="1"/>
    <xf numFmtId="0" fontId="2" fillId="2" borderId="1" xfId="0" applyFont="1" applyFill="1" applyBorder="1"/>
    <xf numFmtId="0" fontId="0" fillId="3" borderId="1" xfId="0" applyFill="1" applyBorder="1"/>
    <xf numFmtId="14" fontId="0" fillId="3" borderId="1" xfId="0" applyNumberFormat="1" applyFill="1" applyBorder="1"/>
    <xf numFmtId="0" fontId="2" fillId="3" borderId="1" xfId="0" applyFont="1" applyFill="1" applyBorder="1"/>
    <xf numFmtId="0" fontId="0" fillId="4" borderId="1" xfId="0" applyFill="1" applyBorder="1"/>
    <xf numFmtId="14" fontId="0" fillId="4" borderId="1" xfId="0" applyNumberFormat="1" applyFill="1" applyBorder="1"/>
    <xf numFmtId="0" fontId="2" fillId="4" borderId="1" xfId="0" applyFont="1" applyFill="1" applyBorder="1"/>
    <xf numFmtId="0" fontId="3" fillId="5" borderId="4" xfId="0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center"/>
    </xf>
    <xf numFmtId="0" fontId="0" fillId="0" borderId="0" xfId="0" applyAlignment="1">
      <alignment horizontal="center"/>
    </xf>
    <xf numFmtId="0" fontId="3" fillId="4" borderId="4" xfId="0" applyFont="1" applyFill="1" applyBorder="1" applyAlignment="1" applyProtection="1">
      <alignment horizontal="center" vertical="center"/>
      <protection locked="0"/>
    </xf>
    <xf numFmtId="0" fontId="5" fillId="0" borderId="5" xfId="0" applyFont="1" applyBorder="1" applyAlignment="1">
      <alignment horizontal="center"/>
    </xf>
    <xf numFmtId="0" fontId="5" fillId="0" borderId="5" xfId="0" applyFont="1" applyBorder="1" applyAlignment="1">
      <alignment horizontal="center" wrapText="1"/>
    </xf>
    <xf numFmtId="0" fontId="5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wrapText="1"/>
    </xf>
    <xf numFmtId="0" fontId="5" fillId="8" borderId="5" xfId="0" applyFont="1" applyFill="1" applyBorder="1" applyAlignment="1">
      <alignment horizontal="center" wrapText="1"/>
    </xf>
    <xf numFmtId="0" fontId="5" fillId="6" borderId="5" xfId="0" applyFont="1" applyFill="1" applyBorder="1" applyAlignment="1">
      <alignment horizontal="center" wrapText="1"/>
    </xf>
    <xf numFmtId="14" fontId="0" fillId="0" borderId="0" xfId="0" applyNumberFormat="1"/>
    <xf numFmtId="0" fontId="6" fillId="7" borderId="1" xfId="0" applyFont="1" applyFill="1" applyBorder="1"/>
    <xf numFmtId="14" fontId="0" fillId="7" borderId="1" xfId="0" applyNumberFormat="1" applyFill="1" applyBorder="1"/>
    <xf numFmtId="14" fontId="6" fillId="9" borderId="1" xfId="0" applyNumberFormat="1" applyFont="1" applyFill="1" applyBorder="1"/>
    <xf numFmtId="0" fontId="0" fillId="0" borderId="0" xfId="0" applyBorder="1" applyAlignment="1">
      <alignment horizontal="center"/>
    </xf>
    <xf numFmtId="0" fontId="6" fillId="0" borderId="13" xfId="0" applyFont="1" applyBorder="1" applyAlignment="1">
      <alignment horizontal="center"/>
    </xf>
    <xf numFmtId="0" fontId="6" fillId="0" borderId="14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49" fontId="0" fillId="0" borderId="1" xfId="0" applyNumberFormat="1" applyBorder="1"/>
    <xf numFmtId="49" fontId="4" fillId="0" borderId="1" xfId="0" applyNumberFormat="1" applyFont="1" applyBorder="1"/>
    <xf numFmtId="0" fontId="4" fillId="0" borderId="1" xfId="0" applyFont="1" applyFill="1" applyBorder="1" applyAlignment="1">
      <alignment horizontal="center"/>
    </xf>
    <xf numFmtId="49" fontId="0" fillId="0" borderId="5" xfId="0" applyNumberFormat="1" applyFill="1" applyBorder="1" applyAlignment="1">
      <alignment textRotation="45" wrapText="1"/>
    </xf>
    <xf numFmtId="49" fontId="0" fillId="0" borderId="2" xfId="0" applyNumberFormat="1" applyFill="1" applyBorder="1" applyAlignment="1">
      <alignment textRotation="45" wrapText="1"/>
    </xf>
    <xf numFmtId="49" fontId="3" fillId="9" borderId="5" xfId="0" applyNumberFormat="1" applyFont="1" applyFill="1" applyBorder="1" applyAlignment="1">
      <alignment textRotation="45"/>
    </xf>
    <xf numFmtId="49" fontId="0" fillId="4" borderId="5" xfId="0" applyNumberFormat="1" applyFont="1" applyFill="1" applyBorder="1" applyAlignment="1">
      <alignment textRotation="45"/>
    </xf>
    <xf numFmtId="49" fontId="0" fillId="3" borderId="5" xfId="0" applyNumberFormat="1" applyFill="1" applyBorder="1" applyAlignment="1">
      <alignment textRotation="45"/>
    </xf>
    <xf numFmtId="0" fontId="0" fillId="10" borderId="1" xfId="0" applyFill="1" applyBorder="1"/>
    <xf numFmtId="14" fontId="0" fillId="10" borderId="1" xfId="0" applyNumberFormat="1" applyFill="1" applyBorder="1"/>
    <xf numFmtId="0" fontId="2" fillId="10" borderId="1" xfId="0" applyFont="1" applyFill="1" applyBorder="1"/>
    <xf numFmtId="0" fontId="0" fillId="11" borderId="1" xfId="0" applyFill="1" applyBorder="1"/>
    <xf numFmtId="14" fontId="0" fillId="11" borderId="1" xfId="0" applyNumberFormat="1" applyFill="1" applyBorder="1"/>
    <xf numFmtId="0" fontId="2" fillId="11" borderId="1" xfId="0" applyFont="1" applyFill="1" applyBorder="1"/>
    <xf numFmtId="0" fontId="0" fillId="12" borderId="1" xfId="0" applyFill="1" applyBorder="1"/>
    <xf numFmtId="14" fontId="0" fillId="12" borderId="1" xfId="0" applyNumberFormat="1" applyFill="1" applyBorder="1"/>
    <xf numFmtId="0" fontId="2" fillId="12" borderId="1" xfId="0" applyFont="1" applyFill="1" applyBorder="1"/>
    <xf numFmtId="14" fontId="0" fillId="13" borderId="0" xfId="0" applyNumberFormat="1" applyFill="1"/>
    <xf numFmtId="14" fontId="0" fillId="10" borderId="0" xfId="0" applyNumberFormat="1" applyFill="1"/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3" borderId="1" xfId="0" applyFill="1" applyBorder="1" applyAlignment="1">
      <alignment horizontal="left"/>
    </xf>
    <xf numFmtId="0" fontId="0" fillId="2" borderId="1" xfId="0" applyFill="1" applyBorder="1" applyAlignment="1">
      <alignment horizontal="left"/>
    </xf>
    <xf numFmtId="0" fontId="0" fillId="4" borderId="1" xfId="0" applyFill="1" applyBorder="1" applyAlignment="1">
      <alignment horizontal="left"/>
    </xf>
    <xf numFmtId="0" fontId="0" fillId="10" borderId="1" xfId="0" applyFill="1" applyBorder="1" applyAlignment="1">
      <alignment horizontal="left"/>
    </xf>
    <xf numFmtId="0" fontId="0" fillId="11" borderId="1" xfId="0" applyFill="1" applyBorder="1" applyAlignment="1">
      <alignment horizontal="left"/>
    </xf>
    <xf numFmtId="0" fontId="0" fillId="12" borderId="1" xfId="0" applyFill="1" applyBorder="1" applyAlignment="1">
      <alignment horizontal="left"/>
    </xf>
    <xf numFmtId="0" fontId="4" fillId="0" borderId="18" xfId="0" applyFont="1" applyBorder="1" applyAlignment="1">
      <alignment horizontal="center"/>
    </xf>
    <xf numFmtId="0" fontId="4" fillId="0" borderId="19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4" fillId="0" borderId="1" xfId="0" applyFont="1" applyBorder="1" applyAlignment="1">
      <alignment horizontal="center"/>
    </xf>
    <xf numFmtId="17" fontId="4" fillId="0" borderId="0" xfId="0" applyNumberFormat="1" applyFont="1" applyAlignment="1"/>
    <xf numFmtId="0" fontId="6" fillId="4" borderId="1" xfId="0" applyFont="1" applyFill="1" applyBorder="1"/>
    <xf numFmtId="14" fontId="6" fillId="4" borderId="1" xfId="0" applyNumberFormat="1" applyFont="1" applyFill="1" applyBorder="1"/>
    <xf numFmtId="0" fontId="4" fillId="0" borderId="0" xfId="0" applyFont="1"/>
    <xf numFmtId="0" fontId="4" fillId="0" borderId="1" xfId="0" applyFont="1" applyBorder="1" applyAlignment="1">
      <alignment horizontal="center"/>
    </xf>
    <xf numFmtId="17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4" fillId="0" borderId="18" xfId="0" applyFont="1" applyBorder="1" applyAlignment="1">
      <alignment horizontal="center"/>
    </xf>
    <xf numFmtId="0" fontId="4" fillId="0" borderId="19" xfId="0" applyFont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0" fillId="0" borderId="7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11" xfId="0" applyBorder="1" applyAlignment="1">
      <alignment horizontal="left"/>
    </xf>
    <xf numFmtId="0" fontId="0" fillId="0" borderId="12" xfId="0" applyBorder="1" applyAlignment="1">
      <alignment horizontal="left"/>
    </xf>
    <xf numFmtId="0" fontId="0" fillId="0" borderId="17" xfId="0" applyBorder="1" applyAlignment="1">
      <alignment horizontal="left"/>
    </xf>
    <xf numFmtId="0" fontId="7" fillId="0" borderId="0" xfId="0" applyFont="1"/>
    <xf numFmtId="0" fontId="8" fillId="0" borderId="0" xfId="0" applyFont="1"/>
    <xf numFmtId="0" fontId="0" fillId="0" borderId="23" xfId="0" applyBorder="1" applyAlignment="1">
      <alignment horizontal="left"/>
    </xf>
    <xf numFmtId="0" fontId="0" fillId="0" borderId="24" xfId="0" applyBorder="1" applyAlignment="1">
      <alignment horizontal="left"/>
    </xf>
    <xf numFmtId="0" fontId="0" fillId="0" borderId="25" xfId="0" applyBorder="1" applyAlignment="1">
      <alignment horizontal="left"/>
    </xf>
    <xf numFmtId="0" fontId="0" fillId="0" borderId="16" xfId="0" applyBorder="1" applyAlignment="1">
      <alignment horizontal="left"/>
    </xf>
    <xf numFmtId="0" fontId="0" fillId="0" borderId="26" xfId="0" applyBorder="1" applyAlignment="1">
      <alignment horizontal="left"/>
    </xf>
    <xf numFmtId="0" fontId="0" fillId="0" borderId="27" xfId="0" applyBorder="1" applyAlignment="1">
      <alignment horizontal="left"/>
    </xf>
    <xf numFmtId="0" fontId="0" fillId="15" borderId="0" xfId="0" applyFill="1"/>
    <xf numFmtId="0" fontId="0" fillId="12" borderId="0" xfId="0" applyFill="1"/>
    <xf numFmtId="0" fontId="8" fillId="0" borderId="1" xfId="0" applyFont="1" applyBorder="1" applyAlignment="1">
      <alignment horizontal="center"/>
    </xf>
    <xf numFmtId="0" fontId="9" fillId="0" borderId="5" xfId="0" applyFont="1" applyBorder="1" applyAlignment="1">
      <alignment horizontal="center"/>
    </xf>
    <xf numFmtId="0" fontId="8" fillId="0" borderId="0" xfId="0" applyFont="1" applyAlignment="1">
      <alignment horizontal="center"/>
    </xf>
    <xf numFmtId="0" fontId="8" fillId="14" borderId="10" xfId="0" applyFont="1" applyFill="1" applyBorder="1" applyAlignment="1">
      <alignment horizontal="center"/>
    </xf>
    <xf numFmtId="0" fontId="8" fillId="0" borderId="10" xfId="0" applyFont="1" applyBorder="1" applyAlignment="1">
      <alignment horizontal="center"/>
    </xf>
    <xf numFmtId="0" fontId="8" fillId="14" borderId="22" xfId="0" applyFont="1" applyFill="1" applyBorder="1" applyAlignment="1">
      <alignment horizontal="center"/>
    </xf>
    <xf numFmtId="0" fontId="1" fillId="0" borderId="2" xfId="0" applyFont="1" applyBorder="1" applyAlignment="1">
      <alignment wrapText="1"/>
    </xf>
    <xf numFmtId="0" fontId="1" fillId="0" borderId="2" xfId="0" applyFont="1" applyBorder="1" applyAlignment="1">
      <alignment horizontal="center" wrapText="1"/>
    </xf>
    <xf numFmtId="14" fontId="6" fillId="7" borderId="1" xfId="0" applyNumberFormat="1" applyFont="1" applyFill="1" applyBorder="1"/>
    <xf numFmtId="0" fontId="0" fillId="0" borderId="0" xfId="0" applyAlignment="1">
      <alignment horizontal="right"/>
    </xf>
    <xf numFmtId="10" fontId="0" fillId="0" borderId="1" xfId="0" applyNumberFormat="1" applyBorder="1"/>
    <xf numFmtId="0" fontId="10" fillId="0" borderId="28" xfId="0" applyFont="1" applyBorder="1" applyAlignment="1">
      <alignment horizontal="center"/>
    </xf>
    <xf numFmtId="0" fontId="10" fillId="0" borderId="29" xfId="0" applyFont="1" applyBorder="1" applyAlignment="1">
      <alignment horizontal="center"/>
    </xf>
    <xf numFmtId="0" fontId="4" fillId="0" borderId="1" xfId="0" applyFont="1" applyBorder="1" applyAlignment="1">
      <alignment horizontal="left"/>
    </xf>
    <xf numFmtId="0" fontId="4" fillId="0" borderId="3" xfId="0" applyFont="1" applyBorder="1" applyAlignment="1">
      <alignment horizontal="left"/>
    </xf>
    <xf numFmtId="0" fontId="4" fillId="0" borderId="30" xfId="0" applyFont="1" applyBorder="1" applyAlignment="1">
      <alignment horizontal="left"/>
    </xf>
    <xf numFmtId="0" fontId="8" fillId="0" borderId="1" xfId="0" applyFont="1" applyBorder="1"/>
    <xf numFmtId="0" fontId="7" fillId="16" borderId="1" xfId="0" applyFont="1" applyFill="1" applyBorder="1"/>
    <xf numFmtId="0" fontId="7" fillId="14" borderId="22" xfId="0" applyFont="1" applyFill="1" applyBorder="1" applyAlignment="1">
      <alignment horizontal="center"/>
    </xf>
    <xf numFmtId="0" fontId="7" fillId="14" borderId="10" xfId="0" applyFont="1" applyFill="1" applyBorder="1" applyAlignment="1">
      <alignment horizontal="center"/>
    </xf>
    <xf numFmtId="0" fontId="11" fillId="14" borderId="22" xfId="0" applyFont="1" applyFill="1" applyBorder="1" applyAlignment="1">
      <alignment horizontal="center"/>
    </xf>
    <xf numFmtId="0" fontId="11" fillId="14" borderId="10" xfId="0" applyFont="1" applyFill="1" applyBorder="1" applyAlignment="1">
      <alignment horizontal="center"/>
    </xf>
    <xf numFmtId="0" fontId="11" fillId="0" borderId="0" xfId="0" applyFont="1"/>
    <xf numFmtId="0" fontId="7" fillId="0" borderId="1" xfId="0" applyFont="1" applyBorder="1" applyAlignment="1">
      <alignment horizontal="center"/>
    </xf>
    <xf numFmtId="0" fontId="7" fillId="0" borderId="1" xfId="0" applyFont="1" applyBorder="1"/>
  </cellXfs>
  <cellStyles count="1">
    <cellStyle name="Normal" xfId="0" builtinId="0"/>
  </cellStyles>
  <dxfs count="4">
    <dxf>
      <numFmt numFmtId="19" formatCode="dd/mm/yyyy"/>
    </dxf>
    <dxf>
      <numFmt numFmtId="19" formatCode="dd/mm/yyyy"/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</dxfs>
  <tableStyles count="0" defaultTableStyle="TableStyleMedium9" defaultPivotStyle="PivotStyleLight16"/>
  <colors>
    <mruColors>
      <color rgb="FFCB35AE"/>
      <color rgb="FFFF6699"/>
      <color rgb="FF76FA86"/>
      <color rgb="FFD4E404"/>
      <color rgb="FFFF3300"/>
      <color rgb="FFFFFF00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1" displayName="Table1" ref="A2:D10" totalsRowShown="0">
  <autoFilter ref="A2:D10"/>
  <tableColumns count="4">
    <tableColumn id="1" name="Column1"/>
    <tableColumn id="2" name="debut" dataDxfId="1"/>
    <tableColumn id="3" name="fin" dataDxfId="0"/>
    <tableColumn id="4" name="indic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534"/>
  <sheetViews>
    <sheetView zoomScale="115" zoomScaleNormal="115" workbookViewId="0">
      <pane ySplit="1" topLeftCell="A17" activePane="bottomLeft" state="frozen"/>
      <selection pane="bottomLeft" activeCell="T14" sqref="T14"/>
    </sheetView>
  </sheetViews>
  <sheetFormatPr baseColWidth="10" defaultColWidth="11.42578125" defaultRowHeight="15"/>
  <cols>
    <col min="3" max="3" width="7.5703125" bestFit="1" customWidth="1"/>
    <col min="4" max="4" width="7.5703125" customWidth="1"/>
    <col min="5" max="5" width="23.42578125" bestFit="1" customWidth="1"/>
    <col min="6" max="6" width="19.85546875" bestFit="1" customWidth="1"/>
    <col min="7" max="7" width="12.140625" bestFit="1" customWidth="1"/>
    <col min="8" max="8" width="11.85546875" style="14" bestFit="1" customWidth="1"/>
    <col min="9" max="9" width="7.7109375" customWidth="1"/>
    <col min="10" max="10" width="12" bestFit="1" customWidth="1"/>
    <col min="11" max="11" width="12" customWidth="1"/>
    <col min="12" max="12" width="20.85546875" bestFit="1" customWidth="1"/>
    <col min="13" max="13" width="14.28515625" bestFit="1" customWidth="1"/>
  </cols>
  <sheetData>
    <row r="1" spans="1:13" ht="56.25">
      <c r="A1" s="1" t="s">
        <v>16</v>
      </c>
      <c r="B1" s="13">
        <v>2019</v>
      </c>
      <c r="C1" s="95" t="s">
        <v>169</v>
      </c>
      <c r="D1" s="94" t="s">
        <v>170</v>
      </c>
      <c r="E1" s="1" t="s">
        <v>19</v>
      </c>
      <c r="F1" s="1" t="s">
        <v>0</v>
      </c>
      <c r="G1" s="1" t="s">
        <v>20</v>
      </c>
      <c r="H1" s="13" t="s">
        <v>85</v>
      </c>
      <c r="I1" s="1" t="s">
        <v>2</v>
      </c>
      <c r="J1" s="1" t="s">
        <v>3</v>
      </c>
      <c r="K1" s="1" t="s">
        <v>5</v>
      </c>
      <c r="L1" s="1" t="s">
        <v>4</v>
      </c>
      <c r="M1" s="1" t="s">
        <v>15</v>
      </c>
    </row>
    <row r="2" spans="1:13">
      <c r="C2" s="5" t="s">
        <v>6</v>
      </c>
      <c r="D2" s="5" t="s">
        <v>171</v>
      </c>
      <c r="E2" s="5" t="s">
        <v>21</v>
      </c>
      <c r="F2" s="5" t="s">
        <v>26</v>
      </c>
      <c r="G2" s="5" t="s">
        <v>22</v>
      </c>
      <c r="H2" s="52" t="s">
        <v>150</v>
      </c>
      <c r="I2" s="5" t="s">
        <v>153</v>
      </c>
      <c r="J2" s="6">
        <v>29221</v>
      </c>
      <c r="K2" s="6" t="str">
        <f t="shared" ref="K2:K13" ca="1" si="0">DATEDIF(J2,TODAY(),"y") &amp; " an(s) " &amp; DATEDIF(J2,TODAY(),"ym") &amp; " mois et " &amp; DATEDIF(J2,TODAY(),"md") &amp; " jour(s)"</f>
        <v>40 an(s) 0 mois et 3 jour(s)</v>
      </c>
      <c r="L2" s="7" t="s">
        <v>25</v>
      </c>
      <c r="M2" s="11" t="s">
        <v>58</v>
      </c>
    </row>
    <row r="3" spans="1:13">
      <c r="C3" s="5" t="s">
        <v>7</v>
      </c>
      <c r="D3" s="5" t="s">
        <v>171</v>
      </c>
      <c r="E3" s="5" t="s">
        <v>21</v>
      </c>
      <c r="F3" s="5" t="s">
        <v>27</v>
      </c>
      <c r="G3" s="5" t="s">
        <v>23</v>
      </c>
      <c r="H3" s="52" t="s">
        <v>150</v>
      </c>
      <c r="I3" s="5" t="s">
        <v>53</v>
      </c>
      <c r="J3" s="6">
        <v>29221</v>
      </c>
      <c r="K3" s="6" t="str">
        <f t="shared" ca="1" si="0"/>
        <v>40 an(s) 0 mois et 3 jour(s)</v>
      </c>
      <c r="L3" s="7" t="s">
        <v>25</v>
      </c>
      <c r="M3" s="11" t="s">
        <v>58</v>
      </c>
    </row>
    <row r="4" spans="1:13">
      <c r="C4" s="5" t="s">
        <v>8</v>
      </c>
      <c r="D4" s="5" t="s">
        <v>171</v>
      </c>
      <c r="E4" s="5" t="s">
        <v>21</v>
      </c>
      <c r="F4" s="5" t="s">
        <v>26</v>
      </c>
      <c r="G4" s="5" t="s">
        <v>24</v>
      </c>
      <c r="H4" s="52" t="s">
        <v>150</v>
      </c>
      <c r="I4" s="5" t="s">
        <v>153</v>
      </c>
      <c r="J4" s="6">
        <v>43101</v>
      </c>
      <c r="K4" s="6" t="str">
        <f t="shared" ca="1" si="0"/>
        <v>2 an(s) 0 mois et 3 jour(s)</v>
      </c>
      <c r="L4" s="7" t="s">
        <v>25</v>
      </c>
      <c r="M4" s="11" t="s">
        <v>58</v>
      </c>
    </row>
    <row r="5" spans="1:13">
      <c r="C5" s="2" t="s">
        <v>12</v>
      </c>
      <c r="D5" s="2" t="s">
        <v>172</v>
      </c>
      <c r="E5" s="2" t="s">
        <v>29</v>
      </c>
      <c r="F5" s="2" t="s">
        <v>30</v>
      </c>
      <c r="G5" s="2" t="s">
        <v>33</v>
      </c>
      <c r="H5" s="53" t="s">
        <v>150</v>
      </c>
      <c r="I5" s="2" t="s">
        <v>153</v>
      </c>
      <c r="J5" s="3">
        <v>29221</v>
      </c>
      <c r="K5" s="3" t="str">
        <f t="shared" ca="1" si="0"/>
        <v>40 an(s) 0 mois et 3 jour(s)</v>
      </c>
      <c r="L5" s="4" t="s">
        <v>37</v>
      </c>
      <c r="M5" s="12" t="s">
        <v>59</v>
      </c>
    </row>
    <row r="6" spans="1:13">
      <c r="C6" s="2" t="s">
        <v>13</v>
      </c>
      <c r="D6" s="2" t="s">
        <v>172</v>
      </c>
      <c r="E6" s="2" t="s">
        <v>29</v>
      </c>
      <c r="F6" s="2" t="s">
        <v>31</v>
      </c>
      <c r="G6" s="2" t="s">
        <v>34</v>
      </c>
      <c r="H6" s="53" t="s">
        <v>150</v>
      </c>
      <c r="I6" s="2" t="s">
        <v>53</v>
      </c>
      <c r="J6" s="3">
        <v>29221</v>
      </c>
      <c r="K6" s="3" t="str">
        <f t="shared" ca="1" si="0"/>
        <v>40 an(s) 0 mois et 3 jour(s)</v>
      </c>
      <c r="L6" s="4" t="s">
        <v>37</v>
      </c>
      <c r="M6" s="12" t="s">
        <v>59</v>
      </c>
    </row>
    <row r="7" spans="1:13">
      <c r="C7" s="2" t="s">
        <v>14</v>
      </c>
      <c r="D7" s="2" t="s">
        <v>172</v>
      </c>
      <c r="E7" s="2" t="s">
        <v>29</v>
      </c>
      <c r="F7" s="2" t="s">
        <v>32</v>
      </c>
      <c r="G7" s="2" t="s">
        <v>35</v>
      </c>
      <c r="H7" s="53" t="s">
        <v>150</v>
      </c>
      <c r="I7" s="2" t="s">
        <v>53</v>
      </c>
      <c r="J7" s="3">
        <v>43101</v>
      </c>
      <c r="K7" s="3" t="str">
        <f t="shared" ca="1" si="0"/>
        <v>2 an(s) 0 mois et 3 jour(s)</v>
      </c>
      <c r="L7" s="4" t="s">
        <v>37</v>
      </c>
      <c r="M7" s="12" t="s">
        <v>59</v>
      </c>
    </row>
    <row r="8" spans="1:13">
      <c r="C8" s="2" t="s">
        <v>28</v>
      </c>
      <c r="D8" s="2" t="s">
        <v>172</v>
      </c>
      <c r="E8" s="2" t="s">
        <v>29</v>
      </c>
      <c r="F8" s="2" t="s">
        <v>32</v>
      </c>
      <c r="G8" s="2" t="s">
        <v>36</v>
      </c>
      <c r="H8" s="53" t="s">
        <v>150</v>
      </c>
      <c r="I8" s="2" t="s">
        <v>153</v>
      </c>
      <c r="J8" s="3">
        <v>38718</v>
      </c>
      <c r="K8" s="3" t="str">
        <f t="shared" ca="1" si="0"/>
        <v>14 an(s) 0 mois et 3 jour(s)</v>
      </c>
      <c r="L8" s="4" t="s">
        <v>37</v>
      </c>
      <c r="M8" s="12" t="s">
        <v>59</v>
      </c>
    </row>
    <row r="9" spans="1:13">
      <c r="C9" s="8" t="s">
        <v>9</v>
      </c>
      <c r="D9" s="8" t="s">
        <v>38</v>
      </c>
      <c r="E9" s="8" t="s">
        <v>38</v>
      </c>
      <c r="F9" s="8" t="s">
        <v>154</v>
      </c>
      <c r="G9" s="8" t="s">
        <v>39</v>
      </c>
      <c r="H9" s="54" t="s">
        <v>1</v>
      </c>
      <c r="I9" s="8" t="s">
        <v>153</v>
      </c>
      <c r="J9" s="9">
        <v>29221</v>
      </c>
      <c r="K9" s="9" t="str">
        <f t="shared" ca="1" si="0"/>
        <v>40 an(s) 0 mois et 3 jour(s)</v>
      </c>
      <c r="L9" s="10" t="s">
        <v>44</v>
      </c>
      <c r="M9" s="15" t="s">
        <v>45</v>
      </c>
    </row>
    <row r="10" spans="1:13">
      <c r="C10" s="8" t="s">
        <v>10</v>
      </c>
      <c r="D10" s="8" t="s">
        <v>38</v>
      </c>
      <c r="E10" s="8" t="s">
        <v>38</v>
      </c>
      <c r="F10" s="8" t="s">
        <v>155</v>
      </c>
      <c r="G10" s="8" t="s">
        <v>40</v>
      </c>
      <c r="H10" s="54" t="s">
        <v>1</v>
      </c>
      <c r="I10" s="8" t="s">
        <v>53</v>
      </c>
      <c r="J10" s="9">
        <v>43101</v>
      </c>
      <c r="K10" s="9" t="str">
        <f t="shared" ca="1" si="0"/>
        <v>2 an(s) 0 mois et 3 jour(s)</v>
      </c>
      <c r="L10" s="10" t="s">
        <v>44</v>
      </c>
      <c r="M10" s="15" t="s">
        <v>45</v>
      </c>
    </row>
    <row r="11" spans="1:13">
      <c r="C11" s="8" t="s">
        <v>17</v>
      </c>
      <c r="D11" s="8" t="s">
        <v>38</v>
      </c>
      <c r="E11" s="8" t="s">
        <v>38</v>
      </c>
      <c r="F11" s="8" t="s">
        <v>156</v>
      </c>
      <c r="G11" s="8" t="s">
        <v>41</v>
      </c>
      <c r="H11" s="54" t="s">
        <v>1</v>
      </c>
      <c r="I11" s="8" t="s">
        <v>53</v>
      </c>
      <c r="J11" s="9">
        <v>43252</v>
      </c>
      <c r="K11" s="9" t="str">
        <f t="shared" ca="1" si="0"/>
        <v>1 an(s) 7 mois et 3 jour(s)</v>
      </c>
      <c r="L11" s="10" t="s">
        <v>44</v>
      </c>
      <c r="M11" s="15" t="s">
        <v>45</v>
      </c>
    </row>
    <row r="12" spans="1:13">
      <c r="C12" s="8" t="s">
        <v>11</v>
      </c>
      <c r="D12" s="8" t="s">
        <v>38</v>
      </c>
      <c r="E12" s="8" t="s">
        <v>38</v>
      </c>
      <c r="F12" s="8" t="s">
        <v>157</v>
      </c>
      <c r="G12" s="8" t="s">
        <v>42</v>
      </c>
      <c r="H12" s="54" t="s">
        <v>1</v>
      </c>
      <c r="I12" s="8" t="s">
        <v>153</v>
      </c>
      <c r="J12" s="9">
        <v>43466</v>
      </c>
      <c r="K12" s="9" t="str">
        <f t="shared" ca="1" si="0"/>
        <v>1 an(s) 0 mois et 3 jour(s)</v>
      </c>
      <c r="L12" s="10" t="s">
        <v>44</v>
      </c>
      <c r="M12" s="15" t="s">
        <v>45</v>
      </c>
    </row>
    <row r="13" spans="1:13">
      <c r="C13" s="8" t="s">
        <v>18</v>
      </c>
      <c r="D13" s="8" t="s">
        <v>38</v>
      </c>
      <c r="E13" s="8" t="s">
        <v>38</v>
      </c>
      <c r="F13" s="8" t="s">
        <v>158</v>
      </c>
      <c r="G13" s="8" t="s">
        <v>43</v>
      </c>
      <c r="H13" s="54" t="s">
        <v>1</v>
      </c>
      <c r="I13" s="8" t="s">
        <v>53</v>
      </c>
      <c r="J13" s="9">
        <v>42979</v>
      </c>
      <c r="K13" s="9" t="str">
        <f t="shared" ca="1" si="0"/>
        <v>2 an(s) 4 mois et 3 jour(s)</v>
      </c>
      <c r="L13" s="10" t="s">
        <v>44</v>
      </c>
      <c r="M13" s="15" t="s">
        <v>45</v>
      </c>
    </row>
    <row r="14" spans="1:13">
      <c r="C14" s="39" t="s">
        <v>101</v>
      </c>
      <c r="D14" s="39" t="s">
        <v>173</v>
      </c>
      <c r="E14" s="39" t="s">
        <v>86</v>
      </c>
      <c r="F14" s="39" t="s">
        <v>89</v>
      </c>
      <c r="G14" s="39" t="s">
        <v>91</v>
      </c>
      <c r="H14" s="55" t="s">
        <v>150</v>
      </c>
      <c r="I14" s="39" t="s">
        <v>153</v>
      </c>
      <c r="J14" s="40">
        <v>29221</v>
      </c>
      <c r="K14" s="40" t="str">
        <f t="shared" ref="K14:K16" ca="1" si="1">DATEDIF(J14,TODAY(),"y") &amp; " an(s) " &amp; DATEDIF(J14,TODAY(),"ym") &amp; " mois et " &amp; DATEDIF(J14,TODAY(),"md") &amp; " jour(s)"</f>
        <v>40 an(s) 0 mois et 3 jour(s)</v>
      </c>
      <c r="L14" s="41" t="s">
        <v>25</v>
      </c>
      <c r="M14" s="11" t="s">
        <v>58</v>
      </c>
    </row>
    <row r="15" spans="1:13">
      <c r="C15" s="39" t="s">
        <v>102</v>
      </c>
      <c r="D15" s="39" t="s">
        <v>173</v>
      </c>
      <c r="E15" s="39" t="s">
        <v>86</v>
      </c>
      <c r="F15" s="39" t="s">
        <v>90</v>
      </c>
      <c r="G15" s="39" t="s">
        <v>92</v>
      </c>
      <c r="H15" s="55" t="s">
        <v>150</v>
      </c>
      <c r="I15" s="39" t="s">
        <v>53</v>
      </c>
      <c r="J15" s="40">
        <v>29221</v>
      </c>
      <c r="K15" s="40" t="str">
        <f t="shared" ca="1" si="1"/>
        <v>40 an(s) 0 mois et 3 jour(s)</v>
      </c>
      <c r="L15" s="41" t="s">
        <v>25</v>
      </c>
      <c r="M15" s="11" t="s">
        <v>58</v>
      </c>
    </row>
    <row r="16" spans="1:13">
      <c r="C16" s="39" t="s">
        <v>103</v>
      </c>
      <c r="D16" s="39" t="s">
        <v>173</v>
      </c>
      <c r="E16" s="39" t="s">
        <v>86</v>
      </c>
      <c r="F16" s="39" t="s">
        <v>89</v>
      </c>
      <c r="G16" s="39" t="s">
        <v>93</v>
      </c>
      <c r="H16" s="55" t="s">
        <v>150</v>
      </c>
      <c r="I16" s="39" t="s">
        <v>53</v>
      </c>
      <c r="J16" s="40">
        <v>19360</v>
      </c>
      <c r="K16" s="40" t="str">
        <f t="shared" ca="1" si="1"/>
        <v>67 an(s) 0 mois et 3 jour(s)</v>
      </c>
      <c r="L16" s="41" t="s">
        <v>25</v>
      </c>
      <c r="M16" s="11" t="s">
        <v>58</v>
      </c>
    </row>
    <row r="17" spans="3:13">
      <c r="C17" s="39" t="s">
        <v>104</v>
      </c>
      <c r="D17" s="39" t="s">
        <v>173</v>
      </c>
      <c r="E17" s="39" t="s">
        <v>86</v>
      </c>
      <c r="F17" s="39" t="s">
        <v>89</v>
      </c>
      <c r="G17" s="39" t="s">
        <v>94</v>
      </c>
      <c r="H17" s="55" t="s">
        <v>150</v>
      </c>
      <c r="I17" s="39" t="s">
        <v>153</v>
      </c>
      <c r="J17" s="40">
        <v>37622</v>
      </c>
      <c r="K17" s="40" t="str">
        <f t="shared" ref="K17:K22" ca="1" si="2">DATEDIF(J17,TODAY(),"y") &amp; " an(s) " &amp; DATEDIF(J17,TODAY(),"ym") &amp; " mois et " &amp; DATEDIF(J17,TODAY(),"md") &amp; " jour(s)"</f>
        <v>17 an(s) 0 mois et 3 jour(s)</v>
      </c>
      <c r="L17" s="41" t="s">
        <v>25</v>
      </c>
      <c r="M17" s="11" t="s">
        <v>58</v>
      </c>
    </row>
    <row r="18" spans="3:13">
      <c r="C18" s="39" t="s">
        <v>105</v>
      </c>
      <c r="D18" s="39" t="s">
        <v>173</v>
      </c>
      <c r="E18" s="39" t="s">
        <v>86</v>
      </c>
      <c r="F18" s="39" t="s">
        <v>89</v>
      </c>
      <c r="G18" s="39" t="s">
        <v>95</v>
      </c>
      <c r="H18" s="55" t="s">
        <v>150</v>
      </c>
      <c r="I18" s="39" t="s">
        <v>53</v>
      </c>
      <c r="J18" s="40">
        <v>40909</v>
      </c>
      <c r="K18" s="40" t="str">
        <f t="shared" ca="1" si="2"/>
        <v>8 an(s) 0 mois et 3 jour(s)</v>
      </c>
      <c r="L18" s="41" t="s">
        <v>25</v>
      </c>
      <c r="M18" s="11" t="s">
        <v>58</v>
      </c>
    </row>
    <row r="19" spans="3:13">
      <c r="C19" s="39" t="s">
        <v>106</v>
      </c>
      <c r="D19" s="39" t="s">
        <v>173</v>
      </c>
      <c r="E19" s="39" t="s">
        <v>86</v>
      </c>
      <c r="F19" s="39" t="s">
        <v>89</v>
      </c>
      <c r="G19" s="39" t="s">
        <v>96</v>
      </c>
      <c r="H19" s="55" t="s">
        <v>150</v>
      </c>
      <c r="I19" s="39" t="s">
        <v>153</v>
      </c>
      <c r="J19" s="40">
        <v>42736</v>
      </c>
      <c r="K19" s="40" t="str">
        <f t="shared" ca="1" si="2"/>
        <v>3 an(s) 0 mois et 3 jour(s)</v>
      </c>
      <c r="L19" s="41" t="s">
        <v>25</v>
      </c>
      <c r="M19" s="11" t="s">
        <v>58</v>
      </c>
    </row>
    <row r="20" spans="3:13">
      <c r="C20" s="42" t="s">
        <v>97</v>
      </c>
      <c r="D20" s="42" t="s">
        <v>174</v>
      </c>
      <c r="E20" s="42" t="s">
        <v>87</v>
      </c>
      <c r="F20" s="42" t="s">
        <v>107</v>
      </c>
      <c r="G20" s="42" t="s">
        <v>109</v>
      </c>
      <c r="H20" s="56" t="s">
        <v>150</v>
      </c>
      <c r="I20" s="42" t="s">
        <v>153</v>
      </c>
      <c r="J20" s="43">
        <v>29221</v>
      </c>
      <c r="K20" s="43" t="str">
        <f t="shared" ca="1" si="2"/>
        <v>40 an(s) 0 mois et 3 jour(s)</v>
      </c>
      <c r="L20" s="44" t="s">
        <v>44</v>
      </c>
      <c r="M20" s="15" t="s">
        <v>45</v>
      </c>
    </row>
    <row r="21" spans="3:13">
      <c r="C21" s="42" t="s">
        <v>98</v>
      </c>
      <c r="D21" s="42" t="s">
        <v>174</v>
      </c>
      <c r="E21" s="42" t="s">
        <v>87</v>
      </c>
      <c r="F21" s="42" t="s">
        <v>108</v>
      </c>
      <c r="G21" s="42" t="s">
        <v>110</v>
      </c>
      <c r="H21" s="56" t="s">
        <v>150</v>
      </c>
      <c r="I21" s="42" t="s">
        <v>53</v>
      </c>
      <c r="J21" s="43">
        <v>29221</v>
      </c>
      <c r="K21" s="43" t="str">
        <f t="shared" ca="1" si="2"/>
        <v>40 an(s) 0 mois et 3 jour(s)</v>
      </c>
      <c r="L21" s="44" t="s">
        <v>44</v>
      </c>
      <c r="M21" s="15" t="s">
        <v>45</v>
      </c>
    </row>
    <row r="22" spans="3:13">
      <c r="C22" s="42" t="s">
        <v>99</v>
      </c>
      <c r="D22" s="42" t="s">
        <v>174</v>
      </c>
      <c r="E22" s="42" t="s">
        <v>87</v>
      </c>
      <c r="F22" s="42" t="s">
        <v>108</v>
      </c>
      <c r="G22" s="42" t="s">
        <v>111</v>
      </c>
      <c r="H22" s="56" t="s">
        <v>150</v>
      </c>
      <c r="I22" s="42" t="s">
        <v>53</v>
      </c>
      <c r="J22" s="43">
        <v>39448</v>
      </c>
      <c r="K22" s="43" t="str">
        <f t="shared" ca="1" si="2"/>
        <v>12 an(s) 0 mois et 3 jour(s)</v>
      </c>
      <c r="L22" s="44" t="s">
        <v>44</v>
      </c>
      <c r="M22" s="15" t="s">
        <v>45</v>
      </c>
    </row>
    <row r="23" spans="3:13">
      <c r="C23" s="42" t="s">
        <v>100</v>
      </c>
      <c r="D23" s="42" t="s">
        <v>174</v>
      </c>
      <c r="E23" s="42" t="s">
        <v>87</v>
      </c>
      <c r="F23" s="42" t="s">
        <v>108</v>
      </c>
      <c r="G23" s="42" t="s">
        <v>112</v>
      </c>
      <c r="H23" s="56" t="s">
        <v>150</v>
      </c>
      <c r="I23" s="42" t="s">
        <v>153</v>
      </c>
      <c r="J23" s="43">
        <v>40909</v>
      </c>
      <c r="K23" s="43" t="str">
        <f t="shared" ref="K23:K28" ca="1" si="3">DATEDIF(J23,TODAY(),"y") &amp; " an(s) " &amp; DATEDIF(J23,TODAY(),"ym") &amp; " mois et " &amp; DATEDIF(J23,TODAY(),"md") &amp; " jour(s)"</f>
        <v>8 an(s) 0 mois et 3 jour(s)</v>
      </c>
      <c r="L23" s="44" t="s">
        <v>44</v>
      </c>
      <c r="M23" s="15" t="s">
        <v>45</v>
      </c>
    </row>
    <row r="24" spans="3:13" ht="15" customHeight="1">
      <c r="C24" s="45" t="s">
        <v>113</v>
      </c>
      <c r="D24" s="45" t="s">
        <v>139</v>
      </c>
      <c r="E24" s="45" t="s">
        <v>139</v>
      </c>
      <c r="F24" s="45" t="s">
        <v>135</v>
      </c>
      <c r="G24" s="45" t="s">
        <v>140</v>
      </c>
      <c r="H24" s="57" t="s">
        <v>1</v>
      </c>
      <c r="I24" s="45" t="s">
        <v>153</v>
      </c>
      <c r="J24" s="46">
        <v>29221</v>
      </c>
      <c r="K24" s="46" t="str">
        <f t="shared" ca="1" si="3"/>
        <v>40 an(s) 0 mois et 3 jour(s)</v>
      </c>
      <c r="L24" s="47" t="s">
        <v>37</v>
      </c>
      <c r="M24" s="12" t="s">
        <v>59</v>
      </c>
    </row>
    <row r="25" spans="3:13">
      <c r="C25" s="45" t="s">
        <v>114</v>
      </c>
      <c r="D25" s="45" t="s">
        <v>139</v>
      </c>
      <c r="E25" s="45" t="s">
        <v>139</v>
      </c>
      <c r="F25" s="45" t="s">
        <v>135</v>
      </c>
      <c r="G25" s="45" t="s">
        <v>141</v>
      </c>
      <c r="H25" s="57" t="s">
        <v>1</v>
      </c>
      <c r="I25" s="45" t="s">
        <v>53</v>
      </c>
      <c r="J25" s="46">
        <v>43101</v>
      </c>
      <c r="K25" s="46" t="str">
        <f t="shared" ca="1" si="3"/>
        <v>2 an(s) 0 mois et 3 jour(s)</v>
      </c>
      <c r="L25" s="47" t="s">
        <v>37</v>
      </c>
      <c r="M25" s="12" t="s">
        <v>59</v>
      </c>
    </row>
    <row r="26" spans="3:13">
      <c r="C26" s="45" t="s">
        <v>115</v>
      </c>
      <c r="D26" s="45" t="s">
        <v>139</v>
      </c>
      <c r="E26" s="45" t="s">
        <v>139</v>
      </c>
      <c r="F26" s="45" t="s">
        <v>136</v>
      </c>
      <c r="G26" s="45" t="s">
        <v>142</v>
      </c>
      <c r="H26" s="57" t="s">
        <v>1</v>
      </c>
      <c r="I26" s="45" t="s">
        <v>53</v>
      </c>
      <c r="J26" s="46">
        <v>43252</v>
      </c>
      <c r="K26" s="46" t="str">
        <f t="shared" ca="1" si="3"/>
        <v>1 an(s) 7 mois et 3 jour(s)</v>
      </c>
      <c r="L26" s="47" t="s">
        <v>37</v>
      </c>
      <c r="M26" s="12" t="s">
        <v>59</v>
      </c>
    </row>
    <row r="27" spans="3:13">
      <c r="C27" s="45" t="s">
        <v>116</v>
      </c>
      <c r="D27" s="45" t="s">
        <v>139</v>
      </c>
      <c r="E27" s="45" t="s">
        <v>139</v>
      </c>
      <c r="F27" s="45" t="s">
        <v>137</v>
      </c>
      <c r="G27" s="45" t="s">
        <v>143</v>
      </c>
      <c r="H27" s="57" t="s">
        <v>1</v>
      </c>
      <c r="I27" s="45" t="s">
        <v>153</v>
      </c>
      <c r="J27" s="46">
        <v>43466</v>
      </c>
      <c r="K27" s="46" t="str">
        <f t="shared" ca="1" si="3"/>
        <v>1 an(s) 0 mois et 3 jour(s)</v>
      </c>
      <c r="L27" s="47" t="s">
        <v>37</v>
      </c>
      <c r="M27" s="12" t="s">
        <v>59</v>
      </c>
    </row>
    <row r="28" spans="3:13">
      <c r="C28" s="45" t="s">
        <v>117</v>
      </c>
      <c r="D28" s="45" t="s">
        <v>139</v>
      </c>
      <c r="E28" s="45" t="s">
        <v>139</v>
      </c>
      <c r="F28" s="45" t="s">
        <v>138</v>
      </c>
      <c r="G28" s="45" t="s">
        <v>144</v>
      </c>
      <c r="H28" s="57" t="s">
        <v>1</v>
      </c>
      <c r="I28" s="45" t="s">
        <v>53</v>
      </c>
      <c r="J28" s="46">
        <v>42979</v>
      </c>
      <c r="K28" s="46" t="str">
        <f t="shared" ca="1" si="3"/>
        <v>2 an(s) 4 mois et 3 jour(s)</v>
      </c>
      <c r="L28" s="47" t="s">
        <v>37</v>
      </c>
      <c r="M28" s="12" t="s">
        <v>59</v>
      </c>
    </row>
    <row r="29" spans="3:13">
      <c r="H29"/>
    </row>
    <row r="30" spans="3:13">
      <c r="H30"/>
    </row>
    <row r="31" spans="3:13">
      <c r="H31"/>
    </row>
    <row r="32" spans="3:13">
      <c r="H32"/>
    </row>
    <row r="33" spans="8:8">
      <c r="H33"/>
    </row>
    <row r="34" spans="8:8">
      <c r="H34"/>
    </row>
    <row r="35" spans="8:8">
      <c r="H35"/>
    </row>
    <row r="36" spans="8:8">
      <c r="H36"/>
    </row>
    <row r="37" spans="8:8">
      <c r="H37"/>
    </row>
    <row r="38" spans="8:8">
      <c r="H38"/>
    </row>
    <row r="39" spans="8:8">
      <c r="H39"/>
    </row>
    <row r="40" spans="8:8">
      <c r="H40"/>
    </row>
    <row r="41" spans="8:8">
      <c r="H41"/>
    </row>
    <row r="42" spans="8:8">
      <c r="H42"/>
    </row>
    <row r="43" spans="8:8">
      <c r="H43"/>
    </row>
    <row r="44" spans="8:8">
      <c r="H44"/>
    </row>
    <row r="45" spans="8:8">
      <c r="H45"/>
    </row>
    <row r="46" spans="8:8">
      <c r="H46"/>
    </row>
    <row r="47" spans="8:8">
      <c r="H47"/>
    </row>
    <row r="48" spans="8:8">
      <c r="H48"/>
    </row>
    <row r="49" spans="8:8">
      <c r="H49"/>
    </row>
    <row r="50" spans="8:8">
      <c r="H50"/>
    </row>
    <row r="51" spans="8:8">
      <c r="H51"/>
    </row>
    <row r="52" spans="8:8">
      <c r="H52"/>
    </row>
    <row r="53" spans="8:8">
      <c r="H53"/>
    </row>
    <row r="54" spans="8:8">
      <c r="H54"/>
    </row>
    <row r="55" spans="8:8">
      <c r="H55"/>
    </row>
    <row r="56" spans="8:8">
      <c r="H56"/>
    </row>
    <row r="57" spans="8:8">
      <c r="H57"/>
    </row>
    <row r="58" spans="8:8">
      <c r="H58"/>
    </row>
    <row r="59" spans="8:8">
      <c r="H59"/>
    </row>
    <row r="60" spans="8:8">
      <c r="H60"/>
    </row>
    <row r="61" spans="8:8">
      <c r="H61"/>
    </row>
    <row r="62" spans="8:8">
      <c r="H62"/>
    </row>
    <row r="63" spans="8:8">
      <c r="H63"/>
    </row>
    <row r="64" spans="8:8">
      <c r="H64"/>
    </row>
    <row r="65" spans="8:8">
      <c r="H65"/>
    </row>
    <row r="66" spans="8:8">
      <c r="H66"/>
    </row>
    <row r="67" spans="8:8">
      <c r="H67"/>
    </row>
    <row r="68" spans="8:8">
      <c r="H68"/>
    </row>
    <row r="69" spans="8:8">
      <c r="H69"/>
    </row>
    <row r="70" spans="8:8">
      <c r="H70"/>
    </row>
    <row r="71" spans="8:8">
      <c r="H71"/>
    </row>
    <row r="72" spans="8:8">
      <c r="H72"/>
    </row>
    <row r="73" spans="8:8">
      <c r="H73"/>
    </row>
    <row r="74" spans="8:8">
      <c r="H74"/>
    </row>
    <row r="75" spans="8:8">
      <c r="H75"/>
    </row>
    <row r="76" spans="8:8">
      <c r="H76"/>
    </row>
    <row r="77" spans="8:8">
      <c r="H77"/>
    </row>
    <row r="78" spans="8:8">
      <c r="H78"/>
    </row>
    <row r="79" spans="8:8">
      <c r="H79"/>
    </row>
    <row r="80" spans="8:8">
      <c r="H80"/>
    </row>
    <row r="81" spans="8:8">
      <c r="H81"/>
    </row>
    <row r="82" spans="8:8">
      <c r="H82"/>
    </row>
    <row r="83" spans="8:8">
      <c r="H83"/>
    </row>
    <row r="84" spans="8:8">
      <c r="H84"/>
    </row>
    <row r="85" spans="8:8">
      <c r="H85"/>
    </row>
    <row r="86" spans="8:8">
      <c r="H86"/>
    </row>
    <row r="87" spans="8:8">
      <c r="H87"/>
    </row>
    <row r="88" spans="8:8">
      <c r="H88"/>
    </row>
    <row r="89" spans="8:8">
      <c r="H89"/>
    </row>
    <row r="90" spans="8:8">
      <c r="H90"/>
    </row>
    <row r="91" spans="8:8">
      <c r="H91"/>
    </row>
    <row r="92" spans="8:8">
      <c r="H92"/>
    </row>
    <row r="93" spans="8:8">
      <c r="H93"/>
    </row>
    <row r="94" spans="8:8">
      <c r="H94"/>
    </row>
    <row r="95" spans="8:8">
      <c r="H95"/>
    </row>
    <row r="96" spans="8:8">
      <c r="H96"/>
    </row>
    <row r="97" spans="8:8">
      <c r="H97"/>
    </row>
    <row r="98" spans="8:8">
      <c r="H98"/>
    </row>
    <row r="99" spans="8:8">
      <c r="H99"/>
    </row>
    <row r="100" spans="8:8">
      <c r="H100"/>
    </row>
    <row r="101" spans="8:8">
      <c r="H101"/>
    </row>
    <row r="102" spans="8:8">
      <c r="H102"/>
    </row>
    <row r="103" spans="8:8">
      <c r="H103"/>
    </row>
    <row r="104" spans="8:8">
      <c r="H104"/>
    </row>
    <row r="105" spans="8:8">
      <c r="H105"/>
    </row>
    <row r="106" spans="8:8">
      <c r="H106"/>
    </row>
    <row r="107" spans="8:8">
      <c r="H107"/>
    </row>
    <row r="108" spans="8:8">
      <c r="H108"/>
    </row>
    <row r="109" spans="8:8">
      <c r="H109"/>
    </row>
    <row r="110" spans="8:8">
      <c r="H110"/>
    </row>
    <row r="111" spans="8:8">
      <c r="H111"/>
    </row>
    <row r="112" spans="8:8">
      <c r="H112"/>
    </row>
    <row r="113" spans="8:8">
      <c r="H113"/>
    </row>
    <row r="114" spans="8:8">
      <c r="H114"/>
    </row>
    <row r="115" spans="8:8">
      <c r="H115"/>
    </row>
    <row r="116" spans="8:8">
      <c r="H116"/>
    </row>
    <row r="117" spans="8:8">
      <c r="H117"/>
    </row>
    <row r="118" spans="8:8">
      <c r="H118"/>
    </row>
    <row r="119" spans="8:8">
      <c r="H119"/>
    </row>
    <row r="120" spans="8:8">
      <c r="H120"/>
    </row>
    <row r="121" spans="8:8">
      <c r="H121"/>
    </row>
    <row r="122" spans="8:8">
      <c r="H122"/>
    </row>
    <row r="123" spans="8:8">
      <c r="H123"/>
    </row>
    <row r="124" spans="8:8">
      <c r="H124"/>
    </row>
    <row r="125" spans="8:8">
      <c r="H125"/>
    </row>
    <row r="126" spans="8:8">
      <c r="H126"/>
    </row>
    <row r="127" spans="8:8">
      <c r="H127"/>
    </row>
    <row r="128" spans="8:8">
      <c r="H128"/>
    </row>
    <row r="129" spans="8:8">
      <c r="H129"/>
    </row>
    <row r="130" spans="8:8">
      <c r="H130"/>
    </row>
    <row r="131" spans="8:8">
      <c r="H131"/>
    </row>
    <row r="132" spans="8:8">
      <c r="H132"/>
    </row>
    <row r="133" spans="8:8">
      <c r="H133"/>
    </row>
    <row r="134" spans="8:8">
      <c r="H134"/>
    </row>
    <row r="135" spans="8:8">
      <c r="H135"/>
    </row>
    <row r="136" spans="8:8">
      <c r="H136"/>
    </row>
    <row r="137" spans="8:8">
      <c r="H137"/>
    </row>
    <row r="138" spans="8:8">
      <c r="H138"/>
    </row>
    <row r="139" spans="8:8">
      <c r="H139"/>
    </row>
    <row r="140" spans="8:8">
      <c r="H140"/>
    </row>
    <row r="141" spans="8:8">
      <c r="H141"/>
    </row>
    <row r="142" spans="8:8">
      <c r="H142"/>
    </row>
    <row r="143" spans="8:8">
      <c r="H143"/>
    </row>
    <row r="144" spans="8:8">
      <c r="H144"/>
    </row>
    <row r="145" spans="8:8">
      <c r="H145"/>
    </row>
    <row r="146" spans="8:8">
      <c r="H146"/>
    </row>
    <row r="147" spans="8:8">
      <c r="H147"/>
    </row>
    <row r="148" spans="8:8">
      <c r="H148"/>
    </row>
    <row r="149" spans="8:8">
      <c r="H149"/>
    </row>
    <row r="150" spans="8:8">
      <c r="H150"/>
    </row>
    <row r="151" spans="8:8">
      <c r="H151"/>
    </row>
    <row r="152" spans="8:8">
      <c r="H152"/>
    </row>
    <row r="153" spans="8:8">
      <c r="H153"/>
    </row>
    <row r="154" spans="8:8">
      <c r="H154"/>
    </row>
    <row r="155" spans="8:8">
      <c r="H155"/>
    </row>
    <row r="156" spans="8:8">
      <c r="H156"/>
    </row>
    <row r="157" spans="8:8">
      <c r="H157"/>
    </row>
    <row r="158" spans="8:8">
      <c r="H158"/>
    </row>
    <row r="159" spans="8:8">
      <c r="H159"/>
    </row>
    <row r="160" spans="8:8">
      <c r="H160"/>
    </row>
    <row r="161" spans="8:8">
      <c r="H161"/>
    </row>
    <row r="162" spans="8:8">
      <c r="H162"/>
    </row>
    <row r="163" spans="8:8">
      <c r="H163"/>
    </row>
    <row r="164" spans="8:8">
      <c r="H164"/>
    </row>
    <row r="165" spans="8:8">
      <c r="H165"/>
    </row>
    <row r="166" spans="8:8">
      <c r="H166"/>
    </row>
    <row r="167" spans="8:8">
      <c r="H167"/>
    </row>
    <row r="168" spans="8:8">
      <c r="H168"/>
    </row>
    <row r="169" spans="8:8">
      <c r="H169"/>
    </row>
    <row r="170" spans="8:8">
      <c r="H170"/>
    </row>
    <row r="171" spans="8:8">
      <c r="H171"/>
    </row>
    <row r="172" spans="8:8">
      <c r="H172"/>
    </row>
    <row r="173" spans="8:8">
      <c r="H173"/>
    </row>
    <row r="174" spans="8:8">
      <c r="H174"/>
    </row>
    <row r="175" spans="8:8">
      <c r="H175"/>
    </row>
    <row r="176" spans="8:8">
      <c r="H176"/>
    </row>
    <row r="177" spans="8:8">
      <c r="H177"/>
    </row>
    <row r="178" spans="8:8">
      <c r="H178"/>
    </row>
    <row r="179" spans="8:8">
      <c r="H179"/>
    </row>
    <row r="180" spans="8:8">
      <c r="H180"/>
    </row>
    <row r="181" spans="8:8">
      <c r="H181"/>
    </row>
    <row r="182" spans="8:8">
      <c r="H182"/>
    </row>
    <row r="183" spans="8:8">
      <c r="H183"/>
    </row>
    <row r="184" spans="8:8">
      <c r="H184"/>
    </row>
    <row r="185" spans="8:8">
      <c r="H185"/>
    </row>
    <row r="186" spans="8:8">
      <c r="H186"/>
    </row>
    <row r="187" spans="8:8">
      <c r="H187"/>
    </row>
    <row r="188" spans="8:8">
      <c r="H188"/>
    </row>
    <row r="189" spans="8:8">
      <c r="H189"/>
    </row>
    <row r="190" spans="8:8">
      <c r="H190"/>
    </row>
    <row r="191" spans="8:8">
      <c r="H191"/>
    </row>
    <row r="192" spans="8:8">
      <c r="H192"/>
    </row>
    <row r="193" spans="8:8">
      <c r="H193"/>
    </row>
    <row r="194" spans="8:8">
      <c r="H194"/>
    </row>
    <row r="195" spans="8:8">
      <c r="H195"/>
    </row>
    <row r="196" spans="8:8">
      <c r="H196"/>
    </row>
    <row r="197" spans="8:8">
      <c r="H197"/>
    </row>
    <row r="198" spans="8:8">
      <c r="H198"/>
    </row>
    <row r="199" spans="8:8">
      <c r="H199"/>
    </row>
    <row r="200" spans="8:8">
      <c r="H200"/>
    </row>
    <row r="201" spans="8:8">
      <c r="H201"/>
    </row>
    <row r="202" spans="8:8">
      <c r="H202"/>
    </row>
    <row r="203" spans="8:8">
      <c r="H203"/>
    </row>
    <row r="204" spans="8:8">
      <c r="H204"/>
    </row>
    <row r="205" spans="8:8">
      <c r="H205"/>
    </row>
    <row r="206" spans="8:8">
      <c r="H206"/>
    </row>
    <row r="207" spans="8:8">
      <c r="H207"/>
    </row>
    <row r="208" spans="8:8">
      <c r="H208"/>
    </row>
    <row r="209" spans="8:8">
      <c r="H209"/>
    </row>
    <row r="210" spans="8:8">
      <c r="H210"/>
    </row>
    <row r="211" spans="8:8">
      <c r="H211"/>
    </row>
    <row r="212" spans="8:8">
      <c r="H212"/>
    </row>
    <row r="213" spans="8:8">
      <c r="H213"/>
    </row>
    <row r="214" spans="8:8">
      <c r="H214"/>
    </row>
    <row r="215" spans="8:8">
      <c r="H215"/>
    </row>
    <row r="216" spans="8:8">
      <c r="H216"/>
    </row>
    <row r="217" spans="8:8">
      <c r="H217"/>
    </row>
    <row r="218" spans="8:8">
      <c r="H218"/>
    </row>
    <row r="219" spans="8:8">
      <c r="H219"/>
    </row>
    <row r="220" spans="8:8">
      <c r="H220"/>
    </row>
    <row r="221" spans="8:8">
      <c r="H221"/>
    </row>
    <row r="222" spans="8:8">
      <c r="H222"/>
    </row>
    <row r="223" spans="8:8" ht="14.25" customHeight="1">
      <c r="H223"/>
    </row>
    <row r="224" spans="8:8">
      <c r="H224"/>
    </row>
    <row r="225" spans="8:8">
      <c r="H225"/>
    </row>
    <row r="226" spans="8:8">
      <c r="H226"/>
    </row>
    <row r="227" spans="8:8">
      <c r="H227"/>
    </row>
    <row r="228" spans="8:8">
      <c r="H228"/>
    </row>
    <row r="229" spans="8:8">
      <c r="H229"/>
    </row>
    <row r="230" spans="8:8">
      <c r="H230"/>
    </row>
    <row r="231" spans="8:8">
      <c r="H231"/>
    </row>
    <row r="232" spans="8:8">
      <c r="H232"/>
    </row>
    <row r="233" spans="8:8">
      <c r="H233"/>
    </row>
    <row r="234" spans="8:8">
      <c r="H234"/>
    </row>
    <row r="235" spans="8:8">
      <c r="H235"/>
    </row>
    <row r="236" spans="8:8">
      <c r="H236"/>
    </row>
    <row r="237" spans="8:8">
      <c r="H237"/>
    </row>
    <row r="238" spans="8:8">
      <c r="H238"/>
    </row>
    <row r="239" spans="8:8">
      <c r="H239"/>
    </row>
    <row r="240" spans="8:8">
      <c r="H240"/>
    </row>
    <row r="241" spans="8:8">
      <c r="H241"/>
    </row>
    <row r="242" spans="8:8">
      <c r="H242"/>
    </row>
    <row r="243" spans="8:8">
      <c r="H243"/>
    </row>
    <row r="244" spans="8:8">
      <c r="H244"/>
    </row>
    <row r="245" spans="8:8">
      <c r="H245"/>
    </row>
    <row r="246" spans="8:8">
      <c r="H246"/>
    </row>
    <row r="247" spans="8:8">
      <c r="H247"/>
    </row>
    <row r="248" spans="8:8">
      <c r="H248"/>
    </row>
    <row r="249" spans="8:8">
      <c r="H249"/>
    </row>
    <row r="250" spans="8:8">
      <c r="H250"/>
    </row>
    <row r="251" spans="8:8">
      <c r="H251"/>
    </row>
    <row r="252" spans="8:8">
      <c r="H252"/>
    </row>
    <row r="253" spans="8:8">
      <c r="H253"/>
    </row>
    <row r="254" spans="8:8">
      <c r="H254"/>
    </row>
    <row r="255" spans="8:8">
      <c r="H255"/>
    </row>
    <row r="256" spans="8:8">
      <c r="H256"/>
    </row>
    <row r="257" spans="8:8">
      <c r="H257"/>
    </row>
    <row r="258" spans="8:8">
      <c r="H258"/>
    </row>
    <row r="259" spans="8:8">
      <c r="H259"/>
    </row>
    <row r="260" spans="8:8">
      <c r="H260"/>
    </row>
    <row r="261" spans="8:8">
      <c r="H261"/>
    </row>
    <row r="262" spans="8:8">
      <c r="H262"/>
    </row>
    <row r="263" spans="8:8">
      <c r="H263"/>
    </row>
    <row r="264" spans="8:8">
      <c r="H264"/>
    </row>
    <row r="265" spans="8:8">
      <c r="H265"/>
    </row>
    <row r="266" spans="8:8">
      <c r="H266"/>
    </row>
    <row r="267" spans="8:8">
      <c r="H267"/>
    </row>
    <row r="268" spans="8:8">
      <c r="H268"/>
    </row>
    <row r="269" spans="8:8">
      <c r="H269"/>
    </row>
    <row r="270" spans="8:8">
      <c r="H270"/>
    </row>
    <row r="271" spans="8:8">
      <c r="H271"/>
    </row>
    <row r="272" spans="8:8">
      <c r="H272"/>
    </row>
    <row r="273" spans="8:8">
      <c r="H273"/>
    </row>
    <row r="274" spans="8:8">
      <c r="H274"/>
    </row>
    <row r="275" spans="8:8">
      <c r="H275"/>
    </row>
    <row r="276" spans="8:8">
      <c r="H276"/>
    </row>
    <row r="277" spans="8:8">
      <c r="H277"/>
    </row>
    <row r="278" spans="8:8">
      <c r="H278"/>
    </row>
    <row r="279" spans="8:8">
      <c r="H279"/>
    </row>
    <row r="280" spans="8:8">
      <c r="H280"/>
    </row>
    <row r="281" spans="8:8">
      <c r="H281"/>
    </row>
    <row r="282" spans="8:8">
      <c r="H282"/>
    </row>
    <row r="283" spans="8:8">
      <c r="H283"/>
    </row>
    <row r="284" spans="8:8">
      <c r="H284"/>
    </row>
    <row r="285" spans="8:8">
      <c r="H285"/>
    </row>
    <row r="286" spans="8:8">
      <c r="H286"/>
    </row>
    <row r="287" spans="8:8">
      <c r="H287"/>
    </row>
    <row r="288" spans="8:8">
      <c r="H288"/>
    </row>
    <row r="289" spans="8:8">
      <c r="H289"/>
    </row>
    <row r="290" spans="8:8">
      <c r="H290"/>
    </row>
    <row r="291" spans="8:8">
      <c r="H291"/>
    </row>
    <row r="292" spans="8:8">
      <c r="H292"/>
    </row>
    <row r="293" spans="8:8">
      <c r="H293"/>
    </row>
    <row r="294" spans="8:8">
      <c r="H294"/>
    </row>
    <row r="295" spans="8:8">
      <c r="H295"/>
    </row>
    <row r="296" spans="8:8">
      <c r="H296"/>
    </row>
    <row r="297" spans="8:8">
      <c r="H297"/>
    </row>
    <row r="298" spans="8:8">
      <c r="H298"/>
    </row>
    <row r="299" spans="8:8">
      <c r="H299"/>
    </row>
    <row r="300" spans="8:8">
      <c r="H300"/>
    </row>
    <row r="301" spans="8:8">
      <c r="H301"/>
    </row>
    <row r="302" spans="8:8">
      <c r="H302"/>
    </row>
    <row r="303" spans="8:8">
      <c r="H303"/>
    </row>
    <row r="304" spans="8:8">
      <c r="H304"/>
    </row>
    <row r="305" spans="8:8">
      <c r="H305"/>
    </row>
    <row r="306" spans="8:8">
      <c r="H306"/>
    </row>
    <row r="307" spans="8:8">
      <c r="H307"/>
    </row>
    <row r="308" spans="8:8">
      <c r="H308"/>
    </row>
    <row r="309" spans="8:8">
      <c r="H309"/>
    </row>
    <row r="310" spans="8:8">
      <c r="H310"/>
    </row>
    <row r="311" spans="8:8">
      <c r="H311"/>
    </row>
    <row r="312" spans="8:8">
      <c r="H312"/>
    </row>
    <row r="313" spans="8:8">
      <c r="H313"/>
    </row>
    <row r="314" spans="8:8">
      <c r="H314"/>
    </row>
    <row r="315" spans="8:8">
      <c r="H315"/>
    </row>
    <row r="316" spans="8:8">
      <c r="H316"/>
    </row>
    <row r="317" spans="8:8">
      <c r="H317"/>
    </row>
    <row r="318" spans="8:8">
      <c r="H318"/>
    </row>
    <row r="319" spans="8:8">
      <c r="H319"/>
    </row>
    <row r="320" spans="8:8">
      <c r="H320"/>
    </row>
    <row r="321" spans="8:8">
      <c r="H321"/>
    </row>
    <row r="322" spans="8:8">
      <c r="H322"/>
    </row>
    <row r="323" spans="8:8">
      <c r="H323"/>
    </row>
    <row r="324" spans="8:8">
      <c r="H324"/>
    </row>
    <row r="325" spans="8:8">
      <c r="H325"/>
    </row>
    <row r="326" spans="8:8">
      <c r="H326"/>
    </row>
    <row r="327" spans="8:8">
      <c r="H327"/>
    </row>
    <row r="328" spans="8:8">
      <c r="H328"/>
    </row>
    <row r="329" spans="8:8">
      <c r="H329"/>
    </row>
    <row r="330" spans="8:8">
      <c r="H330"/>
    </row>
    <row r="331" spans="8:8">
      <c r="H331"/>
    </row>
    <row r="332" spans="8:8">
      <c r="H332"/>
    </row>
    <row r="333" spans="8:8">
      <c r="H333"/>
    </row>
    <row r="334" spans="8:8">
      <c r="H334"/>
    </row>
    <row r="335" spans="8:8">
      <c r="H335"/>
    </row>
    <row r="336" spans="8:8">
      <c r="H336"/>
    </row>
    <row r="337" spans="8:8">
      <c r="H337"/>
    </row>
    <row r="338" spans="8:8">
      <c r="H338"/>
    </row>
    <row r="339" spans="8:8">
      <c r="H339"/>
    </row>
    <row r="340" spans="8:8">
      <c r="H340"/>
    </row>
    <row r="341" spans="8:8">
      <c r="H341"/>
    </row>
    <row r="342" spans="8:8">
      <c r="H342"/>
    </row>
    <row r="343" spans="8:8">
      <c r="H343"/>
    </row>
    <row r="344" spans="8:8">
      <c r="H344"/>
    </row>
    <row r="345" spans="8:8">
      <c r="H345"/>
    </row>
    <row r="346" spans="8:8">
      <c r="H346"/>
    </row>
    <row r="347" spans="8:8">
      <c r="H347"/>
    </row>
    <row r="348" spans="8:8">
      <c r="H348"/>
    </row>
    <row r="349" spans="8:8">
      <c r="H349"/>
    </row>
    <row r="350" spans="8:8">
      <c r="H350"/>
    </row>
    <row r="351" spans="8:8">
      <c r="H351"/>
    </row>
    <row r="352" spans="8:8">
      <c r="H352"/>
    </row>
    <row r="353" spans="8:8">
      <c r="H353"/>
    </row>
    <row r="354" spans="8:8">
      <c r="H354"/>
    </row>
    <row r="355" spans="8:8">
      <c r="H355"/>
    </row>
    <row r="356" spans="8:8">
      <c r="H356"/>
    </row>
    <row r="357" spans="8:8">
      <c r="H357"/>
    </row>
    <row r="358" spans="8:8">
      <c r="H358"/>
    </row>
    <row r="359" spans="8:8">
      <c r="H359"/>
    </row>
    <row r="360" spans="8:8">
      <c r="H360"/>
    </row>
    <row r="361" spans="8:8">
      <c r="H361"/>
    </row>
    <row r="362" spans="8:8">
      <c r="H362"/>
    </row>
    <row r="363" spans="8:8">
      <c r="H363"/>
    </row>
    <row r="364" spans="8:8">
      <c r="H364"/>
    </row>
    <row r="365" spans="8:8">
      <c r="H365"/>
    </row>
    <row r="366" spans="8:8">
      <c r="H366"/>
    </row>
    <row r="367" spans="8:8">
      <c r="H367"/>
    </row>
    <row r="368" spans="8:8">
      <c r="H368"/>
    </row>
    <row r="369" spans="8:8">
      <c r="H369"/>
    </row>
    <row r="370" spans="8:8">
      <c r="H370"/>
    </row>
    <row r="371" spans="8:8">
      <c r="H371"/>
    </row>
    <row r="372" spans="8:8">
      <c r="H372"/>
    </row>
    <row r="373" spans="8:8">
      <c r="H373"/>
    </row>
    <row r="374" spans="8:8">
      <c r="H374"/>
    </row>
    <row r="375" spans="8:8">
      <c r="H375"/>
    </row>
    <row r="376" spans="8:8">
      <c r="H376"/>
    </row>
    <row r="377" spans="8:8">
      <c r="H377"/>
    </row>
    <row r="378" spans="8:8">
      <c r="H378"/>
    </row>
    <row r="379" spans="8:8">
      <c r="H379"/>
    </row>
    <row r="380" spans="8:8">
      <c r="H380"/>
    </row>
    <row r="381" spans="8:8">
      <c r="H381"/>
    </row>
    <row r="382" spans="8:8">
      <c r="H382"/>
    </row>
    <row r="383" spans="8:8">
      <c r="H383"/>
    </row>
    <row r="384" spans="8:8">
      <c r="H384"/>
    </row>
    <row r="385" spans="8:8">
      <c r="H385"/>
    </row>
    <row r="386" spans="8:8">
      <c r="H386"/>
    </row>
    <row r="387" spans="8:8">
      <c r="H387"/>
    </row>
    <row r="388" spans="8:8">
      <c r="H388"/>
    </row>
    <row r="389" spans="8:8">
      <c r="H389"/>
    </row>
    <row r="390" spans="8:8">
      <c r="H390"/>
    </row>
    <row r="391" spans="8:8">
      <c r="H391"/>
    </row>
    <row r="392" spans="8:8">
      <c r="H392"/>
    </row>
    <row r="393" spans="8:8">
      <c r="H393"/>
    </row>
    <row r="394" spans="8:8">
      <c r="H394"/>
    </row>
    <row r="395" spans="8:8">
      <c r="H395"/>
    </row>
    <row r="396" spans="8:8">
      <c r="H396"/>
    </row>
    <row r="397" spans="8:8">
      <c r="H397"/>
    </row>
    <row r="398" spans="8:8">
      <c r="H398"/>
    </row>
    <row r="399" spans="8:8">
      <c r="H399"/>
    </row>
    <row r="400" spans="8:8">
      <c r="H400"/>
    </row>
    <row r="401" spans="8:8">
      <c r="H401"/>
    </row>
    <row r="402" spans="8:8">
      <c r="H402"/>
    </row>
    <row r="403" spans="8:8">
      <c r="H403"/>
    </row>
    <row r="404" spans="8:8">
      <c r="H404"/>
    </row>
    <row r="405" spans="8:8">
      <c r="H405"/>
    </row>
    <row r="406" spans="8:8">
      <c r="H406"/>
    </row>
    <row r="407" spans="8:8">
      <c r="H407"/>
    </row>
    <row r="408" spans="8:8">
      <c r="H408"/>
    </row>
    <row r="409" spans="8:8">
      <c r="H409"/>
    </row>
    <row r="410" spans="8:8">
      <c r="H410"/>
    </row>
    <row r="411" spans="8:8">
      <c r="H411"/>
    </row>
    <row r="412" spans="8:8">
      <c r="H412"/>
    </row>
    <row r="413" spans="8:8">
      <c r="H413"/>
    </row>
    <row r="414" spans="8:8">
      <c r="H414"/>
    </row>
    <row r="415" spans="8:8">
      <c r="H415"/>
    </row>
    <row r="416" spans="8:8">
      <c r="H416"/>
    </row>
    <row r="417" spans="8:8">
      <c r="H417"/>
    </row>
    <row r="418" spans="8:8">
      <c r="H418"/>
    </row>
    <row r="419" spans="8:8">
      <c r="H419"/>
    </row>
    <row r="420" spans="8:8">
      <c r="H420"/>
    </row>
    <row r="421" spans="8:8">
      <c r="H421"/>
    </row>
    <row r="422" spans="8:8">
      <c r="H422"/>
    </row>
    <row r="423" spans="8:8">
      <c r="H423"/>
    </row>
    <row r="424" spans="8:8">
      <c r="H424"/>
    </row>
    <row r="425" spans="8:8">
      <c r="H425"/>
    </row>
    <row r="426" spans="8:8">
      <c r="H426"/>
    </row>
    <row r="427" spans="8:8">
      <c r="H427"/>
    </row>
    <row r="428" spans="8:8">
      <c r="H428"/>
    </row>
    <row r="429" spans="8:8">
      <c r="H429"/>
    </row>
    <row r="430" spans="8:8">
      <c r="H430"/>
    </row>
    <row r="431" spans="8:8">
      <c r="H431"/>
    </row>
    <row r="432" spans="8:8">
      <c r="H432"/>
    </row>
    <row r="433" spans="8:8">
      <c r="H433"/>
    </row>
    <row r="434" spans="8:8">
      <c r="H434"/>
    </row>
    <row r="435" spans="8:8">
      <c r="H435"/>
    </row>
    <row r="436" spans="8:8">
      <c r="H436"/>
    </row>
    <row r="437" spans="8:8">
      <c r="H437"/>
    </row>
    <row r="438" spans="8:8">
      <c r="H438"/>
    </row>
    <row r="439" spans="8:8">
      <c r="H439"/>
    </row>
    <row r="440" spans="8:8">
      <c r="H440"/>
    </row>
    <row r="441" spans="8:8">
      <c r="H441"/>
    </row>
    <row r="442" spans="8:8">
      <c r="H442"/>
    </row>
    <row r="443" spans="8:8">
      <c r="H443"/>
    </row>
    <row r="444" spans="8:8">
      <c r="H444"/>
    </row>
    <row r="445" spans="8:8">
      <c r="H445"/>
    </row>
    <row r="446" spans="8:8">
      <c r="H446"/>
    </row>
    <row r="447" spans="8:8">
      <c r="H447"/>
    </row>
    <row r="448" spans="8:8">
      <c r="H448"/>
    </row>
    <row r="449" spans="8:8">
      <c r="H449"/>
    </row>
    <row r="450" spans="8:8">
      <c r="H450"/>
    </row>
    <row r="451" spans="8:8">
      <c r="H451"/>
    </row>
    <row r="452" spans="8:8">
      <c r="H452"/>
    </row>
    <row r="453" spans="8:8">
      <c r="H453"/>
    </row>
    <row r="454" spans="8:8">
      <c r="H454"/>
    </row>
    <row r="455" spans="8:8">
      <c r="H455"/>
    </row>
    <row r="456" spans="8:8">
      <c r="H456"/>
    </row>
    <row r="457" spans="8:8">
      <c r="H457"/>
    </row>
    <row r="458" spans="8:8">
      <c r="H458"/>
    </row>
    <row r="459" spans="8:8">
      <c r="H459"/>
    </row>
    <row r="460" spans="8:8">
      <c r="H460"/>
    </row>
    <row r="461" spans="8:8">
      <c r="H461"/>
    </row>
    <row r="462" spans="8:8">
      <c r="H462"/>
    </row>
    <row r="463" spans="8:8">
      <c r="H463"/>
    </row>
    <row r="464" spans="8:8">
      <c r="H464"/>
    </row>
    <row r="465" spans="8:8">
      <c r="H465"/>
    </row>
    <row r="466" spans="8:8">
      <c r="H466"/>
    </row>
    <row r="467" spans="8:8">
      <c r="H467"/>
    </row>
    <row r="468" spans="8:8">
      <c r="H468"/>
    </row>
    <row r="469" spans="8:8">
      <c r="H469"/>
    </row>
    <row r="470" spans="8:8">
      <c r="H470"/>
    </row>
    <row r="471" spans="8:8">
      <c r="H471"/>
    </row>
    <row r="472" spans="8:8">
      <c r="H472"/>
    </row>
    <row r="473" spans="8:8">
      <c r="H473"/>
    </row>
    <row r="474" spans="8:8">
      <c r="H474"/>
    </row>
    <row r="475" spans="8:8">
      <c r="H475"/>
    </row>
    <row r="476" spans="8:8">
      <c r="H476"/>
    </row>
    <row r="477" spans="8:8">
      <c r="H477"/>
    </row>
    <row r="478" spans="8:8">
      <c r="H478"/>
    </row>
    <row r="479" spans="8:8">
      <c r="H479"/>
    </row>
    <row r="480" spans="8:8">
      <c r="H480"/>
    </row>
    <row r="481" spans="8:8">
      <c r="H481"/>
    </row>
    <row r="482" spans="8:8">
      <c r="H482"/>
    </row>
    <row r="483" spans="8:8">
      <c r="H483"/>
    </row>
    <row r="484" spans="8:8">
      <c r="H484"/>
    </row>
    <row r="485" spans="8:8">
      <c r="H485"/>
    </row>
    <row r="486" spans="8:8">
      <c r="H486"/>
    </row>
    <row r="487" spans="8:8">
      <c r="H487"/>
    </row>
    <row r="488" spans="8:8">
      <c r="H488"/>
    </row>
    <row r="489" spans="8:8">
      <c r="H489"/>
    </row>
    <row r="490" spans="8:8">
      <c r="H490"/>
    </row>
    <row r="491" spans="8:8">
      <c r="H491"/>
    </row>
    <row r="492" spans="8:8">
      <c r="H492"/>
    </row>
    <row r="493" spans="8:8">
      <c r="H493"/>
    </row>
    <row r="494" spans="8:8">
      <c r="H494"/>
    </row>
    <row r="495" spans="8:8">
      <c r="H495"/>
    </row>
    <row r="496" spans="8:8">
      <c r="H496"/>
    </row>
    <row r="497" spans="8:8">
      <c r="H497"/>
    </row>
    <row r="498" spans="8:8">
      <c r="H498"/>
    </row>
    <row r="499" spans="8:8">
      <c r="H499"/>
    </row>
    <row r="500" spans="8:8">
      <c r="H500"/>
    </row>
    <row r="501" spans="8:8">
      <c r="H501"/>
    </row>
    <row r="502" spans="8:8">
      <c r="H502"/>
    </row>
    <row r="503" spans="8:8">
      <c r="H503"/>
    </row>
    <row r="504" spans="8:8">
      <c r="H504"/>
    </row>
    <row r="505" spans="8:8">
      <c r="H505"/>
    </row>
    <row r="506" spans="8:8">
      <c r="H506"/>
    </row>
    <row r="507" spans="8:8">
      <c r="H507"/>
    </row>
    <row r="508" spans="8:8">
      <c r="H508"/>
    </row>
    <row r="509" spans="8:8">
      <c r="H509"/>
    </row>
    <row r="510" spans="8:8">
      <c r="H510"/>
    </row>
    <row r="511" spans="8:8">
      <c r="H511"/>
    </row>
    <row r="512" spans="8:8">
      <c r="H512"/>
    </row>
    <row r="513" spans="8:8">
      <c r="H513"/>
    </row>
    <row r="514" spans="8:8">
      <c r="H514"/>
    </row>
    <row r="515" spans="8:8">
      <c r="H515"/>
    </row>
    <row r="516" spans="8:8">
      <c r="H516"/>
    </row>
    <row r="517" spans="8:8">
      <c r="H517"/>
    </row>
    <row r="518" spans="8:8">
      <c r="H518"/>
    </row>
    <row r="519" spans="8:8">
      <c r="H519"/>
    </row>
    <row r="520" spans="8:8">
      <c r="H520"/>
    </row>
    <row r="521" spans="8:8">
      <c r="H521"/>
    </row>
    <row r="522" spans="8:8">
      <c r="H522"/>
    </row>
    <row r="523" spans="8:8">
      <c r="H523"/>
    </row>
    <row r="524" spans="8:8">
      <c r="H524"/>
    </row>
    <row r="525" spans="8:8">
      <c r="H525"/>
    </row>
    <row r="526" spans="8:8">
      <c r="H526"/>
    </row>
    <row r="527" spans="8:8">
      <c r="H527"/>
    </row>
    <row r="528" spans="8:8">
      <c r="H528"/>
    </row>
    <row r="529" spans="8:8">
      <c r="H529"/>
    </row>
    <row r="530" spans="8:8">
      <c r="H530"/>
    </row>
    <row r="531" spans="8:8">
      <c r="H531"/>
    </row>
    <row r="532" spans="8:8">
      <c r="H532"/>
    </row>
    <row r="533" spans="8:8">
      <c r="H533"/>
    </row>
    <row r="534" spans="8:8">
      <c r="H534"/>
    </row>
  </sheetData>
  <sortState ref="A2:T523">
    <sortCondition descending="1" ref="B2:B523"/>
    <sortCondition ref="E2:E523"/>
  </sortState>
  <conditionalFormatting sqref="M2:M28">
    <cfRule type="expression" dxfId="3" priority="51">
      <formula>MOD(ROW(),2)</formula>
    </cfRule>
    <cfRule type="expression" dxfId="2" priority="52">
      <formula>NOT(MOD(ROW(),2))</formula>
    </cfRule>
  </conditionalFormatting>
  <dataValidations count="4">
    <dataValidation type="list" errorStyle="information" showInputMessage="1" showErrorMessage="1" error="Commune ne faisant pas partie de la CDC" sqref="L319:L322 J118 L132:L133 L138">
      <formula1>"AMBLEVILLE,ANGEAC,CRITEUIL,GENSAC,GENTE,JUILLAC,LIGNIERES,ST FORT,ST PREUIL,SALLES D'ANGLES,SEGONZAC,VERRIERES"</formula1>
    </dataValidation>
    <dataValidation type="list" showInputMessage="1" showErrorMessage="1" errorTitle="ERREUR" error="Choisir une valeur de la liste !" sqref="M2:M527">
      <formula1>"Territoire 1, Territoire 2, Territoire 3"</formula1>
    </dataValidation>
    <dataValidation type="list" allowBlank="1" showInputMessage="1" showErrorMessage="1" sqref="I2:I28">
      <formula1>"masculin, féminin"</formula1>
    </dataValidation>
    <dataValidation type="list" showInputMessage="1" showErrorMessage="1" sqref="H2:H28">
      <formula1>"Famille,ASSMAT"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F10"/>
  <sheetViews>
    <sheetView tabSelected="1" workbookViewId="0">
      <selection activeCell="A3" sqref="A3:D3"/>
    </sheetView>
  </sheetViews>
  <sheetFormatPr baseColWidth="10" defaultColWidth="11.42578125" defaultRowHeight="15"/>
  <cols>
    <col min="1" max="1" width="18.85546875" bestFit="1" customWidth="1"/>
  </cols>
  <sheetData>
    <row r="2" spans="1:6">
      <c r="A2" t="s">
        <v>201</v>
      </c>
      <c r="B2" t="s">
        <v>200</v>
      </c>
      <c r="C2" t="s">
        <v>199</v>
      </c>
      <c r="D2" t="s">
        <v>202</v>
      </c>
    </row>
    <row r="3" spans="1:6">
      <c r="A3" t="s">
        <v>205</v>
      </c>
      <c r="D3">
        <v>0</v>
      </c>
      <c r="F3" s="22"/>
    </row>
    <row r="4" spans="1:6">
      <c r="A4" t="s">
        <v>204</v>
      </c>
      <c r="B4" s="22"/>
      <c r="C4" s="22"/>
      <c r="D4">
        <v>1</v>
      </c>
      <c r="F4" s="22"/>
    </row>
    <row r="5" spans="1:6">
      <c r="A5" t="s">
        <v>206</v>
      </c>
      <c r="B5" s="22"/>
      <c r="C5" s="22"/>
      <c r="D5">
        <v>2</v>
      </c>
      <c r="F5" s="22"/>
    </row>
    <row r="6" spans="1:6">
      <c r="A6" t="s">
        <v>207</v>
      </c>
      <c r="B6" s="22"/>
      <c r="C6" s="22"/>
      <c r="D6">
        <v>3</v>
      </c>
      <c r="F6" s="22"/>
    </row>
    <row r="7" spans="1:6">
      <c r="A7" t="s">
        <v>180</v>
      </c>
      <c r="B7" s="22">
        <v>43884</v>
      </c>
      <c r="C7" s="22">
        <v>43898</v>
      </c>
      <c r="D7">
        <v>4</v>
      </c>
    </row>
    <row r="8" spans="1:6">
      <c r="A8" t="s">
        <v>181</v>
      </c>
      <c r="B8" s="22">
        <v>43940</v>
      </c>
      <c r="C8" s="22">
        <v>43954</v>
      </c>
      <c r="D8">
        <v>5</v>
      </c>
    </row>
    <row r="9" spans="1:6">
      <c r="A9" t="s">
        <v>182</v>
      </c>
      <c r="B9" s="22">
        <v>44017</v>
      </c>
      <c r="C9" s="22">
        <v>44073</v>
      </c>
      <c r="D9">
        <v>6</v>
      </c>
    </row>
    <row r="10" spans="1:6">
      <c r="A10" t="s">
        <v>183</v>
      </c>
      <c r="B10" t="s">
        <v>184</v>
      </c>
      <c r="D10">
        <v>7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:S48"/>
  <sheetViews>
    <sheetView topLeftCell="A16" workbookViewId="0">
      <selection activeCell="L20" sqref="L20"/>
    </sheetView>
  </sheetViews>
  <sheetFormatPr baseColWidth="10" defaultColWidth="11.42578125" defaultRowHeight="15"/>
  <sheetData>
    <row r="1" spans="1:19">
      <c r="A1" s="78" t="s">
        <v>161</v>
      </c>
    </row>
    <row r="2" spans="1:19" ht="15.75" thickBot="1">
      <c r="A2" s="79" t="s">
        <v>165</v>
      </c>
    </row>
    <row r="3" spans="1:19" ht="48" thickBot="1">
      <c r="A3" s="16" t="s">
        <v>52</v>
      </c>
      <c r="B3" s="17" t="s">
        <v>168</v>
      </c>
      <c r="C3" s="17" t="s">
        <v>175</v>
      </c>
      <c r="D3" s="16" t="s">
        <v>19</v>
      </c>
      <c r="E3" s="16" t="s">
        <v>0</v>
      </c>
      <c r="F3" s="16" t="s">
        <v>20</v>
      </c>
      <c r="G3" s="17" t="s">
        <v>166</v>
      </c>
      <c r="H3" s="16" t="s">
        <v>49</v>
      </c>
      <c r="I3" s="16" t="s">
        <v>3</v>
      </c>
      <c r="J3" s="17" t="s">
        <v>167</v>
      </c>
      <c r="K3" s="18" t="s">
        <v>4</v>
      </c>
      <c r="L3" s="19" t="s">
        <v>46</v>
      </c>
      <c r="M3" s="21" t="s">
        <v>50</v>
      </c>
      <c r="N3" s="20" t="s">
        <v>51</v>
      </c>
      <c r="O3" s="36" t="s">
        <v>47</v>
      </c>
      <c r="P3" s="37" t="s">
        <v>48</v>
      </c>
      <c r="Q3" s="38" t="s">
        <v>82</v>
      </c>
      <c r="R3" s="16" t="s">
        <v>198</v>
      </c>
      <c r="S3" s="16" t="s">
        <v>203</v>
      </c>
    </row>
    <row r="4" spans="1:19">
      <c r="A4" s="48">
        <v>43838</v>
      </c>
      <c r="B4" t="s">
        <v>6</v>
      </c>
      <c r="C4" t="str">
        <f>VLOOKUP(B4,[0]!Tableau_cotisants,2,FALSE)</f>
        <v>F1</v>
      </c>
      <c r="D4" s="63" t="str">
        <f>VLOOKUP(B4,[0]!Tableau_cotisants,3,FALSE)</f>
        <v>FAMILLE 1</v>
      </c>
      <c r="E4" s="63" t="str">
        <f>VLOOKUP(B4,[0]!Tableau_cotisants,4,FALSE)</f>
        <v>Nom F1-1</v>
      </c>
      <c r="F4" s="63" t="str">
        <f>VLOOKUP(B4,[0]!Tableau_cotisants,5,FALSE)</f>
        <v>Prénom F1-1</v>
      </c>
      <c r="G4" s="63" t="str">
        <f>VLOOKUP(B4,[0]!Tableau_cotisants,6,FALSE)</f>
        <v>Famille</v>
      </c>
      <c r="H4" s="63" t="str">
        <f>VLOOKUP(B4,[0]!Tableau_cotisants,7,FALSE)</f>
        <v>masculin</v>
      </c>
      <c r="I4" s="9">
        <f>VLOOKUP(B4,[0]!Tableau_cotisants,8,FALSE)</f>
        <v>29221</v>
      </c>
      <c r="J4" s="64" t="str">
        <f>DATEDIF(I4,A4,"y") &amp; " an(s) " &amp; DATEDIF(I4,A4,"ym") &amp; " mois et " &amp; DATEDIF(I4,A4,"md") &amp; " jour(s)"</f>
        <v>40 an(s) 0 mois et 7 jour(s)</v>
      </c>
      <c r="K4" s="63" t="str">
        <f>VLOOKUP(B4,[0]!Tableau_cotisants,10,FALSE)</f>
        <v>Commune 1</v>
      </c>
      <c r="L4" s="63" t="str">
        <f>VLOOKUP(B4,[0]!Tableau_cotisants,11,FALSE)</f>
        <v>Territoire 1</v>
      </c>
      <c r="M4" t="s">
        <v>148</v>
      </c>
      <c r="N4" t="s">
        <v>152</v>
      </c>
      <c r="R4">
        <f>SUMPRODUCT((Table1[debut]&lt;=A4)*(Table1[fin]&gt;=A4)*Table1[indice])</f>
        <v>0</v>
      </c>
      <c r="S4" t="str">
        <f>INDEX(Table1[Column1],présences!R4+1)</f>
        <v>Mardi</v>
      </c>
    </row>
    <row r="5" spans="1:19">
      <c r="A5" s="48">
        <v>43838</v>
      </c>
      <c r="B5" t="s">
        <v>7</v>
      </c>
      <c r="C5" t="str">
        <f>VLOOKUP(B5,[0]!Tableau_cotisants,2,FALSE)</f>
        <v>F1</v>
      </c>
      <c r="D5" s="63" t="str">
        <f>VLOOKUP(B5,[0]!Tableau_cotisants,3,FALSE)</f>
        <v>FAMILLE 1</v>
      </c>
      <c r="E5" s="63" t="str">
        <f>VLOOKUP(B5,[0]!Tableau_cotisants,4,FALSE)</f>
        <v>Nom F1-2</v>
      </c>
      <c r="F5" s="63" t="str">
        <f>VLOOKUP(B5,[0]!Tableau_cotisants,5,FALSE)</f>
        <v>Prénom F1-2</v>
      </c>
      <c r="G5" s="63" t="str">
        <f>VLOOKUP(B5,[0]!Tableau_cotisants,6,FALSE)</f>
        <v>Famille</v>
      </c>
      <c r="H5" s="63" t="str">
        <f>VLOOKUP(B5,[0]!Tableau_cotisants,7,FALSE)</f>
        <v>féminin</v>
      </c>
      <c r="I5" s="9">
        <f>VLOOKUP(B5,[0]!Tableau_cotisants,8,FALSE)</f>
        <v>29221</v>
      </c>
      <c r="J5" s="64" t="str">
        <f t="shared" ref="J5:J6" si="0">DATEDIF(I5,A5,"y") &amp; " an(s) " &amp; DATEDIF(I5,A5,"ym") &amp; " mois et " &amp; DATEDIF(I5,A5,"md") &amp; " jour(s)"</f>
        <v>40 an(s) 0 mois et 7 jour(s)</v>
      </c>
      <c r="K5" s="63" t="str">
        <f>VLOOKUP(B5,[0]!Tableau_cotisants,10,FALSE)</f>
        <v>Commune 1</v>
      </c>
      <c r="L5" s="63" t="str">
        <f>VLOOKUP(B5,[0]!Tableau_cotisants,11,FALSE)</f>
        <v>Territoire 1</v>
      </c>
      <c r="M5" t="s">
        <v>148</v>
      </c>
      <c r="N5" t="s">
        <v>152</v>
      </c>
      <c r="R5">
        <f>SUMPRODUCT((Table1[debut]&lt;=A5)*(Table1[fin]&gt;=A5)*Table1[indice])</f>
        <v>0</v>
      </c>
      <c r="S5" t="str">
        <f>INDEX(Table1[Column1],présences!R5+1)</f>
        <v>Mardi</v>
      </c>
    </row>
    <row r="6" spans="1:19">
      <c r="A6" s="48">
        <v>43838</v>
      </c>
      <c r="B6" t="s">
        <v>8</v>
      </c>
      <c r="C6" t="str">
        <f>VLOOKUP(B6,[0]!Tableau_cotisants,2,FALSE)</f>
        <v>F1</v>
      </c>
      <c r="D6" s="63" t="str">
        <f>VLOOKUP(B6,[0]!Tableau_cotisants,3,FALSE)</f>
        <v>FAMILLE 1</v>
      </c>
      <c r="E6" s="63" t="str">
        <f>VLOOKUP(B6,[0]!Tableau_cotisants,4,FALSE)</f>
        <v>Nom F1-1</v>
      </c>
      <c r="F6" s="63" t="str">
        <f>VLOOKUP(B6,[0]!Tableau_cotisants,5,FALSE)</f>
        <v>Prénom F1-3</v>
      </c>
      <c r="G6" s="63" t="str">
        <f>VLOOKUP(B6,[0]!Tableau_cotisants,6,FALSE)</f>
        <v>Famille</v>
      </c>
      <c r="H6" s="63" t="str">
        <f>VLOOKUP(B6,[0]!Tableau_cotisants,7,FALSE)</f>
        <v>masculin</v>
      </c>
      <c r="I6" s="9">
        <f>VLOOKUP(B6,[0]!Tableau_cotisants,8,FALSE)</f>
        <v>43101</v>
      </c>
      <c r="J6" s="64" t="str">
        <f t="shared" si="0"/>
        <v>2 an(s) 0 mois et 7 jour(s)</v>
      </c>
      <c r="K6" s="63" t="str">
        <f>VLOOKUP(B6,[0]!Tableau_cotisants,10,FALSE)</f>
        <v>Commune 1</v>
      </c>
      <c r="L6" s="63" t="str">
        <f>VLOOKUP(B6,[0]!Tableau_cotisants,11,FALSE)</f>
        <v>Territoire 1</v>
      </c>
      <c r="M6" t="s">
        <v>148</v>
      </c>
      <c r="N6" t="s">
        <v>152</v>
      </c>
      <c r="R6">
        <f>SUMPRODUCT((Table1[debut]&lt;=A6)*(Table1[fin]&gt;=A6)*Table1[indice])</f>
        <v>0</v>
      </c>
      <c r="S6" t="str">
        <f>INDEX(Table1[Column1],présences!R6+1)</f>
        <v>Mardi</v>
      </c>
    </row>
    <row r="7" spans="1:19">
      <c r="A7" s="48">
        <v>43838</v>
      </c>
      <c r="B7" t="s">
        <v>9</v>
      </c>
      <c r="C7" t="str">
        <f>VLOOKUP(B7,[0]!Tableau_cotisants,2,FALSE)</f>
        <v>AM1</v>
      </c>
      <c r="D7" s="23" t="str">
        <f>VLOOKUP(B7,[0]!Tableau_cotisants,3,FALSE)</f>
        <v>AM1</v>
      </c>
      <c r="E7" s="23" t="str">
        <f>VLOOKUP(B7,[0]!Tableau_cotisants,4,FALSE)</f>
        <v>NOM AM1-1</v>
      </c>
      <c r="F7" s="23" t="str">
        <f>VLOOKUP(B7,[0]!Tableau_cotisants,5,FALSE)</f>
        <v>Prénom AM1-1</v>
      </c>
      <c r="G7" s="23" t="str">
        <f>VLOOKUP(B7,[0]!Tableau_cotisants,6,FALSE)</f>
        <v>ASSMAT</v>
      </c>
      <c r="H7" s="23" t="str">
        <f>VLOOKUP(B7,[0]!Tableau_cotisants,7,FALSE)</f>
        <v>masculin</v>
      </c>
      <c r="I7" s="24">
        <f>VLOOKUP(B7,[0]!Tableau_cotisants,8,FALSE)</f>
        <v>29221</v>
      </c>
      <c r="J7" s="96" t="str">
        <f t="shared" ref="J7" si="1">DATEDIF(I7,A7,"y") &amp; " an(s) " &amp; DATEDIF(I7,A7,"ym") &amp; " mois et " &amp; DATEDIF(I7,A7,"md") &amp; " jour(s)"</f>
        <v>40 an(s) 0 mois et 7 jour(s)</v>
      </c>
      <c r="K7" s="23" t="str">
        <f>VLOOKUP(B7,[0]!Tableau_cotisants,10,FALSE)</f>
        <v>Commune 3</v>
      </c>
      <c r="L7" s="23" t="str">
        <f>VLOOKUP(B7,[0]!Tableau_cotisants,11,FALSE)</f>
        <v>Territoire 3</v>
      </c>
      <c r="M7" t="s">
        <v>148</v>
      </c>
      <c r="N7" t="s">
        <v>152</v>
      </c>
      <c r="R7">
        <f>SUMPRODUCT((Table1[debut]&lt;=A7)*(Table1[fin]&gt;=A7)*Table1[indice])</f>
        <v>0</v>
      </c>
      <c r="S7" t="str">
        <f>INDEX(Table1[Column1],présences!R7+1)</f>
        <v>Mardi</v>
      </c>
    </row>
    <row r="8" spans="1:19">
      <c r="A8" s="48">
        <v>43838</v>
      </c>
      <c r="B8" t="s">
        <v>17</v>
      </c>
      <c r="C8" t="str">
        <f>VLOOKUP(B8,[0]!Tableau_cotisants,2,FALSE)</f>
        <v>AM1</v>
      </c>
      <c r="D8" s="23" t="str">
        <f>VLOOKUP(B8,[0]!Tableau_cotisants,3,FALSE)</f>
        <v>AM1</v>
      </c>
      <c r="E8" s="23" t="str">
        <f>VLOOKUP(B8,[0]!Tableau_cotisants,4,FALSE)</f>
        <v>NOM AM1-3</v>
      </c>
      <c r="F8" s="23" t="str">
        <f>VLOOKUP(B8,[0]!Tableau_cotisants,5,FALSE)</f>
        <v>Prénom AM1-3</v>
      </c>
      <c r="G8" s="23" t="str">
        <f>VLOOKUP(B8,[0]!Tableau_cotisants,6,FALSE)</f>
        <v>ASSMAT</v>
      </c>
      <c r="H8" s="23" t="str">
        <f>VLOOKUP(B8,[0]!Tableau_cotisants,7,FALSE)</f>
        <v>féminin</v>
      </c>
      <c r="I8" s="24">
        <f>VLOOKUP(B8,[0]!Tableau_cotisants,8,FALSE)</f>
        <v>43252</v>
      </c>
      <c r="J8" s="96" t="str">
        <f t="shared" ref="J8:J9" si="2">DATEDIF(I8,A8,"y") &amp; " an(s) " &amp; DATEDIF(I8,A8,"ym") &amp; " mois et " &amp; DATEDIF(I8,A8,"md") &amp; " jour(s)"</f>
        <v>1 an(s) 7 mois et 7 jour(s)</v>
      </c>
      <c r="K8" s="23" t="str">
        <f>VLOOKUP(B8,[0]!Tableau_cotisants,10,FALSE)</f>
        <v>Commune 3</v>
      </c>
      <c r="L8" s="23" t="str">
        <f>VLOOKUP(B8,[0]!Tableau_cotisants,11,FALSE)</f>
        <v>Territoire 3</v>
      </c>
      <c r="M8" t="s">
        <v>148</v>
      </c>
      <c r="N8" t="s">
        <v>152</v>
      </c>
      <c r="R8">
        <f>SUMPRODUCT((Table1[debut]&lt;=A8)*(Table1[fin]&gt;=A8)*Table1[indice])</f>
        <v>0</v>
      </c>
      <c r="S8" t="str">
        <f>INDEX(Table1[Column1],présences!R8+1)</f>
        <v>Mardi</v>
      </c>
    </row>
    <row r="9" spans="1:19">
      <c r="A9" s="48">
        <v>43838</v>
      </c>
      <c r="B9" t="s">
        <v>11</v>
      </c>
      <c r="C9" t="str">
        <f>VLOOKUP(B9,[0]!Tableau_cotisants,2,FALSE)</f>
        <v>AM1</v>
      </c>
      <c r="D9" s="23" t="str">
        <f>VLOOKUP(B9,[0]!Tableau_cotisants,3,FALSE)</f>
        <v>AM1</v>
      </c>
      <c r="E9" s="23" t="str">
        <f>VLOOKUP(B9,[0]!Tableau_cotisants,4,FALSE)</f>
        <v>NOM AM1-4</v>
      </c>
      <c r="F9" s="23" t="str">
        <f>VLOOKUP(B9,[0]!Tableau_cotisants,5,FALSE)</f>
        <v>Prénom AM1-4</v>
      </c>
      <c r="G9" s="23" t="str">
        <f>VLOOKUP(B9,[0]!Tableau_cotisants,6,FALSE)</f>
        <v>ASSMAT</v>
      </c>
      <c r="H9" s="23" t="str">
        <f>VLOOKUP(B9,[0]!Tableau_cotisants,7,FALSE)</f>
        <v>masculin</v>
      </c>
      <c r="I9" s="24">
        <f>VLOOKUP(B9,[0]!Tableau_cotisants,8,FALSE)</f>
        <v>43466</v>
      </c>
      <c r="J9" s="96" t="str">
        <f t="shared" si="2"/>
        <v>1 an(s) 0 mois et 7 jour(s)</v>
      </c>
      <c r="K9" s="23" t="str">
        <f>VLOOKUP(B9,[0]!Tableau_cotisants,10,FALSE)</f>
        <v>Commune 3</v>
      </c>
      <c r="L9" s="23" t="str">
        <f>VLOOKUP(B9,[0]!Tableau_cotisants,11,FALSE)</f>
        <v>Territoire 3</v>
      </c>
      <c r="M9" t="s">
        <v>148</v>
      </c>
      <c r="N9" t="s">
        <v>152</v>
      </c>
      <c r="R9">
        <f>SUMPRODUCT((Table1[debut]&lt;=A9)*(Table1[fin]&gt;=A9)*Table1[indice])</f>
        <v>0</v>
      </c>
      <c r="S9" t="str">
        <f>INDEX(Table1[Column1],présences!R9+1)</f>
        <v>Mardi</v>
      </c>
    </row>
    <row r="10" spans="1:19">
      <c r="A10" s="48">
        <v>43838</v>
      </c>
      <c r="B10" t="s">
        <v>101</v>
      </c>
      <c r="C10" t="str">
        <f>VLOOKUP(B10,[0]!Tableau_cotisants,2,FALSE)</f>
        <v>F3</v>
      </c>
      <c r="D10" s="63" t="str">
        <f>VLOOKUP(B10,[0]!Tableau_cotisants,3,FALSE)</f>
        <v>FAMILLE 3</v>
      </c>
      <c r="E10" s="63" t="str">
        <f>VLOOKUP(B10,[0]!Tableau_cotisants,4,FALSE)</f>
        <v>Nom F3-1</v>
      </c>
      <c r="F10" s="63" t="str">
        <f>VLOOKUP(B10,[0]!Tableau_cotisants,5,FALSE)</f>
        <v>Prénom F3-1</v>
      </c>
      <c r="G10" s="63" t="str">
        <f>VLOOKUP(B10,[0]!Tableau_cotisants,6,FALSE)</f>
        <v>Famille</v>
      </c>
      <c r="H10" s="63" t="str">
        <f>VLOOKUP(B10,[0]!Tableau_cotisants,7,FALSE)</f>
        <v>masculin</v>
      </c>
      <c r="I10" s="9">
        <f>VLOOKUP(B10,[0]!Tableau_cotisants,8,FALSE)</f>
        <v>29221</v>
      </c>
      <c r="J10" s="64" t="str">
        <f t="shared" ref="J10:J17" si="3">DATEDIF(I10,A10,"y") &amp; " an(s) " &amp; DATEDIF(I10,A10,"ym") &amp; " mois et " &amp; DATEDIF(I10,A10,"md") &amp; " jour(s)"</f>
        <v>40 an(s) 0 mois et 7 jour(s)</v>
      </c>
      <c r="K10" s="63" t="str">
        <f>VLOOKUP(B10,[0]!Tableau_cotisants,10,FALSE)</f>
        <v>Commune 1</v>
      </c>
      <c r="L10" s="63" t="str">
        <f>VLOOKUP(B10,[0]!Tableau_cotisants,11,FALSE)</f>
        <v>Territoire 1</v>
      </c>
      <c r="M10" t="s">
        <v>149</v>
      </c>
      <c r="N10" t="s">
        <v>151</v>
      </c>
      <c r="R10">
        <f>SUMPRODUCT((Table1[debut]&lt;=A10)*(Table1[fin]&gt;=A10)*Table1[indice])</f>
        <v>0</v>
      </c>
      <c r="S10" t="str">
        <f>INDEX(Table1[Column1],présences!R10+1)</f>
        <v>Mardi</v>
      </c>
    </row>
    <row r="11" spans="1:19">
      <c r="A11" s="48">
        <v>43838</v>
      </c>
      <c r="B11" t="s">
        <v>102</v>
      </c>
      <c r="C11" t="str">
        <f>VLOOKUP(B11,[0]!Tableau_cotisants,2,FALSE)</f>
        <v>F3</v>
      </c>
      <c r="D11" s="63" t="str">
        <f>VLOOKUP(B11,[0]!Tableau_cotisants,3,FALSE)</f>
        <v>FAMILLE 3</v>
      </c>
      <c r="E11" s="63" t="str">
        <f>VLOOKUP(B11,[0]!Tableau_cotisants,4,FALSE)</f>
        <v>Nom F3-2</v>
      </c>
      <c r="F11" s="63" t="str">
        <f>VLOOKUP(B11,[0]!Tableau_cotisants,5,FALSE)</f>
        <v>Prénom F3-2</v>
      </c>
      <c r="G11" s="63" t="str">
        <f>VLOOKUP(B11,[0]!Tableau_cotisants,6,FALSE)</f>
        <v>Famille</v>
      </c>
      <c r="H11" s="63" t="str">
        <f>VLOOKUP(B11,[0]!Tableau_cotisants,7,FALSE)</f>
        <v>féminin</v>
      </c>
      <c r="I11" s="9">
        <f>VLOOKUP(B11,[0]!Tableau_cotisants,8,FALSE)</f>
        <v>29221</v>
      </c>
      <c r="J11" s="64" t="str">
        <f t="shared" si="3"/>
        <v>40 an(s) 0 mois et 7 jour(s)</v>
      </c>
      <c r="K11" s="63" t="str">
        <f>VLOOKUP(B11,[0]!Tableau_cotisants,10,FALSE)</f>
        <v>Commune 1</v>
      </c>
      <c r="L11" s="63" t="str">
        <f>VLOOKUP(B11,[0]!Tableau_cotisants,11,FALSE)</f>
        <v>Territoire 1</v>
      </c>
      <c r="M11" t="s">
        <v>149</v>
      </c>
      <c r="N11" t="s">
        <v>151</v>
      </c>
      <c r="R11">
        <f>SUMPRODUCT((Table1[debut]&lt;=A11)*(Table1[fin]&gt;=A11)*Table1[indice])</f>
        <v>0</v>
      </c>
      <c r="S11" t="str">
        <f>INDEX(Table1[Column1],présences!R11+1)</f>
        <v>Mardi</v>
      </c>
    </row>
    <row r="12" spans="1:19">
      <c r="A12" s="48">
        <v>43852</v>
      </c>
      <c r="B12" s="86" t="s">
        <v>6</v>
      </c>
      <c r="C12" t="str">
        <f>VLOOKUP(B12,[0]!Tableau_cotisants,2,FALSE)</f>
        <v>F1</v>
      </c>
      <c r="D12" s="63" t="str">
        <f>VLOOKUP(B12,[0]!Tableau_cotisants,3,FALSE)</f>
        <v>FAMILLE 1</v>
      </c>
      <c r="E12" s="63" t="str">
        <f>VLOOKUP(B12,[0]!Tableau_cotisants,4,FALSE)</f>
        <v>Nom F1-1</v>
      </c>
      <c r="F12" s="63" t="str">
        <f>VLOOKUP(B12,[0]!Tableau_cotisants,5,FALSE)</f>
        <v>Prénom F1-1</v>
      </c>
      <c r="G12" s="63" t="str">
        <f>VLOOKUP(B12,[0]!Tableau_cotisants,6,FALSE)</f>
        <v>Famille</v>
      </c>
      <c r="H12" s="63" t="str">
        <f>VLOOKUP(B12,[0]!Tableau_cotisants,7,FALSE)</f>
        <v>masculin</v>
      </c>
      <c r="I12" s="9">
        <f>VLOOKUP(B12,[0]!Tableau_cotisants,8,FALSE)</f>
        <v>29221</v>
      </c>
      <c r="J12" s="64" t="str">
        <f t="shared" si="3"/>
        <v>40 an(s) 0 mois et 21 jour(s)</v>
      </c>
      <c r="K12" s="63" t="str">
        <f>VLOOKUP(B12,[0]!Tableau_cotisants,10,FALSE)</f>
        <v>Commune 1</v>
      </c>
      <c r="L12" s="63" t="str">
        <f>VLOOKUP(B12,[0]!Tableau_cotisants,11,FALSE)</f>
        <v>Territoire 1</v>
      </c>
      <c r="M12" t="s">
        <v>149</v>
      </c>
      <c r="N12" t="s">
        <v>151</v>
      </c>
      <c r="R12">
        <f>SUMPRODUCT((Table1[debut]&lt;=A12)*(Table1[fin]&gt;=A12)*Table1[indice])</f>
        <v>0</v>
      </c>
      <c r="S12" t="str">
        <f>INDEX(Table1[Column1],présences!R12+1)</f>
        <v>Mardi</v>
      </c>
    </row>
    <row r="13" spans="1:19">
      <c r="A13" s="48">
        <v>43852</v>
      </c>
      <c r="B13" s="86" t="s">
        <v>7</v>
      </c>
      <c r="C13" t="str">
        <f>VLOOKUP(B13,[0]!Tableau_cotisants,2,FALSE)</f>
        <v>F1</v>
      </c>
      <c r="D13" s="63" t="str">
        <f>VLOOKUP(B13,[0]!Tableau_cotisants,3,FALSE)</f>
        <v>FAMILLE 1</v>
      </c>
      <c r="E13" s="63" t="str">
        <f>VLOOKUP(B13,[0]!Tableau_cotisants,4,FALSE)</f>
        <v>Nom F1-2</v>
      </c>
      <c r="F13" s="63" t="str">
        <f>VLOOKUP(B13,[0]!Tableau_cotisants,5,FALSE)</f>
        <v>Prénom F1-2</v>
      </c>
      <c r="G13" s="63" t="str">
        <f>VLOOKUP(B13,[0]!Tableau_cotisants,6,FALSE)</f>
        <v>Famille</v>
      </c>
      <c r="H13" s="63" t="str">
        <f>VLOOKUP(B13,[0]!Tableau_cotisants,7,FALSE)</f>
        <v>féminin</v>
      </c>
      <c r="I13" s="9">
        <f>VLOOKUP(B13,[0]!Tableau_cotisants,8,FALSE)</f>
        <v>29221</v>
      </c>
      <c r="J13" s="64" t="str">
        <f t="shared" si="3"/>
        <v>40 an(s) 0 mois et 21 jour(s)</v>
      </c>
      <c r="K13" s="63" t="str">
        <f>VLOOKUP(B13,[0]!Tableau_cotisants,10,FALSE)</f>
        <v>Commune 1</v>
      </c>
      <c r="L13" s="63" t="str">
        <f>VLOOKUP(B13,[0]!Tableau_cotisants,11,FALSE)</f>
        <v>Territoire 1</v>
      </c>
      <c r="M13" t="s">
        <v>149</v>
      </c>
      <c r="N13" t="s">
        <v>151</v>
      </c>
      <c r="R13">
        <f>SUMPRODUCT((Table1[debut]&lt;=A13)*(Table1[fin]&gt;=A13)*Table1[indice])</f>
        <v>0</v>
      </c>
      <c r="S13" t="str">
        <f>INDEX(Table1[Column1],présences!R13+1)</f>
        <v>Mardi</v>
      </c>
    </row>
    <row r="14" spans="1:19">
      <c r="A14" s="48">
        <v>43852</v>
      </c>
      <c r="B14" s="86" t="s">
        <v>8</v>
      </c>
      <c r="C14" t="str">
        <f>VLOOKUP(B14,[0]!Tableau_cotisants,2,FALSE)</f>
        <v>F1</v>
      </c>
      <c r="D14" s="63" t="str">
        <f>VLOOKUP(B14,[0]!Tableau_cotisants,3,FALSE)</f>
        <v>FAMILLE 1</v>
      </c>
      <c r="E14" s="63" t="str">
        <f>VLOOKUP(B14,[0]!Tableau_cotisants,4,FALSE)</f>
        <v>Nom F1-1</v>
      </c>
      <c r="F14" s="63" t="str">
        <f>VLOOKUP(B14,[0]!Tableau_cotisants,5,FALSE)</f>
        <v>Prénom F1-3</v>
      </c>
      <c r="G14" s="63" t="str">
        <f>VLOOKUP(B14,[0]!Tableau_cotisants,6,FALSE)</f>
        <v>Famille</v>
      </c>
      <c r="H14" s="63" t="str">
        <f>VLOOKUP(B14,[0]!Tableau_cotisants,7,FALSE)</f>
        <v>masculin</v>
      </c>
      <c r="I14" s="9">
        <f>VLOOKUP(B14,[0]!Tableau_cotisants,8,FALSE)</f>
        <v>43101</v>
      </c>
      <c r="J14" s="64" t="str">
        <f t="shared" si="3"/>
        <v>2 an(s) 0 mois et 21 jour(s)</v>
      </c>
      <c r="K14" s="63" t="str">
        <f>VLOOKUP(B14,[0]!Tableau_cotisants,10,FALSE)</f>
        <v>Commune 1</v>
      </c>
      <c r="L14" s="63" t="str">
        <f>VLOOKUP(B14,[0]!Tableau_cotisants,11,FALSE)</f>
        <v>Territoire 1</v>
      </c>
      <c r="M14" t="s">
        <v>149</v>
      </c>
      <c r="N14" t="s">
        <v>151</v>
      </c>
      <c r="R14">
        <f>SUMPRODUCT((Table1[debut]&lt;=A14)*(Table1[fin]&gt;=A14)*Table1[indice])</f>
        <v>0</v>
      </c>
      <c r="S14" t="str">
        <f>INDEX(Table1[Column1],présences!R14+1)</f>
        <v>Mardi</v>
      </c>
    </row>
    <row r="15" spans="1:19">
      <c r="A15" s="48">
        <v>43852</v>
      </c>
      <c r="B15" t="s">
        <v>118</v>
      </c>
      <c r="C15" t="str">
        <f>VLOOKUP(B15,[0]!Tableau_cotisants,2,FALSE)</f>
        <v>AM2</v>
      </c>
      <c r="D15" s="23" t="str">
        <f>VLOOKUP(B15,[0]!Tableau_cotisants,3,FALSE)</f>
        <v>AM2</v>
      </c>
      <c r="E15" s="23" t="str">
        <f>VLOOKUP(B15,[0]!Tableau_cotisants,4,FALSE)</f>
        <v>NOM AM2-1</v>
      </c>
      <c r="F15" s="23" t="str">
        <f>VLOOKUP(B15,[0]!Tableau_cotisants,5,FALSE)</f>
        <v>Prénom AM2-1</v>
      </c>
      <c r="G15" s="23" t="str">
        <f>VLOOKUP(B15,[0]!Tableau_cotisants,6,FALSE)</f>
        <v>ASSMAT</v>
      </c>
      <c r="H15" s="23" t="str">
        <f>VLOOKUP(B15,[0]!Tableau_cotisants,7,FALSE)</f>
        <v>masculin</v>
      </c>
      <c r="I15" s="24">
        <f>VLOOKUP(B15,[0]!Tableau_cotisants,8,FALSE)</f>
        <v>29221</v>
      </c>
      <c r="J15" s="96" t="str">
        <f t="shared" si="3"/>
        <v>40 an(s) 0 mois et 21 jour(s)</v>
      </c>
      <c r="K15" s="23" t="str">
        <f>VLOOKUP(B15,[0]!Tableau_cotisants,10,FALSE)</f>
        <v>Commune 2</v>
      </c>
      <c r="L15" s="23" t="str">
        <f>VLOOKUP(B15,[0]!Tableau_cotisants,11,FALSE)</f>
        <v>Territoire 2</v>
      </c>
      <c r="M15" t="s">
        <v>149</v>
      </c>
      <c r="N15" t="s">
        <v>121</v>
      </c>
      <c r="R15">
        <f>SUMPRODUCT((Table1[debut]&lt;=A15)*(Table1[fin]&gt;=A15)*Table1[indice])</f>
        <v>0</v>
      </c>
      <c r="S15" t="str">
        <f>INDEX(Table1[Column1],présences!R15+1)</f>
        <v>Mardi</v>
      </c>
    </row>
    <row r="16" spans="1:19">
      <c r="A16" s="48">
        <v>43852</v>
      </c>
      <c r="B16" t="s">
        <v>119</v>
      </c>
      <c r="C16" t="str">
        <f>VLOOKUP(B16,[0]!Tableau_cotisants,2,FALSE)</f>
        <v>AM2</v>
      </c>
      <c r="D16" s="23" t="str">
        <f>VLOOKUP(B16,[0]!Tableau_cotisants,3,FALSE)</f>
        <v>AM2</v>
      </c>
      <c r="E16" s="23" t="str">
        <f>VLOOKUP(B16,[0]!Tableau_cotisants,4,FALSE)</f>
        <v>NOM AM2-1</v>
      </c>
      <c r="F16" s="23" t="str">
        <f>VLOOKUP(B16,[0]!Tableau_cotisants,5,FALSE)</f>
        <v>Prénom AM2-2</v>
      </c>
      <c r="G16" s="23" t="str">
        <f>VLOOKUP(B16,[0]!Tableau_cotisants,6,FALSE)</f>
        <v>ASSMAT</v>
      </c>
      <c r="H16" s="23" t="str">
        <f>VLOOKUP(B16,[0]!Tableau_cotisants,7,FALSE)</f>
        <v>féminin</v>
      </c>
      <c r="I16" s="24">
        <f>VLOOKUP(B16,[0]!Tableau_cotisants,8,FALSE)</f>
        <v>43101</v>
      </c>
      <c r="J16" s="96" t="str">
        <f t="shared" si="3"/>
        <v>2 an(s) 0 mois et 21 jour(s)</v>
      </c>
      <c r="K16" s="23" t="str">
        <f>VLOOKUP(B16,[0]!Tableau_cotisants,10,FALSE)</f>
        <v>Commune 2</v>
      </c>
      <c r="L16" s="23" t="str">
        <f>VLOOKUP(B16,[0]!Tableau_cotisants,11,FALSE)</f>
        <v>Territoire 2</v>
      </c>
      <c r="M16" t="s">
        <v>149</v>
      </c>
      <c r="N16" t="s">
        <v>121</v>
      </c>
      <c r="R16">
        <f>SUMPRODUCT((Table1[debut]&lt;=A16)*(Table1[fin]&gt;=A16)*Table1[indice])</f>
        <v>0</v>
      </c>
      <c r="S16" t="str">
        <f>INDEX(Table1[Column1],présences!R16+1)</f>
        <v>Mardi</v>
      </c>
    </row>
    <row r="17" spans="1:19">
      <c r="A17" s="48">
        <v>43852</v>
      </c>
      <c r="B17" t="s">
        <v>120</v>
      </c>
      <c r="C17" t="str">
        <f>VLOOKUP(B17,[0]!Tableau_cotisants,2,FALSE)</f>
        <v>AM2</v>
      </c>
      <c r="D17" s="23" t="str">
        <f>VLOOKUP(B17,[0]!Tableau_cotisants,3,FALSE)</f>
        <v>AM2</v>
      </c>
      <c r="E17" s="23" t="str">
        <f>VLOOKUP(B17,[0]!Tableau_cotisants,4,FALSE)</f>
        <v>NOM AM2-3</v>
      </c>
      <c r="F17" s="23" t="str">
        <f>VLOOKUP(B17,[0]!Tableau_cotisants,5,FALSE)</f>
        <v>Prénom AM2-3</v>
      </c>
      <c r="G17" s="23" t="str">
        <f>VLOOKUP(B17,[0]!Tableau_cotisants,6,FALSE)</f>
        <v>ASSMAT</v>
      </c>
      <c r="H17" s="23" t="str">
        <f>VLOOKUP(B17,[0]!Tableau_cotisants,7,FALSE)</f>
        <v>féminin</v>
      </c>
      <c r="I17" s="24">
        <f>VLOOKUP(B17,[0]!Tableau_cotisants,8,FALSE)</f>
        <v>43252</v>
      </c>
      <c r="J17" s="96" t="str">
        <f t="shared" si="3"/>
        <v>1 an(s) 7 mois et 21 jour(s)</v>
      </c>
      <c r="K17" s="23" t="str">
        <f>VLOOKUP(B17,[0]!Tableau_cotisants,10,FALSE)</f>
        <v>Commune 2</v>
      </c>
      <c r="L17" s="23" t="str">
        <f>VLOOKUP(B17,[0]!Tableau_cotisants,11,FALSE)</f>
        <v>Territoire 2</v>
      </c>
      <c r="M17" t="s">
        <v>149</v>
      </c>
      <c r="N17" t="s">
        <v>121</v>
      </c>
      <c r="R17">
        <f>SUMPRODUCT((Table1[debut]&lt;=A17)*(Table1[fin]&gt;=A17)*Table1[indice])</f>
        <v>0</v>
      </c>
      <c r="S17" t="str">
        <f>INDEX(Table1[Column1],présences!R17+1)</f>
        <v>Mardi</v>
      </c>
    </row>
    <row r="18" spans="1:19">
      <c r="A18" s="48">
        <v>43852</v>
      </c>
      <c r="B18" s="87" t="s">
        <v>164</v>
      </c>
      <c r="C18" s="87" t="s">
        <v>164</v>
      </c>
      <c r="D18" t="s">
        <v>128</v>
      </c>
      <c r="E18" t="s">
        <v>133</v>
      </c>
      <c r="F18" t="s">
        <v>129</v>
      </c>
      <c r="G18" t="s">
        <v>150</v>
      </c>
      <c r="H18" t="s">
        <v>153</v>
      </c>
      <c r="I18" s="22">
        <v>31413</v>
      </c>
      <c r="J18" s="25" t="str">
        <f>DATEDIF(I18,A18,"y") &amp; " an(s) " &amp; DATEDIF(I18,A18,"ym") &amp; " mois et " &amp; DATEDIF(I18,A18,"md") &amp; " jour(s)"</f>
        <v>34 an(s) 0 mois et 21 jour(s)</v>
      </c>
      <c r="K18" t="s">
        <v>25</v>
      </c>
      <c r="L18" t="s">
        <v>58</v>
      </c>
      <c r="M18" t="s">
        <v>149</v>
      </c>
      <c r="N18" t="s">
        <v>152</v>
      </c>
      <c r="P18" t="s">
        <v>127</v>
      </c>
      <c r="R18">
        <f>SUMPRODUCT((Table1[debut]&lt;=A18)*(Table1[fin]&gt;=A18)*Table1[indice])</f>
        <v>0</v>
      </c>
      <c r="S18" t="str">
        <f>INDEX(Table1[Column1],présences!R18+1)</f>
        <v>Mardi</v>
      </c>
    </row>
    <row r="19" spans="1:19">
      <c r="A19" s="48">
        <v>43852</v>
      </c>
      <c r="B19" s="87" t="s">
        <v>164</v>
      </c>
      <c r="C19" s="87" t="s">
        <v>164</v>
      </c>
      <c r="D19" t="s">
        <v>128</v>
      </c>
      <c r="E19" t="s">
        <v>134</v>
      </c>
      <c r="F19" t="s">
        <v>130</v>
      </c>
      <c r="G19" t="s">
        <v>150</v>
      </c>
      <c r="H19" t="s">
        <v>53</v>
      </c>
      <c r="I19" s="22">
        <v>43101</v>
      </c>
      <c r="J19" s="25" t="str">
        <f>DATEDIF(I19,A19,"y") &amp; " an(s) " &amp; DATEDIF(I19,A19,"ym") &amp; " mois et " &amp; DATEDIF(I19,A19,"md") &amp; " jour(s)"</f>
        <v>2 an(s) 0 mois et 21 jour(s)</v>
      </c>
      <c r="K19" t="s">
        <v>25</v>
      </c>
      <c r="L19" t="s">
        <v>58</v>
      </c>
      <c r="M19" t="s">
        <v>149</v>
      </c>
      <c r="N19" t="s">
        <v>152</v>
      </c>
      <c r="P19" t="s">
        <v>127</v>
      </c>
      <c r="R19">
        <f>SUMPRODUCT((Table1[debut]&lt;=A19)*(Table1[fin]&gt;=A19)*Table1[indice])</f>
        <v>0</v>
      </c>
      <c r="S19" t="str">
        <f>INDEX(Table1[Column1],présences!R19+1)</f>
        <v>Mardi</v>
      </c>
    </row>
    <row r="20" spans="1:19">
      <c r="A20" s="49">
        <v>43887</v>
      </c>
      <c r="B20" t="s">
        <v>12</v>
      </c>
      <c r="C20" t="str">
        <f>VLOOKUP(B20,[0]!Tableau_cotisants,2,FALSE)</f>
        <v>F2</v>
      </c>
      <c r="D20" s="63" t="str">
        <f>VLOOKUP(B20,[0]!Tableau_cotisants,3,FALSE)</f>
        <v>FAMILLE 2</v>
      </c>
      <c r="E20" s="63" t="str">
        <f>VLOOKUP(B20,[0]!Tableau_cotisants,4,FALSE)</f>
        <v>Nom F2-1</v>
      </c>
      <c r="F20" s="63" t="str">
        <f>VLOOKUP(B20,[0]!Tableau_cotisants,5,FALSE)</f>
        <v>Prénom F2-1</v>
      </c>
      <c r="G20" s="63" t="str">
        <f>VLOOKUP(B20,[0]!Tableau_cotisants,6,FALSE)</f>
        <v>Famille</v>
      </c>
      <c r="H20" s="63" t="str">
        <f>VLOOKUP(B20,[0]!Tableau_cotisants,7,FALSE)</f>
        <v>masculin</v>
      </c>
      <c r="I20" s="9">
        <f>VLOOKUP(B20,[0]!Tableau_cotisants,8,FALSE)</f>
        <v>29221</v>
      </c>
      <c r="J20" s="64" t="str">
        <f t="shared" ref="J20:J25" si="4">DATEDIF(I20,A20,"y") &amp; " an(s) " &amp; DATEDIF(I20,A20,"ym") &amp; " mois et " &amp; DATEDIF(I20,A20,"md") &amp; " jour(s)"</f>
        <v>40 an(s) 1 mois et 25 jour(s)</v>
      </c>
      <c r="K20" s="63" t="str">
        <f>VLOOKUP(B20,[0]!Tableau_cotisants,10,FALSE)</f>
        <v>Commune 2</v>
      </c>
      <c r="L20" s="63" t="str">
        <f>VLOOKUP(B20,[0]!Tableau_cotisants,11,FALSE)</f>
        <v>Territoire 2</v>
      </c>
      <c r="M20" t="s">
        <v>148</v>
      </c>
      <c r="N20" t="s">
        <v>152</v>
      </c>
      <c r="R20">
        <f>SUMPRODUCT((Table1[debut]&lt;=A20)*(Table1[fin]&gt;=A20)*Table1[indice])</f>
        <v>4</v>
      </c>
      <c r="S20" t="str">
        <f>INDEX(Table1[Column1],présences!R20+1)</f>
        <v>Vacances Hiver</v>
      </c>
    </row>
    <row r="21" spans="1:19">
      <c r="A21" s="49">
        <v>43887</v>
      </c>
      <c r="B21" t="s">
        <v>13</v>
      </c>
      <c r="C21" t="str">
        <f>VLOOKUP(B21,[0]!Tableau_cotisants,2,FALSE)</f>
        <v>F2</v>
      </c>
      <c r="D21" s="63" t="str">
        <f>VLOOKUP(B21,[0]!Tableau_cotisants,3,FALSE)</f>
        <v>FAMILLE 2</v>
      </c>
      <c r="E21" s="63" t="str">
        <f>VLOOKUP(B21,[0]!Tableau_cotisants,4,FALSE)</f>
        <v>Nom F2-2</v>
      </c>
      <c r="F21" s="63" t="str">
        <f>VLOOKUP(B21,[0]!Tableau_cotisants,5,FALSE)</f>
        <v>Prénom F2-2</v>
      </c>
      <c r="G21" s="63" t="str">
        <f>VLOOKUP(B21,[0]!Tableau_cotisants,6,FALSE)</f>
        <v>Famille</v>
      </c>
      <c r="H21" s="63" t="str">
        <f>VLOOKUP(B21,[0]!Tableau_cotisants,7,FALSE)</f>
        <v>féminin</v>
      </c>
      <c r="I21" s="9">
        <f>VLOOKUP(B21,[0]!Tableau_cotisants,8,FALSE)</f>
        <v>29221</v>
      </c>
      <c r="J21" s="64" t="str">
        <f t="shared" si="4"/>
        <v>40 an(s) 1 mois et 25 jour(s)</v>
      </c>
      <c r="K21" s="63" t="str">
        <f>VLOOKUP(B21,[0]!Tableau_cotisants,10,FALSE)</f>
        <v>Commune 2</v>
      </c>
      <c r="L21" s="63" t="str">
        <f>VLOOKUP(B21,[0]!Tableau_cotisants,11,FALSE)</f>
        <v>Territoire 2</v>
      </c>
      <c r="M21" t="s">
        <v>148</v>
      </c>
      <c r="N21" t="s">
        <v>152</v>
      </c>
      <c r="R21">
        <f>SUMPRODUCT((Table1[debut]&lt;=A21)*(Table1[fin]&gt;=A21)*Table1[indice])</f>
        <v>4</v>
      </c>
      <c r="S21" t="str">
        <f>INDEX(Table1[Column1],présences!R21+1)</f>
        <v>Vacances Hiver</v>
      </c>
    </row>
    <row r="22" spans="1:19">
      <c r="A22" s="49">
        <v>43887</v>
      </c>
      <c r="B22" t="s">
        <v>14</v>
      </c>
      <c r="C22" t="str">
        <f>VLOOKUP(B22,[0]!Tableau_cotisants,2,FALSE)</f>
        <v>F2</v>
      </c>
      <c r="D22" s="63" t="str">
        <f>VLOOKUP(B22,[0]!Tableau_cotisants,3,FALSE)</f>
        <v>FAMILLE 2</v>
      </c>
      <c r="E22" s="63" t="str">
        <f>VLOOKUP(B22,[0]!Tableau_cotisants,4,FALSE)</f>
        <v>Nom F2-3</v>
      </c>
      <c r="F22" s="63" t="str">
        <f>VLOOKUP(B22,[0]!Tableau_cotisants,5,FALSE)</f>
        <v>Prénom F2-3</v>
      </c>
      <c r="G22" s="63" t="str">
        <f>VLOOKUP(B22,[0]!Tableau_cotisants,6,FALSE)</f>
        <v>Famille</v>
      </c>
      <c r="H22" s="63" t="str">
        <f>VLOOKUP(B22,[0]!Tableau_cotisants,7,FALSE)</f>
        <v>féminin</v>
      </c>
      <c r="I22" s="9">
        <f>VLOOKUP(B22,[0]!Tableau_cotisants,8,FALSE)</f>
        <v>43101</v>
      </c>
      <c r="J22" s="64" t="str">
        <f t="shared" si="4"/>
        <v>2 an(s) 1 mois et 25 jour(s)</v>
      </c>
      <c r="K22" s="63" t="str">
        <f>VLOOKUP(B22,[0]!Tableau_cotisants,10,FALSE)</f>
        <v>Commune 2</v>
      </c>
      <c r="L22" s="63" t="str">
        <f>VLOOKUP(B22,[0]!Tableau_cotisants,11,FALSE)</f>
        <v>Territoire 2</v>
      </c>
      <c r="M22" t="s">
        <v>148</v>
      </c>
      <c r="N22" t="s">
        <v>152</v>
      </c>
      <c r="R22">
        <f>SUMPRODUCT((Table1[debut]&lt;=A22)*(Table1[fin]&gt;=A22)*Table1[indice])</f>
        <v>4</v>
      </c>
      <c r="S22" t="str">
        <f>INDEX(Table1[Column1],présences!R22+1)</f>
        <v>Vacances Hiver</v>
      </c>
    </row>
    <row r="23" spans="1:19">
      <c r="A23" s="49">
        <v>43887</v>
      </c>
      <c r="B23" t="s">
        <v>28</v>
      </c>
      <c r="C23" t="str">
        <f>VLOOKUP(B23,[0]!Tableau_cotisants,2,FALSE)</f>
        <v>F2</v>
      </c>
      <c r="D23" s="63" t="str">
        <f>VLOOKUP(B23,[0]!Tableau_cotisants,3,FALSE)</f>
        <v>FAMILLE 2</v>
      </c>
      <c r="E23" s="63" t="str">
        <f>VLOOKUP(B23,[0]!Tableau_cotisants,4,FALSE)</f>
        <v>Nom F2-3</v>
      </c>
      <c r="F23" s="63" t="str">
        <f>VLOOKUP(B23,[0]!Tableau_cotisants,5,FALSE)</f>
        <v>Prénom F2-4</v>
      </c>
      <c r="G23" s="63" t="str">
        <f>VLOOKUP(B23,[0]!Tableau_cotisants,6,FALSE)</f>
        <v>Famille</v>
      </c>
      <c r="H23" s="63" t="str">
        <f>VLOOKUP(B23,[0]!Tableau_cotisants,7,FALSE)</f>
        <v>masculin</v>
      </c>
      <c r="I23" s="9">
        <f>VLOOKUP(B23,[0]!Tableau_cotisants,8,FALSE)</f>
        <v>38718</v>
      </c>
      <c r="J23" s="64" t="str">
        <f t="shared" si="4"/>
        <v>14 an(s) 1 mois et 25 jour(s)</v>
      </c>
      <c r="K23" s="63" t="str">
        <f>VLOOKUP(B23,[0]!Tableau_cotisants,10,FALSE)</f>
        <v>Commune 2</v>
      </c>
      <c r="L23" s="63" t="str">
        <f>VLOOKUP(B23,[0]!Tableau_cotisants,11,FALSE)</f>
        <v>Territoire 2</v>
      </c>
      <c r="M23" t="s">
        <v>148</v>
      </c>
      <c r="N23" t="s">
        <v>152</v>
      </c>
      <c r="R23">
        <f>SUMPRODUCT((Table1[debut]&lt;=A23)*(Table1[fin]&gt;=A23)*Table1[indice])</f>
        <v>4</v>
      </c>
      <c r="S23" t="str">
        <f>INDEX(Table1[Column1],présences!R23+1)</f>
        <v>Vacances Hiver</v>
      </c>
    </row>
    <row r="24" spans="1:19">
      <c r="A24" s="49">
        <v>43887</v>
      </c>
      <c r="B24" s="86" t="s">
        <v>101</v>
      </c>
      <c r="C24" t="str">
        <f>VLOOKUP(B24,[0]!Tableau_cotisants,2,FALSE)</f>
        <v>F3</v>
      </c>
      <c r="D24" s="63" t="str">
        <f>VLOOKUP(B24,[0]!Tableau_cotisants,3,FALSE)</f>
        <v>FAMILLE 3</v>
      </c>
      <c r="E24" s="63" t="str">
        <f>VLOOKUP(B24,[0]!Tableau_cotisants,4,FALSE)</f>
        <v>Nom F3-1</v>
      </c>
      <c r="F24" s="63" t="str">
        <f>VLOOKUP(B24,[0]!Tableau_cotisants,5,FALSE)</f>
        <v>Prénom F3-1</v>
      </c>
      <c r="G24" s="63" t="str">
        <f>VLOOKUP(B24,[0]!Tableau_cotisants,6,FALSE)</f>
        <v>Famille</v>
      </c>
      <c r="H24" s="63" t="str">
        <f>VLOOKUP(B24,[0]!Tableau_cotisants,7,FALSE)</f>
        <v>masculin</v>
      </c>
      <c r="I24" s="9">
        <f>VLOOKUP(B24,[0]!Tableau_cotisants,8,FALSE)</f>
        <v>29221</v>
      </c>
      <c r="J24" s="64" t="str">
        <f t="shared" si="4"/>
        <v>40 an(s) 1 mois et 25 jour(s)</v>
      </c>
      <c r="K24" s="63" t="str">
        <f>VLOOKUP(B24,[0]!Tableau_cotisants,10,FALSE)</f>
        <v>Commune 1</v>
      </c>
      <c r="L24" s="63" t="str">
        <f>VLOOKUP(B24,[0]!Tableau_cotisants,11,FALSE)</f>
        <v>Territoire 1</v>
      </c>
      <c r="M24" t="s">
        <v>148</v>
      </c>
      <c r="N24" t="s">
        <v>151</v>
      </c>
      <c r="R24">
        <f>SUMPRODUCT((Table1[debut]&lt;=A24)*(Table1[fin]&gt;=A24)*Table1[indice])</f>
        <v>4</v>
      </c>
      <c r="S24" t="str">
        <f>INDEX(Table1[Column1],présences!R24+1)</f>
        <v>Vacances Hiver</v>
      </c>
    </row>
    <row r="25" spans="1:19">
      <c r="A25" s="49">
        <v>43887</v>
      </c>
      <c r="B25" s="86" t="s">
        <v>102</v>
      </c>
      <c r="C25" t="str">
        <f>VLOOKUP(B25,[0]!Tableau_cotisants,2,FALSE)</f>
        <v>F3</v>
      </c>
      <c r="D25" s="63" t="str">
        <f>VLOOKUP(B25,[0]!Tableau_cotisants,3,FALSE)</f>
        <v>FAMILLE 3</v>
      </c>
      <c r="E25" s="63" t="str">
        <f>VLOOKUP(B25,[0]!Tableau_cotisants,4,FALSE)</f>
        <v>Nom F3-2</v>
      </c>
      <c r="F25" s="63" t="str">
        <f>VLOOKUP(B25,[0]!Tableau_cotisants,5,FALSE)</f>
        <v>Prénom F3-2</v>
      </c>
      <c r="G25" s="63" t="str">
        <f>VLOOKUP(B25,[0]!Tableau_cotisants,6,FALSE)</f>
        <v>Famille</v>
      </c>
      <c r="H25" s="63" t="str">
        <f>VLOOKUP(B25,[0]!Tableau_cotisants,7,FALSE)</f>
        <v>féminin</v>
      </c>
      <c r="I25" s="9">
        <f>VLOOKUP(B25,[0]!Tableau_cotisants,8,FALSE)</f>
        <v>29221</v>
      </c>
      <c r="J25" s="64" t="str">
        <f t="shared" si="4"/>
        <v>40 an(s) 1 mois et 25 jour(s)</v>
      </c>
      <c r="K25" s="63" t="str">
        <f>VLOOKUP(B25,[0]!Tableau_cotisants,10,FALSE)</f>
        <v>Commune 1</v>
      </c>
      <c r="L25" s="63" t="str">
        <f>VLOOKUP(B25,[0]!Tableau_cotisants,11,FALSE)</f>
        <v>Territoire 1</v>
      </c>
      <c r="M25" t="s">
        <v>148</v>
      </c>
      <c r="N25" t="s">
        <v>151</v>
      </c>
      <c r="R25">
        <f>SUMPRODUCT((Table1[debut]&lt;=A25)*(Table1[fin]&gt;=A25)*Table1[indice])</f>
        <v>4</v>
      </c>
      <c r="S25" t="str">
        <f>INDEX(Table1[Column1],présences!R25+1)</f>
        <v>Vacances Hiver</v>
      </c>
    </row>
    <row r="26" spans="1:19">
      <c r="A26" s="49">
        <v>43887</v>
      </c>
      <c r="B26" s="87" t="s">
        <v>164</v>
      </c>
      <c r="C26" s="87" t="s">
        <v>164</v>
      </c>
      <c r="D26" t="s">
        <v>122</v>
      </c>
      <c r="E26" t="s">
        <v>123</v>
      </c>
      <c r="F26" t="s">
        <v>124</v>
      </c>
      <c r="G26" t="s">
        <v>150</v>
      </c>
      <c r="H26" t="s">
        <v>153</v>
      </c>
      <c r="I26" s="22">
        <v>31413</v>
      </c>
      <c r="J26" s="25" t="str">
        <f>DATEDIF(I26,A26,"y") &amp; " an(s) " &amp; DATEDIF(I26,A26,"ym") &amp; " mois et " &amp; DATEDIF(I26,A26,"md") &amp; " jour(s)"</f>
        <v>34 an(s) 1 mois et 25 jour(s)</v>
      </c>
      <c r="K26" t="s">
        <v>88</v>
      </c>
      <c r="L26" t="s">
        <v>59</v>
      </c>
      <c r="M26" t="s">
        <v>148</v>
      </c>
      <c r="N26" t="s">
        <v>152</v>
      </c>
      <c r="O26" t="s">
        <v>127</v>
      </c>
      <c r="R26">
        <f>SUMPRODUCT((Table1[debut]&lt;=A26)*(Table1[fin]&gt;=A26)*Table1[indice])</f>
        <v>4</v>
      </c>
      <c r="S26" t="str">
        <f>INDEX(Table1[Column1],présences!R26+1)</f>
        <v>Vacances Hiver</v>
      </c>
    </row>
    <row r="27" spans="1:19">
      <c r="A27" s="49">
        <v>43887</v>
      </c>
      <c r="B27" s="87" t="s">
        <v>164</v>
      </c>
      <c r="C27" s="87" t="s">
        <v>164</v>
      </c>
      <c r="D27" t="s">
        <v>122</v>
      </c>
      <c r="E27" t="s">
        <v>131</v>
      </c>
      <c r="F27" t="s">
        <v>125</v>
      </c>
      <c r="G27" t="s">
        <v>150</v>
      </c>
      <c r="H27" t="s">
        <v>53</v>
      </c>
      <c r="I27" s="22">
        <v>30682</v>
      </c>
      <c r="J27" s="25" t="str">
        <f>DATEDIF(I27,A27,"y") &amp; " an(s) " &amp; DATEDIF(I27,A27,"ym") &amp; " mois et " &amp; DATEDIF(I27,A27,"md") &amp; " jour(s)"</f>
        <v>36 an(s) 1 mois et 25 jour(s)</v>
      </c>
      <c r="K27" t="s">
        <v>88</v>
      </c>
      <c r="L27" t="s">
        <v>59</v>
      </c>
      <c r="M27" t="s">
        <v>148</v>
      </c>
      <c r="N27" t="s">
        <v>152</v>
      </c>
      <c r="O27" t="s">
        <v>127</v>
      </c>
      <c r="R27">
        <f>SUMPRODUCT((Table1[debut]&lt;=A27)*(Table1[fin]&gt;=A27)*Table1[indice])</f>
        <v>4</v>
      </c>
      <c r="S27" t="str">
        <f>INDEX(Table1[Column1],présences!R27+1)</f>
        <v>Vacances Hiver</v>
      </c>
    </row>
    <row r="28" spans="1:19">
      <c r="A28" s="49">
        <v>43887</v>
      </c>
      <c r="B28" s="87" t="s">
        <v>164</v>
      </c>
      <c r="C28" s="87" t="s">
        <v>164</v>
      </c>
      <c r="D28" t="s">
        <v>122</v>
      </c>
      <c r="E28" t="s">
        <v>132</v>
      </c>
      <c r="F28" t="s">
        <v>126</v>
      </c>
      <c r="G28" t="s">
        <v>150</v>
      </c>
      <c r="H28" t="s">
        <v>53</v>
      </c>
      <c r="I28" s="22">
        <v>42736</v>
      </c>
      <c r="J28" s="25" t="str">
        <f>DATEDIF(I28,A28,"y") &amp; " an(s) " &amp; DATEDIF(I28,A28,"ym") &amp; " mois et " &amp; DATEDIF(I28,A28,"md") &amp; " jour(s)"</f>
        <v>3 an(s) 1 mois et 25 jour(s)</v>
      </c>
      <c r="K28" t="s">
        <v>88</v>
      </c>
      <c r="L28" t="s">
        <v>59</v>
      </c>
      <c r="M28" t="s">
        <v>148</v>
      </c>
      <c r="N28" t="s">
        <v>152</v>
      </c>
      <c r="O28" t="s">
        <v>127</v>
      </c>
      <c r="R28">
        <f>SUMPRODUCT((Table1[debut]&lt;=A28)*(Table1[fin]&gt;=A28)*Table1[indice])</f>
        <v>4</v>
      </c>
      <c r="S28" t="str">
        <f>INDEX(Table1[Column1],présences!R28+1)</f>
        <v>Vacances Hiver</v>
      </c>
    </row>
    <row r="29" spans="1:19">
      <c r="A29" s="49">
        <v>43887</v>
      </c>
      <c r="B29" s="86" t="s">
        <v>101</v>
      </c>
      <c r="C29" t="str">
        <f>VLOOKUP(B29,[0]!Tableau_cotisants,2,FALSE)</f>
        <v>F3</v>
      </c>
      <c r="D29" s="63" t="str">
        <f>VLOOKUP(B29,[0]!Tableau_cotisants,3,FALSE)</f>
        <v>FAMILLE 3</v>
      </c>
      <c r="E29" s="63" t="str">
        <f>VLOOKUP(B29,[0]!Tableau_cotisants,4,FALSE)</f>
        <v>Nom F3-1</v>
      </c>
      <c r="F29" s="63" t="str">
        <f>VLOOKUP(B29,[0]!Tableau_cotisants,5,FALSE)</f>
        <v>Prénom F3-1</v>
      </c>
      <c r="G29" s="63" t="str">
        <f>VLOOKUP(B29,[0]!Tableau_cotisants,6,FALSE)</f>
        <v>Famille</v>
      </c>
      <c r="H29" s="63" t="str">
        <f>VLOOKUP(B29,[0]!Tableau_cotisants,7,FALSE)</f>
        <v>masculin</v>
      </c>
      <c r="I29" s="9">
        <f>VLOOKUP(B29,[0]!Tableau_cotisants,8,FALSE)</f>
        <v>29221</v>
      </c>
      <c r="J29" s="64" t="str">
        <f t="shared" ref="J29:J33" si="5">DATEDIF(I29,A29,"y") &amp; " an(s) " &amp; DATEDIF(I29,A29,"ym") &amp; " mois et " &amp; DATEDIF(I29,A29,"md") &amp; " jour(s)"</f>
        <v>40 an(s) 1 mois et 25 jour(s)</v>
      </c>
      <c r="K29" s="63" t="str">
        <f>VLOOKUP(B29,[0]!Tableau_cotisants,10,FALSE)</f>
        <v>Commune 1</v>
      </c>
      <c r="L29" s="63" t="str">
        <f>VLOOKUP(B29,[0]!Tableau_cotisants,11,FALSE)</f>
        <v>Territoire 1</v>
      </c>
      <c r="M29" t="s">
        <v>149</v>
      </c>
      <c r="N29" t="s">
        <v>121</v>
      </c>
      <c r="R29">
        <f>SUMPRODUCT((Table1[debut]&lt;=A29)*(Table1[fin]&gt;=A29)*Table1[indice])</f>
        <v>4</v>
      </c>
      <c r="S29" t="str">
        <f>INDEX(Table1[Column1],présences!R29+1)</f>
        <v>Vacances Hiver</v>
      </c>
    </row>
    <row r="30" spans="1:19">
      <c r="A30" s="49">
        <v>43887</v>
      </c>
      <c r="B30" s="86" t="s">
        <v>102</v>
      </c>
      <c r="C30" t="str">
        <f>VLOOKUP(B30,[0]!Tableau_cotisants,2,FALSE)</f>
        <v>F3</v>
      </c>
      <c r="D30" s="63" t="str">
        <f>VLOOKUP(B30,[0]!Tableau_cotisants,3,FALSE)</f>
        <v>FAMILLE 3</v>
      </c>
      <c r="E30" s="63" t="str">
        <f>VLOOKUP(B30,[0]!Tableau_cotisants,4,FALSE)</f>
        <v>Nom F3-2</v>
      </c>
      <c r="F30" s="63" t="str">
        <f>VLOOKUP(B30,[0]!Tableau_cotisants,5,FALSE)</f>
        <v>Prénom F3-2</v>
      </c>
      <c r="G30" s="63" t="str">
        <f>VLOOKUP(B30,[0]!Tableau_cotisants,6,FALSE)</f>
        <v>Famille</v>
      </c>
      <c r="H30" s="63" t="str">
        <f>VLOOKUP(B30,[0]!Tableau_cotisants,7,FALSE)</f>
        <v>féminin</v>
      </c>
      <c r="I30" s="9">
        <f>VLOOKUP(B30,[0]!Tableau_cotisants,8,FALSE)</f>
        <v>29221</v>
      </c>
      <c r="J30" s="64" t="str">
        <f t="shared" si="5"/>
        <v>40 an(s) 1 mois et 25 jour(s)</v>
      </c>
      <c r="K30" s="63" t="str">
        <f>VLOOKUP(B30,[0]!Tableau_cotisants,10,FALSE)</f>
        <v>Commune 1</v>
      </c>
      <c r="L30" s="63" t="str">
        <f>VLOOKUP(B30,[0]!Tableau_cotisants,11,FALSE)</f>
        <v>Territoire 1</v>
      </c>
      <c r="M30" t="s">
        <v>149</v>
      </c>
      <c r="N30" t="s">
        <v>121</v>
      </c>
      <c r="R30">
        <f>SUMPRODUCT((Table1[debut]&lt;=A30)*(Table1[fin]&gt;=A30)*Table1[indice])</f>
        <v>4</v>
      </c>
      <c r="S30" t="str">
        <f>INDEX(Table1[Column1],présences!R30+1)</f>
        <v>Vacances Hiver</v>
      </c>
    </row>
    <row r="31" spans="1:19">
      <c r="A31" s="49">
        <v>43887</v>
      </c>
      <c r="B31" t="s">
        <v>103</v>
      </c>
      <c r="C31" t="str">
        <f>VLOOKUP(B31,[0]!Tableau_cotisants,2,FALSE)</f>
        <v>F3</v>
      </c>
      <c r="D31" s="63" t="str">
        <f>VLOOKUP(B31,[0]!Tableau_cotisants,3,FALSE)</f>
        <v>FAMILLE 3</v>
      </c>
      <c r="E31" s="63" t="str">
        <f>VLOOKUP(B31,[0]!Tableau_cotisants,4,FALSE)</f>
        <v>Nom F3-1</v>
      </c>
      <c r="F31" s="63" t="str">
        <f>VLOOKUP(B31,[0]!Tableau_cotisants,5,FALSE)</f>
        <v>Prénom F3-3</v>
      </c>
      <c r="G31" s="63" t="str">
        <f>VLOOKUP(B31,[0]!Tableau_cotisants,6,FALSE)</f>
        <v>Famille</v>
      </c>
      <c r="H31" s="63" t="str">
        <f>VLOOKUP(B31,[0]!Tableau_cotisants,7,FALSE)</f>
        <v>féminin</v>
      </c>
      <c r="I31" s="9">
        <f>VLOOKUP(B31,[0]!Tableau_cotisants,8,FALSE)</f>
        <v>19360</v>
      </c>
      <c r="J31" s="64" t="str">
        <f t="shared" si="5"/>
        <v>67 an(s) 1 mois et 25 jour(s)</v>
      </c>
      <c r="K31" s="63" t="str">
        <f>VLOOKUP(B31,[0]!Tableau_cotisants,10,FALSE)</f>
        <v>Commune 1</v>
      </c>
      <c r="L31" s="63" t="str">
        <f>VLOOKUP(B31,[0]!Tableau_cotisants,11,FALSE)</f>
        <v>Territoire 1</v>
      </c>
      <c r="M31" t="s">
        <v>149</v>
      </c>
      <c r="N31" t="s">
        <v>121</v>
      </c>
      <c r="R31">
        <f>SUMPRODUCT((Table1[debut]&lt;=A31)*(Table1[fin]&gt;=A31)*Table1[indice])</f>
        <v>4</v>
      </c>
      <c r="S31" t="str">
        <f>INDEX(Table1[Column1],présences!R31+1)</f>
        <v>Vacances Hiver</v>
      </c>
    </row>
    <row r="32" spans="1:19">
      <c r="A32" s="49">
        <v>43887</v>
      </c>
      <c r="B32" t="s">
        <v>104</v>
      </c>
      <c r="C32" t="str">
        <f>VLOOKUP(B32,[0]!Tableau_cotisants,2,FALSE)</f>
        <v>F3</v>
      </c>
      <c r="D32" s="63" t="str">
        <f>VLOOKUP(B32,[0]!Tableau_cotisants,3,FALSE)</f>
        <v>FAMILLE 3</v>
      </c>
      <c r="E32" s="63" t="str">
        <f>VLOOKUP(B32,[0]!Tableau_cotisants,4,FALSE)</f>
        <v>Nom F3-1</v>
      </c>
      <c r="F32" s="63" t="str">
        <f>VLOOKUP(B32,[0]!Tableau_cotisants,5,FALSE)</f>
        <v>Prénom F3-4</v>
      </c>
      <c r="G32" s="63" t="str">
        <f>VLOOKUP(B32,[0]!Tableau_cotisants,6,FALSE)</f>
        <v>Famille</v>
      </c>
      <c r="H32" s="63" t="str">
        <f>VLOOKUP(B32,[0]!Tableau_cotisants,7,FALSE)</f>
        <v>masculin</v>
      </c>
      <c r="I32" s="9">
        <f>VLOOKUP(B32,[0]!Tableau_cotisants,8,FALSE)</f>
        <v>37622</v>
      </c>
      <c r="J32" s="64" t="str">
        <f t="shared" si="5"/>
        <v>17 an(s) 1 mois et 25 jour(s)</v>
      </c>
      <c r="K32" s="63" t="str">
        <f>VLOOKUP(B32,[0]!Tableau_cotisants,10,FALSE)</f>
        <v>Commune 1</v>
      </c>
      <c r="L32" s="63" t="str">
        <f>VLOOKUP(B32,[0]!Tableau_cotisants,11,FALSE)</f>
        <v>Territoire 1</v>
      </c>
      <c r="M32" t="s">
        <v>149</v>
      </c>
      <c r="N32" t="s">
        <v>121</v>
      </c>
      <c r="R32">
        <f>SUMPRODUCT((Table1[debut]&lt;=A32)*(Table1[fin]&gt;=A32)*Table1[indice])</f>
        <v>4</v>
      </c>
      <c r="S32" t="str">
        <f>INDEX(Table1[Column1],présences!R32+1)</f>
        <v>Vacances Hiver</v>
      </c>
    </row>
    <row r="33" spans="1:19">
      <c r="A33" s="49">
        <v>43887</v>
      </c>
      <c r="B33" t="s">
        <v>105</v>
      </c>
      <c r="C33" t="str">
        <f>VLOOKUP(B33,[0]!Tableau_cotisants,2,FALSE)</f>
        <v>F3</v>
      </c>
      <c r="D33" s="63" t="str">
        <f>VLOOKUP(B33,[0]!Tableau_cotisants,3,FALSE)</f>
        <v>FAMILLE 3</v>
      </c>
      <c r="E33" s="63" t="str">
        <f>VLOOKUP(B33,[0]!Tableau_cotisants,4,FALSE)</f>
        <v>Nom F3-1</v>
      </c>
      <c r="F33" s="63" t="str">
        <f>VLOOKUP(B33,[0]!Tableau_cotisants,5,FALSE)</f>
        <v>Prénom F3-5</v>
      </c>
      <c r="G33" s="63" t="str">
        <f>VLOOKUP(B33,[0]!Tableau_cotisants,6,FALSE)</f>
        <v>Famille</v>
      </c>
      <c r="H33" s="63" t="str">
        <f>VLOOKUP(B33,[0]!Tableau_cotisants,7,FALSE)</f>
        <v>féminin</v>
      </c>
      <c r="I33" s="9">
        <f>VLOOKUP(B33,[0]!Tableau_cotisants,8,FALSE)</f>
        <v>40909</v>
      </c>
      <c r="J33" s="64" t="str">
        <f t="shared" si="5"/>
        <v>8 an(s) 1 mois et 25 jour(s)</v>
      </c>
      <c r="K33" s="63" t="str">
        <f>VLOOKUP(B33,[0]!Tableau_cotisants,10,FALSE)</f>
        <v>Commune 1</v>
      </c>
      <c r="L33" s="63" t="str">
        <f>VLOOKUP(B33,[0]!Tableau_cotisants,11,FALSE)</f>
        <v>Territoire 1</v>
      </c>
      <c r="M33" t="s">
        <v>149</v>
      </c>
      <c r="N33" t="s">
        <v>121</v>
      </c>
      <c r="R33">
        <f>SUMPRODUCT((Table1[debut]&lt;=A33)*(Table1[fin]&gt;=A33)*Table1[indice])</f>
        <v>4</v>
      </c>
      <c r="S33" t="str">
        <f>INDEX(Table1[Column1],présences!R33+1)</f>
        <v>Vacances Hiver</v>
      </c>
    </row>
    <row r="34" spans="1:19">
      <c r="A34" s="49">
        <v>43888</v>
      </c>
      <c r="B34" t="s">
        <v>97</v>
      </c>
      <c r="C34" t="str">
        <f>VLOOKUP(B34,[0]!Tableau_cotisants,2,FALSE)</f>
        <v>F4</v>
      </c>
      <c r="D34" s="63" t="str">
        <f>VLOOKUP(B34,[0]!Tableau_cotisants,3,FALSE)</f>
        <v>FAMILLE 4</v>
      </c>
      <c r="E34" s="63" t="str">
        <f>VLOOKUP(B34,[0]!Tableau_cotisants,4,FALSE)</f>
        <v>Nom F4-1</v>
      </c>
      <c r="F34" s="63" t="str">
        <f>VLOOKUP(B34,[0]!Tableau_cotisants,5,FALSE)</f>
        <v>Prénom F4-1</v>
      </c>
      <c r="G34" s="63" t="str">
        <f>VLOOKUP(B34,[0]!Tableau_cotisants,6,FALSE)</f>
        <v>Famille</v>
      </c>
      <c r="H34" s="63" t="str">
        <f>VLOOKUP(B34,[0]!Tableau_cotisants,7,FALSE)</f>
        <v>masculin</v>
      </c>
      <c r="I34" s="9">
        <f>VLOOKUP(B34,[0]!Tableau_cotisants,8,FALSE)</f>
        <v>29221</v>
      </c>
      <c r="J34" s="64" t="str">
        <f t="shared" ref="J34:J41" si="6">DATEDIF(I34,A34,"y") &amp; " an(s) " &amp; DATEDIF(I34,A34,"ym") &amp; " mois et " &amp; DATEDIF(I34,A34,"md") &amp; " jour(s)"</f>
        <v>40 an(s) 1 mois et 26 jour(s)</v>
      </c>
      <c r="K34" s="63" t="str">
        <f>VLOOKUP(B34,[0]!Tableau_cotisants,10,FALSE)</f>
        <v>Commune 3</v>
      </c>
      <c r="L34" s="63" t="str">
        <f>VLOOKUP(B34,[0]!Tableau_cotisants,11,FALSE)</f>
        <v>Territoire 3</v>
      </c>
      <c r="M34" t="s">
        <v>148</v>
      </c>
      <c r="N34" t="s">
        <v>152</v>
      </c>
      <c r="R34">
        <f>SUMPRODUCT((Table1[debut]&lt;=A34)*(Table1[fin]&gt;=A34)*Table1[indice])</f>
        <v>4</v>
      </c>
      <c r="S34" t="str">
        <f>INDEX(Table1[Column1],présences!R34+1)</f>
        <v>Vacances Hiver</v>
      </c>
    </row>
    <row r="35" spans="1:19">
      <c r="A35" s="49">
        <v>43888</v>
      </c>
      <c r="B35" t="s">
        <v>98</v>
      </c>
      <c r="C35" t="str">
        <f>VLOOKUP(B35,[0]!Tableau_cotisants,2,FALSE)</f>
        <v>F4</v>
      </c>
      <c r="D35" s="63" t="str">
        <f>VLOOKUP(B35,[0]!Tableau_cotisants,3,FALSE)</f>
        <v>FAMILLE 4</v>
      </c>
      <c r="E35" s="63" t="str">
        <f>VLOOKUP(B35,[0]!Tableau_cotisants,4,FALSE)</f>
        <v>Nom F4-2</v>
      </c>
      <c r="F35" s="63" t="str">
        <f>VLOOKUP(B35,[0]!Tableau_cotisants,5,FALSE)</f>
        <v>Prénom F4-2</v>
      </c>
      <c r="G35" s="63" t="str">
        <f>VLOOKUP(B35,[0]!Tableau_cotisants,6,FALSE)</f>
        <v>Famille</v>
      </c>
      <c r="H35" s="63" t="str">
        <f>VLOOKUP(B35,[0]!Tableau_cotisants,7,FALSE)</f>
        <v>féminin</v>
      </c>
      <c r="I35" s="9">
        <f>VLOOKUP(B35,[0]!Tableau_cotisants,8,FALSE)</f>
        <v>29221</v>
      </c>
      <c r="J35" s="64" t="str">
        <f t="shared" si="6"/>
        <v>40 an(s) 1 mois et 26 jour(s)</v>
      </c>
      <c r="K35" s="63" t="str">
        <f>VLOOKUP(B35,[0]!Tableau_cotisants,10,FALSE)</f>
        <v>Commune 3</v>
      </c>
      <c r="L35" s="63" t="str">
        <f>VLOOKUP(B35,[0]!Tableau_cotisants,11,FALSE)</f>
        <v>Territoire 3</v>
      </c>
      <c r="M35" t="s">
        <v>148</v>
      </c>
      <c r="N35" t="s">
        <v>152</v>
      </c>
      <c r="R35">
        <f>SUMPRODUCT((Table1[debut]&lt;=A35)*(Table1[fin]&gt;=A35)*Table1[indice])</f>
        <v>4</v>
      </c>
      <c r="S35" t="str">
        <f>INDEX(Table1[Column1],présences!R35+1)</f>
        <v>Vacances Hiver</v>
      </c>
    </row>
    <row r="36" spans="1:19">
      <c r="A36" s="49">
        <v>43888</v>
      </c>
      <c r="B36" t="s">
        <v>99</v>
      </c>
      <c r="C36" t="str">
        <f>VLOOKUP(B36,[0]!Tableau_cotisants,2,FALSE)</f>
        <v>F4</v>
      </c>
      <c r="D36" s="63" t="str">
        <f>VLOOKUP(B36,[0]!Tableau_cotisants,3,FALSE)</f>
        <v>FAMILLE 4</v>
      </c>
      <c r="E36" s="63" t="str">
        <f>VLOOKUP(B36,[0]!Tableau_cotisants,4,FALSE)</f>
        <v>Nom F4-2</v>
      </c>
      <c r="F36" s="63" t="str">
        <f>VLOOKUP(B36,[0]!Tableau_cotisants,5,FALSE)</f>
        <v>Prénom F4-3</v>
      </c>
      <c r="G36" s="63" t="str">
        <f>VLOOKUP(B36,[0]!Tableau_cotisants,6,FALSE)</f>
        <v>Famille</v>
      </c>
      <c r="H36" s="63" t="str">
        <f>VLOOKUP(B36,[0]!Tableau_cotisants,7,FALSE)</f>
        <v>féminin</v>
      </c>
      <c r="I36" s="9">
        <f>VLOOKUP(B36,[0]!Tableau_cotisants,8,FALSE)</f>
        <v>39448</v>
      </c>
      <c r="J36" s="64" t="str">
        <f t="shared" si="6"/>
        <v>12 an(s) 1 mois et 26 jour(s)</v>
      </c>
      <c r="K36" s="63" t="str">
        <f>VLOOKUP(B36,[0]!Tableau_cotisants,10,FALSE)</f>
        <v>Commune 3</v>
      </c>
      <c r="L36" s="63" t="str">
        <f>VLOOKUP(B36,[0]!Tableau_cotisants,11,FALSE)</f>
        <v>Territoire 3</v>
      </c>
      <c r="M36" t="s">
        <v>148</v>
      </c>
      <c r="N36" t="s">
        <v>152</v>
      </c>
      <c r="R36">
        <f>SUMPRODUCT((Table1[debut]&lt;=A36)*(Table1[fin]&gt;=A36)*Table1[indice])</f>
        <v>4</v>
      </c>
      <c r="S36" t="str">
        <f>INDEX(Table1[Column1],présences!R36+1)</f>
        <v>Vacances Hiver</v>
      </c>
    </row>
    <row r="37" spans="1:19">
      <c r="A37" s="49">
        <v>43888</v>
      </c>
      <c r="B37" t="s">
        <v>100</v>
      </c>
      <c r="C37" t="str">
        <f>VLOOKUP(B37,[0]!Tableau_cotisants,2,FALSE)</f>
        <v>F4</v>
      </c>
      <c r="D37" s="63" t="str">
        <f>VLOOKUP(B37,[0]!Tableau_cotisants,3,FALSE)</f>
        <v>FAMILLE 4</v>
      </c>
      <c r="E37" s="63" t="str">
        <f>VLOOKUP(B37,[0]!Tableau_cotisants,4,FALSE)</f>
        <v>Nom F4-2</v>
      </c>
      <c r="F37" s="63" t="str">
        <f>VLOOKUP(B37,[0]!Tableau_cotisants,5,FALSE)</f>
        <v>Prénom F4-4</v>
      </c>
      <c r="G37" s="63" t="str">
        <f>VLOOKUP(B37,[0]!Tableau_cotisants,6,FALSE)</f>
        <v>Famille</v>
      </c>
      <c r="H37" s="63" t="str">
        <f>VLOOKUP(B37,[0]!Tableau_cotisants,7,FALSE)</f>
        <v>masculin</v>
      </c>
      <c r="I37" s="9">
        <f>VLOOKUP(B37,[0]!Tableau_cotisants,8,FALSE)</f>
        <v>40909</v>
      </c>
      <c r="J37" s="64" t="str">
        <f t="shared" si="6"/>
        <v>8 an(s) 1 mois et 26 jour(s)</v>
      </c>
      <c r="K37" s="63" t="str">
        <f>VLOOKUP(B37,[0]!Tableau_cotisants,10,FALSE)</f>
        <v>Commune 3</v>
      </c>
      <c r="L37" s="63" t="str">
        <f>VLOOKUP(B37,[0]!Tableau_cotisants,11,FALSE)</f>
        <v>Territoire 3</v>
      </c>
      <c r="M37" t="s">
        <v>148</v>
      </c>
      <c r="N37" t="s">
        <v>152</v>
      </c>
      <c r="R37">
        <f>SUMPRODUCT((Table1[debut]&lt;=A37)*(Table1[fin]&gt;=A37)*Table1[indice])</f>
        <v>4</v>
      </c>
      <c r="S37" t="str">
        <f>INDEX(Table1[Column1],présences!R37+1)</f>
        <v>Vacances Hiver</v>
      </c>
    </row>
    <row r="38" spans="1:19">
      <c r="A38" s="49">
        <v>43888</v>
      </c>
      <c r="B38" s="86" t="s">
        <v>113</v>
      </c>
      <c r="C38" t="str">
        <f>VLOOKUP(B38,[0]!Tableau_cotisants,2,FALSE)</f>
        <v>AM2</v>
      </c>
      <c r="D38" s="23" t="str">
        <f>VLOOKUP(B38,[0]!Tableau_cotisants,3,FALSE)</f>
        <v>AM2</v>
      </c>
      <c r="E38" s="23" t="str">
        <f>VLOOKUP(B38,[0]!Tableau_cotisants,4,FALSE)</f>
        <v>NOM AM2-1</v>
      </c>
      <c r="F38" s="23" t="str">
        <f>VLOOKUP(B38,[0]!Tableau_cotisants,5,FALSE)</f>
        <v>Prénom AM2-1</v>
      </c>
      <c r="G38" s="23" t="str">
        <f>VLOOKUP(B38,[0]!Tableau_cotisants,6,FALSE)</f>
        <v>ASSMAT</v>
      </c>
      <c r="H38" s="23" t="str">
        <f>VLOOKUP(B38,[0]!Tableau_cotisants,7,FALSE)</f>
        <v>masculin</v>
      </c>
      <c r="I38" s="24">
        <f>VLOOKUP(B38,[0]!Tableau_cotisants,8,FALSE)</f>
        <v>29221</v>
      </c>
      <c r="J38" s="96" t="str">
        <f t="shared" si="6"/>
        <v>40 an(s) 1 mois et 26 jour(s)</v>
      </c>
      <c r="K38" s="23" t="str">
        <f>VLOOKUP(B38,[0]!Tableau_cotisants,10,FALSE)</f>
        <v>Commune 2</v>
      </c>
      <c r="L38" s="23" t="str">
        <f>VLOOKUP(B38,[0]!Tableau_cotisants,11,FALSE)</f>
        <v>Territoire 2</v>
      </c>
      <c r="M38" t="s">
        <v>148</v>
      </c>
      <c r="N38" t="s">
        <v>121</v>
      </c>
      <c r="R38">
        <f>SUMPRODUCT((Table1[debut]&lt;=A38)*(Table1[fin]&gt;=A38)*Table1[indice])</f>
        <v>4</v>
      </c>
      <c r="S38" t="str">
        <f>INDEX(Table1[Column1],présences!R38+1)</f>
        <v>Vacances Hiver</v>
      </c>
    </row>
    <row r="39" spans="1:19">
      <c r="A39" s="49">
        <v>43888</v>
      </c>
      <c r="B39" s="86" t="s">
        <v>114</v>
      </c>
      <c r="C39" t="str">
        <f>VLOOKUP(B39,[0]!Tableau_cotisants,2,FALSE)</f>
        <v>AM2</v>
      </c>
      <c r="D39" s="23" t="str">
        <f>VLOOKUP(B39,[0]!Tableau_cotisants,3,FALSE)</f>
        <v>AM2</v>
      </c>
      <c r="E39" s="23" t="str">
        <f>VLOOKUP(B39,[0]!Tableau_cotisants,4,FALSE)</f>
        <v>NOM AM2-1</v>
      </c>
      <c r="F39" s="23" t="str">
        <f>VLOOKUP(B39,[0]!Tableau_cotisants,5,FALSE)</f>
        <v>Prénom AM2-2</v>
      </c>
      <c r="G39" s="23" t="str">
        <f>VLOOKUP(B39,[0]!Tableau_cotisants,6,FALSE)</f>
        <v>ASSMAT</v>
      </c>
      <c r="H39" s="23" t="str">
        <f>VLOOKUP(B39,[0]!Tableau_cotisants,7,FALSE)</f>
        <v>féminin</v>
      </c>
      <c r="I39" s="24">
        <f>VLOOKUP(B39,[0]!Tableau_cotisants,8,FALSE)</f>
        <v>43101</v>
      </c>
      <c r="J39" s="96" t="str">
        <f t="shared" si="6"/>
        <v>2 an(s) 1 mois et 26 jour(s)</v>
      </c>
      <c r="K39" s="23" t="str">
        <f>VLOOKUP(B39,[0]!Tableau_cotisants,10,FALSE)</f>
        <v>Commune 2</v>
      </c>
      <c r="L39" s="23" t="str">
        <f>VLOOKUP(B39,[0]!Tableau_cotisants,11,FALSE)</f>
        <v>Territoire 2</v>
      </c>
      <c r="M39" t="s">
        <v>148</v>
      </c>
      <c r="N39" t="s">
        <v>121</v>
      </c>
      <c r="R39">
        <f>SUMPRODUCT((Table1[debut]&lt;=A39)*(Table1[fin]&gt;=A39)*Table1[indice])</f>
        <v>4</v>
      </c>
      <c r="S39" t="str">
        <f>INDEX(Table1[Column1],présences!R39+1)</f>
        <v>Vacances Hiver</v>
      </c>
    </row>
    <row r="40" spans="1:19">
      <c r="A40" s="49">
        <v>43888</v>
      </c>
      <c r="B40" s="86" t="s">
        <v>115</v>
      </c>
      <c r="C40" t="str">
        <f>VLOOKUP(B40,[0]!Tableau_cotisants,2,FALSE)</f>
        <v>AM2</v>
      </c>
      <c r="D40" s="23" t="str">
        <f>VLOOKUP(B40,[0]!Tableau_cotisants,3,FALSE)</f>
        <v>AM2</v>
      </c>
      <c r="E40" s="23" t="str">
        <f>VLOOKUP(B40,[0]!Tableau_cotisants,4,FALSE)</f>
        <v>NOM AM2-3</v>
      </c>
      <c r="F40" s="23" t="str">
        <f>VLOOKUP(B40,[0]!Tableau_cotisants,5,FALSE)</f>
        <v>Prénom AM2-3</v>
      </c>
      <c r="G40" s="23" t="str">
        <f>VLOOKUP(B40,[0]!Tableau_cotisants,6,FALSE)</f>
        <v>ASSMAT</v>
      </c>
      <c r="H40" s="23" t="str">
        <f>VLOOKUP(B40,[0]!Tableau_cotisants,7,FALSE)</f>
        <v>féminin</v>
      </c>
      <c r="I40" s="24">
        <f>VLOOKUP(B40,[0]!Tableau_cotisants,8,FALSE)</f>
        <v>43252</v>
      </c>
      <c r="J40" s="96" t="str">
        <f t="shared" si="6"/>
        <v>1 an(s) 8 mois et 26 jour(s)</v>
      </c>
      <c r="K40" s="23" t="str">
        <f>VLOOKUP(B40,[0]!Tableau_cotisants,10,FALSE)</f>
        <v>Commune 2</v>
      </c>
      <c r="L40" s="23" t="str">
        <f>VLOOKUP(B40,[0]!Tableau_cotisants,11,FALSE)</f>
        <v>Territoire 2</v>
      </c>
      <c r="M40" t="s">
        <v>148</v>
      </c>
      <c r="N40" t="s">
        <v>121</v>
      </c>
      <c r="R40">
        <f>SUMPRODUCT((Table1[debut]&lt;=A40)*(Table1[fin]&gt;=A40)*Table1[indice])</f>
        <v>4</v>
      </c>
      <c r="S40" t="str">
        <f>INDEX(Table1[Column1],présences!R40+1)</f>
        <v>Vacances Hiver</v>
      </c>
    </row>
    <row r="41" spans="1:19">
      <c r="A41" s="49">
        <v>43888</v>
      </c>
      <c r="B41" t="s">
        <v>116</v>
      </c>
      <c r="C41" t="str">
        <f>VLOOKUP(B41,[0]!Tableau_cotisants,2,FALSE)</f>
        <v>AM2</v>
      </c>
      <c r="D41" s="23" t="str">
        <f>VLOOKUP(B41,[0]!Tableau_cotisants,3,FALSE)</f>
        <v>AM2</v>
      </c>
      <c r="E41" s="23" t="str">
        <f>VLOOKUP(B41,[0]!Tableau_cotisants,4,FALSE)</f>
        <v>NOM AM2-4</v>
      </c>
      <c r="F41" s="23" t="str">
        <f>VLOOKUP(B41,[0]!Tableau_cotisants,5,FALSE)</f>
        <v>Prénom AM2-4</v>
      </c>
      <c r="G41" s="23" t="str">
        <f>VLOOKUP(B41,[0]!Tableau_cotisants,6,FALSE)</f>
        <v>ASSMAT</v>
      </c>
      <c r="H41" s="23" t="str">
        <f>VLOOKUP(B41,[0]!Tableau_cotisants,7,FALSE)</f>
        <v>masculin</v>
      </c>
      <c r="I41" s="24">
        <f>VLOOKUP(B41,[0]!Tableau_cotisants,8,FALSE)</f>
        <v>43466</v>
      </c>
      <c r="J41" s="96" t="str">
        <f t="shared" si="6"/>
        <v>1 an(s) 1 mois et 26 jour(s)</v>
      </c>
      <c r="K41" s="23" t="str">
        <f>VLOOKUP(B41,[0]!Tableau_cotisants,10,FALSE)</f>
        <v>Commune 2</v>
      </c>
      <c r="L41" s="23" t="str">
        <f>VLOOKUP(B41,[0]!Tableau_cotisants,11,FALSE)</f>
        <v>Territoire 2</v>
      </c>
      <c r="M41" t="s">
        <v>148</v>
      </c>
      <c r="N41" t="s">
        <v>121</v>
      </c>
      <c r="R41">
        <f>SUMPRODUCT((Table1[debut]&lt;=A41)*(Table1[fin]&gt;=A41)*Table1[indice])</f>
        <v>4</v>
      </c>
      <c r="S41" t="str">
        <f>INDEX(Table1[Column1],présences!R41+1)</f>
        <v>Vacances Hiver</v>
      </c>
    </row>
    <row r="42" spans="1:19">
      <c r="A42" s="22">
        <v>44019</v>
      </c>
      <c r="B42" s="86" t="s">
        <v>6</v>
      </c>
      <c r="C42" t="str">
        <f>VLOOKUP(B42,[0]!Tableau_cotisants,2,FALSE)</f>
        <v>F1</v>
      </c>
      <c r="D42" s="23" t="str">
        <f>VLOOKUP(B42,[0]!Tableau_cotisants,3,FALSE)</f>
        <v>FAMILLE 1</v>
      </c>
      <c r="E42" s="23" t="str">
        <f>VLOOKUP(B42,[0]!Tableau_cotisants,4,FALSE)</f>
        <v>Nom F1-1</v>
      </c>
      <c r="F42" s="23" t="str">
        <f>VLOOKUP(B42,[0]!Tableau_cotisants,5,FALSE)</f>
        <v>Prénom F1-1</v>
      </c>
      <c r="G42" s="23" t="str">
        <f>VLOOKUP(B42,[0]!Tableau_cotisants,6,FALSE)</f>
        <v>Famille</v>
      </c>
      <c r="H42" s="23" t="str">
        <f>VLOOKUP(B42,[0]!Tableau_cotisants,7,FALSE)</f>
        <v>masculin</v>
      </c>
      <c r="I42" s="24">
        <f>VLOOKUP(B42,[0]!Tableau_cotisants,8,FALSE)</f>
        <v>29221</v>
      </c>
      <c r="J42" s="96" t="str">
        <f t="shared" ref="J42" si="7">DATEDIF(I42,A42,"y") &amp; " an(s) " &amp; DATEDIF(I42,A42,"ym") &amp; " mois et " &amp; DATEDIF(I42,A42,"md") &amp; " jour(s)"</f>
        <v>40 an(s) 6 mois et 6 jour(s)</v>
      </c>
      <c r="K42" s="23" t="str">
        <f>VLOOKUP(B42,[0]!Tableau_cotisants,10,FALSE)</f>
        <v>Commune 1</v>
      </c>
      <c r="L42" s="23" t="str">
        <f>VLOOKUP(B42,[0]!Tableau_cotisants,11,FALSE)</f>
        <v>Territoire 1</v>
      </c>
      <c r="M42" t="s">
        <v>148</v>
      </c>
      <c r="N42" t="s">
        <v>121</v>
      </c>
      <c r="R42">
        <f>SUMPRODUCT((Table1[debut]&lt;=A42)*(Table1[fin]&gt;=A42)*Table1[indice])</f>
        <v>6</v>
      </c>
      <c r="S42" t="str">
        <f>INDEX(Table1[Column1],présences!R42+1)</f>
        <v>Vacances Été</v>
      </c>
    </row>
    <row r="43" spans="1:19">
      <c r="A43" s="22">
        <v>43943</v>
      </c>
      <c r="B43" s="86" t="s">
        <v>114</v>
      </c>
      <c r="C43" t="str">
        <f>VLOOKUP(B43,[0]!Tableau_cotisants,2,FALSE)</f>
        <v>AM2</v>
      </c>
      <c r="D43" s="23" t="str">
        <f>VLOOKUP(B43,[0]!Tableau_cotisants,3,FALSE)</f>
        <v>AM2</v>
      </c>
      <c r="E43" s="23" t="str">
        <f>VLOOKUP(B43,[0]!Tableau_cotisants,4,FALSE)</f>
        <v>NOM AM2-1</v>
      </c>
      <c r="F43" s="23" t="str">
        <f>VLOOKUP(B43,[0]!Tableau_cotisants,5,FALSE)</f>
        <v>Prénom AM2-2</v>
      </c>
      <c r="G43" s="23" t="str">
        <f>VLOOKUP(B43,[0]!Tableau_cotisants,6,FALSE)</f>
        <v>ASSMAT</v>
      </c>
      <c r="H43" s="23" t="str">
        <f>VLOOKUP(B43,[0]!Tableau_cotisants,7,FALSE)</f>
        <v>féminin</v>
      </c>
      <c r="I43" s="24">
        <f>VLOOKUP(B43,[0]!Tableau_cotisants,8,FALSE)</f>
        <v>43101</v>
      </c>
      <c r="J43" s="96" t="str">
        <f t="shared" ref="J43" si="8">DATEDIF(I43,A43,"y") &amp; " an(s) " &amp; DATEDIF(I43,A43,"ym") &amp; " mois et " &amp; DATEDIF(I43,A43,"md") &amp; " jour(s)"</f>
        <v>2 an(s) 3 mois et 21 jour(s)</v>
      </c>
      <c r="K43" s="23" t="str">
        <f>VLOOKUP(B43,[0]!Tableau_cotisants,10,FALSE)</f>
        <v>Commune 2</v>
      </c>
      <c r="L43" s="23" t="str">
        <f>VLOOKUP(B43,[0]!Tableau_cotisants,11,FALSE)</f>
        <v>Territoire 2</v>
      </c>
      <c r="M43" t="s">
        <v>149</v>
      </c>
      <c r="N43" t="s">
        <v>121</v>
      </c>
      <c r="R43">
        <f>SUMPRODUCT((Table1[debut]&lt;=A43)*(Table1[fin]&gt;=A43)*Table1[indice])</f>
        <v>5</v>
      </c>
      <c r="S43" t="str">
        <f>INDEX(Table1[Column1],présences!R43+1)</f>
        <v>Vacances Printemps</v>
      </c>
    </row>
    <row r="44" spans="1:19">
      <c r="A44" s="22">
        <v>43839</v>
      </c>
      <c r="B44" s="86" t="s">
        <v>103</v>
      </c>
      <c r="C44" t="str">
        <f>VLOOKUP(B44,[0]!Tableau_cotisants,2,FALSE)</f>
        <v>F3</v>
      </c>
      <c r="D44" s="23" t="str">
        <f>VLOOKUP(B44,[0]!Tableau_cotisants,3,FALSE)</f>
        <v>FAMILLE 3</v>
      </c>
      <c r="E44" s="23" t="str">
        <f>VLOOKUP(B44,[0]!Tableau_cotisants,4,FALSE)</f>
        <v>Nom F3-1</v>
      </c>
      <c r="F44" s="23" t="str">
        <f>VLOOKUP(B44,[0]!Tableau_cotisants,5,FALSE)</f>
        <v>Prénom F3-3</v>
      </c>
      <c r="G44" s="23" t="str">
        <f>VLOOKUP(B44,[0]!Tableau_cotisants,6,FALSE)</f>
        <v>Famille</v>
      </c>
      <c r="H44" s="23" t="str">
        <f>VLOOKUP(B44,[0]!Tableau_cotisants,7,FALSE)</f>
        <v>féminin</v>
      </c>
      <c r="I44" s="24">
        <f>VLOOKUP(B44,[0]!Tableau_cotisants,8,FALSE)</f>
        <v>19360</v>
      </c>
      <c r="J44" s="96" t="str">
        <f t="shared" ref="J44" si="9">DATEDIF(I44,A44,"y") &amp; " an(s) " &amp; DATEDIF(I44,A44,"ym") &amp; " mois et " &amp; DATEDIF(I44,A44,"md") &amp; " jour(s)"</f>
        <v>67 an(s) 0 mois et 8 jour(s)</v>
      </c>
      <c r="K44" s="23" t="str">
        <f>VLOOKUP(B44,[0]!Tableau_cotisants,10,FALSE)</f>
        <v>Commune 1</v>
      </c>
      <c r="L44" s="23" t="str">
        <f>VLOOKUP(B44,[0]!Tableau_cotisants,11,FALSE)</f>
        <v>Territoire 1</v>
      </c>
      <c r="M44" t="s">
        <v>149</v>
      </c>
      <c r="N44" t="s">
        <v>121</v>
      </c>
      <c r="R44">
        <f>SUMPRODUCT((Table1[debut]&lt;=A44)*(Table1[fin]&gt;=A44)*Table1[indice])</f>
        <v>0</v>
      </c>
      <c r="S44" t="str">
        <f>INDEX(Table1[Column1],présences!R44+1)</f>
        <v>Mardi</v>
      </c>
    </row>
    <row r="47" spans="1:19">
      <c r="B47" s="48" t="s">
        <v>146</v>
      </c>
      <c r="C47" s="48"/>
      <c r="D47" t="s">
        <v>145</v>
      </c>
    </row>
    <row r="48" spans="1:19">
      <c r="B48" s="49" t="s">
        <v>147</v>
      </c>
      <c r="C48" s="49"/>
      <c r="D48" t="s">
        <v>185</v>
      </c>
    </row>
  </sheetData>
  <dataValidations count="4">
    <dataValidation type="list" allowBlank="1" showInputMessage="1" showErrorMessage="1" sqref="O4:P4 O26:O28 O18:P19">
      <formula1>"Oui"</formula1>
    </dataValidation>
    <dataValidation type="date" allowBlank="1" showInputMessage="1" showErrorMessage="1" sqref="A4:A41">
      <formula1>43831</formula1>
      <formula2>44196</formula2>
    </dataValidation>
    <dataValidation type="list" showInputMessage="1" showErrorMessage="1" sqref="M4:M44">
      <formula1>"matin,après-midi"</formula1>
    </dataValidation>
    <dataValidation type="list" allowBlank="1" showInputMessage="1" showErrorMessage="1" sqref="N4:N44">
      <formula1>"Jeu sur place, Emprunt seul, Jeu sur place ET emprunt"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O43"/>
  <sheetViews>
    <sheetView workbookViewId="0">
      <selection activeCell="E6" sqref="E6"/>
    </sheetView>
  </sheetViews>
  <sheetFormatPr baseColWidth="10" defaultColWidth="11.42578125" defaultRowHeight="15"/>
  <sheetData>
    <row r="1" spans="1:9">
      <c r="A1" s="22">
        <v>44013</v>
      </c>
    </row>
    <row r="3" spans="1:9">
      <c r="C3" s="60"/>
      <c r="D3" s="67" t="s">
        <v>186</v>
      </c>
      <c r="E3" s="60"/>
      <c r="F3" s="60"/>
      <c r="G3" s="60"/>
    </row>
    <row r="4" spans="1:9" ht="15.75" thickBot="1"/>
    <row r="5" spans="1:9" ht="15.75" thickBot="1">
      <c r="B5" s="58" t="s">
        <v>64</v>
      </c>
      <c r="C5" s="58"/>
      <c r="D5" s="59"/>
      <c r="E5" s="27" t="s">
        <v>58</v>
      </c>
      <c r="F5" s="28" t="s">
        <v>59</v>
      </c>
      <c r="G5" s="29" t="s">
        <v>45</v>
      </c>
      <c r="H5" s="71" t="s">
        <v>159</v>
      </c>
      <c r="I5" s="71" t="s">
        <v>160</v>
      </c>
    </row>
    <row r="6" spans="1:9" ht="16.5" thickTop="1" thickBot="1">
      <c r="B6" s="72" t="s">
        <v>57</v>
      </c>
      <c r="C6" s="73"/>
      <c r="D6" s="85"/>
      <c r="E6" s="93">
        <f>SUMPRODUCT(1/COUNTIFS(nom,nom,prenom,prenom)*(Territoire="territoire 1")*(Famille_ou_Assmat="famille"))</f>
        <v>9.9999999999999982</v>
      </c>
      <c r="F6" s="91">
        <f>SUMPRODUCT(1/COUNTIFS(nom,nom,prenom,prenom)*(Territoire="territoire 2")*(Famille_ou_Assmat="famille"))</f>
        <v>7</v>
      </c>
      <c r="G6" s="91">
        <f>SUMPRODUCT(1/COUNTIFS(nom,nom,prenom,prenom)*(Territoire="territoire 3")*(Famille_ou_Assmat="famille"))</f>
        <v>4</v>
      </c>
      <c r="H6" s="79">
        <f>SUM(E6:G6)</f>
        <v>21</v>
      </c>
      <c r="I6" s="79">
        <f>SUMPRODUCT(1/COUNTIFS(nom,nom,prenom,prenom)*(Famille_ou_Assmat="famille"))</f>
        <v>21</v>
      </c>
    </row>
    <row r="7" spans="1:9" ht="15.75" thickBot="1">
      <c r="B7" s="83" t="s">
        <v>56</v>
      </c>
      <c r="C7" s="84"/>
      <c r="D7" s="85"/>
      <c r="E7" s="93">
        <f>SUMPRODUCT(1/COUNTIF(famille,famille)*(Territoire="territoire 1")*(Famille_ou_Assmat="famille"))</f>
        <v>3.0000000000000004</v>
      </c>
      <c r="F7" s="91">
        <f>SUMPRODUCT(1/COUNTIF(famille,famille)*(Territoire="territoire 2")*(Famille_ou_Assmat="famille"))</f>
        <v>1.9999999999999998</v>
      </c>
      <c r="G7" s="91">
        <f>SUMPRODUCT(1/COUNTIF(famille,famille)*(Territoire="territoire 3")*(Famille_ou_Assmat="famille"))</f>
        <v>1</v>
      </c>
      <c r="H7" s="79">
        <f t="shared" ref="H7:H9" si="0">SUM(E7:G7)</f>
        <v>6</v>
      </c>
      <c r="I7" s="79">
        <f>SUMPRODUCT(1/COUNTIF(famille,famille)*(Famille_ou_Assmat="famille"))</f>
        <v>5.9999999999999982</v>
      </c>
    </row>
    <row r="8" spans="1:9" ht="15.75" thickBot="1">
      <c r="B8" s="81" t="s">
        <v>54</v>
      </c>
      <c r="C8" s="82"/>
      <c r="D8" s="80"/>
      <c r="E8" s="91">
        <f>COUNTIFS(Territoire,"Territoire 1",Matin_et_ou_AM,"matin",Famille_ou_Assmat,"famille")</f>
        <v>5</v>
      </c>
      <c r="F8" s="91">
        <f>COUNTIFS(Territoire,"Territoire 2",Matin_et_ou_AM,"matin",Famille_ou_Assmat,"famille")</f>
        <v>7</v>
      </c>
      <c r="G8" s="91">
        <f>COUNTIFS(Territoire,"Territoire 3",Matin_et_ou_AM,"matin",Famille_ou_Assmat,"famille")</f>
        <v>4</v>
      </c>
      <c r="H8" s="79">
        <f t="shared" si="0"/>
        <v>16</v>
      </c>
      <c r="I8" s="79">
        <f>COUNTIFS(Matin_et_ou_AM,"matin",Famille_ou_Assmat,"famille")+COUNTIFS(Matin_et_ou_AM,"matin ET après-midi",Famille_ou_Assmat,"famille")</f>
        <v>16</v>
      </c>
    </row>
    <row r="9" spans="1:9" ht="16.5" thickTop="1" thickBot="1">
      <c r="B9" s="75" t="s">
        <v>55</v>
      </c>
      <c r="C9" s="76"/>
      <c r="D9" s="77"/>
      <c r="E9" s="91">
        <f>COUNTIFS(Territoire,"Territoire 1",Matin_et_ou_AM,"après-midi",Famille_ou_Assmat,"famille")</f>
        <v>12</v>
      </c>
      <c r="F9" s="91">
        <f>COUNTIFS(Territoire,"Territoire 2",Matin_et_ou_AM,"après-midi",Famille_ou_Assmat,"famille")</f>
        <v>0</v>
      </c>
      <c r="G9" s="91">
        <f>COUNTIFS(Territoire,"Territoire 3",Matin_et_ou_AM,"après-midi",Famille_ou_Assmat,"famille")</f>
        <v>0</v>
      </c>
      <c r="H9" s="79">
        <f t="shared" si="0"/>
        <v>12</v>
      </c>
      <c r="I9" s="79">
        <f>COUNTIFS(Matin_et_ou_AM,"après-midi",Famille_ou_Assmat,"famille")</f>
        <v>12</v>
      </c>
    </row>
    <row r="10" spans="1:9" ht="15.75" thickBot="1">
      <c r="B10" s="26"/>
      <c r="C10" s="26"/>
      <c r="D10" s="26"/>
      <c r="E10" s="92">
        <f>COUNTIFS(Territoire,"Territoire 1",Famille_ou_Assmat,"famille")</f>
        <v>17</v>
      </c>
      <c r="F10" s="92">
        <f>COUNTIFS(Territoire,"Territoire 2",Famille_ou_Assmat,"famille")</f>
        <v>7</v>
      </c>
      <c r="G10" s="92">
        <f>COUNTIFS(Territoire,"Territoire 3",Famille_ou_Assmat,"famille")</f>
        <v>4</v>
      </c>
      <c r="H10" s="79">
        <f>SUM(E10:G10)</f>
        <v>28</v>
      </c>
      <c r="I10" s="79">
        <f>COUNTIFS(Famille_ou_Assmat,"famille")</f>
        <v>28</v>
      </c>
    </row>
    <row r="11" spans="1:9" ht="15.75" thickBot="1">
      <c r="B11" s="26"/>
      <c r="C11" s="26"/>
      <c r="D11" s="26"/>
      <c r="E11" s="50"/>
      <c r="F11" s="50"/>
      <c r="G11" s="51"/>
    </row>
    <row r="12" spans="1:9" ht="15.75" thickBot="1">
      <c r="B12" s="58" t="s">
        <v>1</v>
      </c>
      <c r="C12" s="58"/>
      <c r="D12" s="59"/>
      <c r="E12" s="27" t="s">
        <v>58</v>
      </c>
      <c r="F12" s="28" t="s">
        <v>59</v>
      </c>
      <c r="G12" s="29" t="s">
        <v>45</v>
      </c>
    </row>
    <row r="13" spans="1:9" ht="16.5" thickTop="1" thickBot="1">
      <c r="B13" s="72" t="s">
        <v>61</v>
      </c>
      <c r="C13" s="73"/>
      <c r="D13" s="74"/>
      <c r="E13" s="93">
        <f>SUMPRODUCT(1/COUNTIFS(nom,nom,prenom,prenom)*(Territoire="territoire 1")*(Famille_ou_Assmat="assmat"))</f>
        <v>0</v>
      </c>
      <c r="F13" s="91">
        <f>SUMPRODUCT(1/COUNTIFS(nom,nom,prenom,prenom)*(Territoire="territoire 2")*(Famille_ou_Assmat="assmat"))</f>
        <v>4</v>
      </c>
      <c r="G13" s="91">
        <f>SUMPRODUCT(1/COUNTIFS(nom,nom,prenom,prenom)*(Territoire="territoire 3")*(Famille_ou_Assmat="assmat"))</f>
        <v>3</v>
      </c>
      <c r="H13" s="79">
        <f>SUM(E13:G13)</f>
        <v>7</v>
      </c>
      <c r="I13" s="79">
        <f>SUMPRODUCT(1/COUNTIFS(nom,nom,prenom,prenom)*(Famille_ou_Assmat="assmat"))</f>
        <v>7</v>
      </c>
    </row>
    <row r="14" spans="1:9" ht="16.5" thickTop="1" thickBot="1">
      <c r="B14" s="72" t="s">
        <v>60</v>
      </c>
      <c r="C14" s="73"/>
      <c r="D14" s="74"/>
      <c r="E14" s="91">
        <f>SUMPRODUCT(1/COUNTIF(famille,famille)*(Territoire="territoire 1")*(Famille_ou_Assmat="assmat"))</f>
        <v>0</v>
      </c>
      <c r="F14" s="91">
        <f>SUMPRODUCT(1/COUNTIF(famille,famille)*(Territoire="territoire 2")*(Famille_ou_Assmat="assmat"))</f>
        <v>0.99999999999999978</v>
      </c>
      <c r="G14" s="91">
        <f>SUMPRODUCT(1/COUNTIF(famille,famille)*(Territoire="territoire 3")*(Famille_ou_Assmat="assmat"))</f>
        <v>1</v>
      </c>
      <c r="H14" s="79">
        <f t="shared" ref="H14" si="1">SUM(E14:G14)</f>
        <v>1.9999999999999998</v>
      </c>
      <c r="I14" s="79">
        <f>SUMPRODUCT(1/COUNTIF(famille,famille)*(Famille_ou_Assmat="assmat"))</f>
        <v>1.9999999999999996</v>
      </c>
    </row>
    <row r="15" spans="1:9" ht="16.5" thickTop="1" thickBot="1">
      <c r="B15" s="72" t="s">
        <v>62</v>
      </c>
      <c r="C15" s="73"/>
      <c r="D15" s="74"/>
      <c r="E15" s="91">
        <f>COUNTIFS(Territoire,"Territoire 1",Matin_et_ou_AM,"matin",Famille_ou_Assmat,"Assmat")</f>
        <v>0</v>
      </c>
      <c r="F15" s="91">
        <f>COUNTIFS(Territoire,"Territoire 2",Matin_et_ou_AM,"matin",Famille_ou_Assmat,"Assmat")</f>
        <v>4</v>
      </c>
      <c r="G15" s="91">
        <f>COUNTIFS(Territoire,"Territoire 3",Matin_et_ou_AM,"matin",Famille_ou_Assmat,"Assmat")</f>
        <v>3</v>
      </c>
      <c r="H15" s="79">
        <f>SUM(E15:G15)</f>
        <v>7</v>
      </c>
      <c r="I15" s="79">
        <f>COUNTIFS(Matin_et_ou_AM,"matin",Famille_ou_Assmat,"assmat")</f>
        <v>7</v>
      </c>
    </row>
    <row r="16" spans="1:9" ht="16.5" thickTop="1" thickBot="1">
      <c r="B16" s="75" t="s">
        <v>63</v>
      </c>
      <c r="C16" s="76"/>
      <c r="D16" s="77"/>
      <c r="E16" s="91">
        <f>COUNTIFS(Territoire,"Territoire 1",Matin_et_ou_AM,"après-midi",Famille_ou_Assmat,"assmat")</f>
        <v>0</v>
      </c>
      <c r="F16" s="91">
        <f>COUNTIFS(Territoire,"Territoire 2",Matin_et_ou_AM,"après-midi",Famille_ou_Assmat,"assmat")</f>
        <v>3</v>
      </c>
      <c r="G16" s="91">
        <f>COUNTIFS(Territoire,"Territoire 3",Matin_et_ou_AM,"après-midi",Famille_ou_Assmat,"assmat")</f>
        <v>0</v>
      </c>
      <c r="H16" s="79">
        <f>SUM(E16:G16)</f>
        <v>3</v>
      </c>
      <c r="I16" s="79">
        <f>COUNTIFS(Matin_et_ou_AM,"après-midi",Famille_ou_Assmat,"assmat")</f>
        <v>3</v>
      </c>
    </row>
    <row r="17" spans="1:15">
      <c r="B17" s="26"/>
      <c r="C17" s="26"/>
      <c r="D17" s="26"/>
      <c r="E17" s="92">
        <f>COUNTIFS(Territoire,"Territoire 1",Famille_ou_Assmat,"assmat")</f>
        <v>0</v>
      </c>
      <c r="F17" s="92">
        <f>COUNTIFS(Territoire,"Territoire 2",Famille_ou_Assmat,"assmat")</f>
        <v>7</v>
      </c>
      <c r="G17" s="92">
        <f>COUNTIFS(Territoire,"Territoire 3",Famille_ou_Assmat,"assmat")</f>
        <v>3</v>
      </c>
      <c r="H17" s="79">
        <f>SUM(E17:G17)</f>
        <v>10</v>
      </c>
      <c r="I17" s="79">
        <f>COUNTIFS(Famille_ou_Assmat,"assmat")</f>
        <v>10</v>
      </c>
    </row>
    <row r="18" spans="1:15" ht="15.75" thickBot="1">
      <c r="B18" s="26"/>
      <c r="C18" s="26"/>
      <c r="D18" s="26"/>
      <c r="E18" s="26"/>
      <c r="F18" s="26"/>
      <c r="G18" s="26"/>
    </row>
    <row r="19" spans="1:15">
      <c r="B19" s="26"/>
      <c r="C19" s="26"/>
      <c r="D19" s="26"/>
      <c r="E19" s="92">
        <f>E10+E17</f>
        <v>17</v>
      </c>
      <c r="F19" s="92">
        <f>F10+F17</f>
        <v>14</v>
      </c>
      <c r="G19" s="92">
        <f>G10+G17</f>
        <v>7</v>
      </c>
      <c r="H19" s="79">
        <f>SUM(E19:G19)</f>
        <v>38</v>
      </c>
    </row>
    <row r="20" spans="1:15">
      <c r="B20" s="26"/>
      <c r="C20" s="26"/>
      <c r="D20" s="26"/>
      <c r="E20" s="26"/>
      <c r="F20" s="26"/>
      <c r="G20" s="26"/>
    </row>
    <row r="21" spans="1:15">
      <c r="C21" s="60"/>
      <c r="D21" s="67" t="s">
        <v>187</v>
      </c>
      <c r="E21" s="60"/>
      <c r="F21" s="60"/>
      <c r="G21" s="60"/>
    </row>
    <row r="22" spans="1:15" ht="15.75" thickBot="1"/>
    <row r="23" spans="1:15" ht="56.25" thickBot="1">
      <c r="B23" s="34" t="s">
        <v>77</v>
      </c>
      <c r="C23" s="34" t="s">
        <v>78</v>
      </c>
      <c r="D23" s="35" t="s">
        <v>79</v>
      </c>
      <c r="E23" s="36" t="s">
        <v>80</v>
      </c>
      <c r="F23" s="37" t="s">
        <v>81</v>
      </c>
      <c r="G23" s="38" t="s">
        <v>82</v>
      </c>
      <c r="K23" s="65"/>
    </row>
    <row r="24" spans="1:15">
      <c r="A24" t="s">
        <v>84</v>
      </c>
      <c r="B24" s="91">
        <f>COUNTIF(JSP_OU_EMPRUNT,"Jeu sur place")</f>
        <v>19</v>
      </c>
      <c r="C24" s="91">
        <f>COUNTIF(JSP_OU_EMPRUNT,"Emprunt seul")</f>
        <v>7</v>
      </c>
      <c r="D24" s="91">
        <f>COUNTIF(JSP_OU_EMPRUNT,"Jeu sur place ET emprunt")</f>
        <v>12</v>
      </c>
      <c r="E24" s="91">
        <f>COUNTIF(Découverte,"oui")</f>
        <v>3</v>
      </c>
      <c r="F24" s="91">
        <f>COUNTIF(Ponctuel,"oui")</f>
        <v>2</v>
      </c>
      <c r="G24" s="91">
        <f>COUNTIF(Atelier,"oui")</f>
        <v>0</v>
      </c>
    </row>
    <row r="26" spans="1:15">
      <c r="B26" s="62" t="s">
        <v>188</v>
      </c>
      <c r="D26" s="62"/>
      <c r="E26" s="62"/>
      <c r="F26" s="62"/>
      <c r="G26" s="62" t="s">
        <v>189</v>
      </c>
      <c r="I26" s="62"/>
      <c r="J26" s="62"/>
      <c r="L26" s="62" t="s">
        <v>189</v>
      </c>
      <c r="N26" s="62"/>
      <c r="O26" s="62"/>
    </row>
    <row r="27" spans="1:15">
      <c r="H27" t="s">
        <v>162</v>
      </c>
      <c r="M27" t="s">
        <v>163</v>
      </c>
    </row>
    <row r="28" spans="1:15">
      <c r="C28" s="30" t="s">
        <v>65</v>
      </c>
      <c r="D28" s="30" t="s">
        <v>66</v>
      </c>
      <c r="H28" s="61" t="s">
        <v>65</v>
      </c>
      <c r="I28" s="61" t="s">
        <v>66</v>
      </c>
      <c r="M28" s="61" t="s">
        <v>65</v>
      </c>
      <c r="N28" s="61" t="s">
        <v>66</v>
      </c>
    </row>
    <row r="29" spans="1:15">
      <c r="B29" s="31" t="s">
        <v>67</v>
      </c>
      <c r="C29" s="88">
        <f>SUMPRODUCT((DATEDIF(Date_naissance,Date_de_référence_année,"y")&lt;4)*(sexe="masculin"))</f>
        <v>4</v>
      </c>
      <c r="D29" s="88">
        <f>SUMPRODUCT((DATEDIF(Date_naissance,Date_de_référence_année,"y")&lt;4)*(sexe="féminin"))</f>
        <v>8</v>
      </c>
      <c r="E29" s="79"/>
      <c r="G29" s="31" t="s">
        <v>67</v>
      </c>
      <c r="H29" s="88">
        <f>SUMPRODUCT((DATEDIF(Date_naissance,Date_de_référence_année,"y")&lt;4)*(sexe="masculin")*(Famille_ou_Assmat="famille"))</f>
        <v>2</v>
      </c>
      <c r="I29" s="88">
        <f>SUMPRODUCT((DATEDIF(Date_naissance,Date_de_référence_année,"y")&lt;4)*(sexe="féminin")*(Famille_ou_Assmat="famille"))</f>
        <v>3</v>
      </c>
      <c r="J29" s="79"/>
      <c r="L29" s="31" t="s">
        <v>67</v>
      </c>
      <c r="M29" s="88">
        <f>SUMPRODUCT((DATEDIF(Date_naissance,Date_de_référence_année,"y")&lt;4)*(sexe="masculin")*(Famille_ou_Assmat="assmat"))</f>
        <v>2</v>
      </c>
      <c r="N29" s="88">
        <f>SUMPRODUCT((DATEDIF(Date_naissance,Date_de_référence_année,"y")&lt;4)*(sexe="féminin")*(Famille_ou_Assmat="assmat"))</f>
        <v>5</v>
      </c>
      <c r="O29" s="79"/>
    </row>
    <row r="30" spans="1:15">
      <c r="B30" s="31" t="s">
        <v>68</v>
      </c>
      <c r="C30" s="88">
        <f>SUMPRODUCT((DATEDIF(Date_naissance,Date_de_référence_année,"y")&gt;3)*(DATEDIF(Date_naissance,Date_de_référence_année,"y")&lt;7)*(sexe="masculin"))</f>
        <v>0</v>
      </c>
      <c r="D30" s="88">
        <f>SUMPRODUCT((DATEDIF(Date_naissance,Date_de_référence_année,"y")&gt;3)*(DATEDIF(Date_naissance,Date_de_référence_année,"y")&lt;7)*(sexe="féminin"))</f>
        <v>0</v>
      </c>
      <c r="E30" s="79"/>
      <c r="G30" s="31" t="s">
        <v>68</v>
      </c>
      <c r="H30" s="88">
        <f>SUMPRODUCT((DATEDIF(Date_naissance,Date_de_référence_année,"y")&gt;3)*(DATEDIF(Date_naissance,Date_de_référence_année,"y")&lt;7)*(sexe="masculin")*(Famille_ou_Assmat="famille"))</f>
        <v>0</v>
      </c>
      <c r="I30" s="88">
        <f>SUMPRODUCT((DATEDIF(Date_naissance,Date_de_référence_année,"y")&gt;3)*(DATEDIF(Date_naissance,Date_de_référence_année,"y")&lt;7)*(sexe="féminin")*(Famille_ou_Assmat="famille"))</f>
        <v>0</v>
      </c>
      <c r="J30" s="79"/>
      <c r="L30" s="31" t="s">
        <v>68</v>
      </c>
      <c r="M30" s="88">
        <f>SUMPRODUCT((DATEDIF(Date_naissance,Date_de_référence_année,"y")&gt;3)*(DATEDIF(Date_naissance,Date_de_référence_année,"y")&lt;7)*(sexe="masculin")*(Famille_ou_Assmat="assmat"))</f>
        <v>0</v>
      </c>
      <c r="N30" s="88">
        <f>SUMPRODUCT((DATEDIF(Date_naissance,Date_de_référence_année,"y")&gt;3)*(DATEDIF(Date_naissance,Date_de_référence_année,"y")&lt;7)*(sexe="féminin")*(Famille_ou_Assmat="assmat"))</f>
        <v>0</v>
      </c>
      <c r="O30" s="79"/>
    </row>
    <row r="31" spans="1:15">
      <c r="B31" s="31" t="s">
        <v>69</v>
      </c>
      <c r="C31" s="88">
        <f>SUMPRODUCT((DATEDIF(Date_naissance,Date_de_référence_année,"y")&gt;6)*(DATEDIF(Date_naissance,Date_de_référence_année,"y")&lt;13)*(sexe="masculin"))</f>
        <v>1</v>
      </c>
      <c r="D31" s="88">
        <f>SUMPRODUCT((DATEDIF(Date_naissance,Date_de_référence_année,"y")&gt;6)*(DATEDIF(Date_naissance,Date_de_référence_année,"y")&lt;13)*(sexe="féminin"))</f>
        <v>2</v>
      </c>
      <c r="E31" s="79"/>
      <c r="G31" s="31" t="s">
        <v>69</v>
      </c>
      <c r="H31" s="88">
        <f>SUMPRODUCT((DATEDIF(Date_naissance,Date_de_référence_année,"y")&gt;6)*(DATEDIF(Date_naissance,Date_de_référence_année,"y")&lt;13)*(sexe="masculin")*(Famille_ou_Assmat="famille"))</f>
        <v>1</v>
      </c>
      <c r="I31" s="88">
        <f>SUMPRODUCT((DATEDIF(Date_naissance,Date_de_référence_année,"y")&gt;6)*(DATEDIF(Date_naissance,Date_de_référence_année,"y")&lt;13)*(sexe="féminin")*(Famille_ou_Assmat="famille"))</f>
        <v>2</v>
      </c>
      <c r="J31" s="79"/>
      <c r="L31" s="31" t="s">
        <v>69</v>
      </c>
      <c r="M31" s="88">
        <f>SUMPRODUCT((DATEDIF(Date_naissance,Date_de_référence_année,"y")&gt;6)*(DATEDIF(Date_naissance,Date_de_référence_année,"y")&lt;13)*(sexe="masculin")*(Famille_ou_Assmat="assmat"))</f>
        <v>0</v>
      </c>
      <c r="N31" s="88">
        <f>SUMPRODUCT((DATEDIF(Date_naissance,Date_de_référence_année,"y")&gt;6)*(DATEDIF(Date_naissance,Date_de_référence_année,"y")&lt;13)*(sexe="féminin")*(Famille_ou_Assmat="assmat"))</f>
        <v>0</v>
      </c>
      <c r="O31" s="79"/>
    </row>
    <row r="32" spans="1:15">
      <c r="B32" s="31" t="s">
        <v>70</v>
      </c>
      <c r="C32" s="88">
        <f>SUMPRODUCT((DATEDIF(Date_naissance,Date_de_référence_année,"y")&gt;12)*(DATEDIF(Date_naissance,Date_de_référence_année,"y")&lt;19)*(sexe="masculin"))</f>
        <v>2</v>
      </c>
      <c r="D32" s="88">
        <f>SUMPRODUCT((DATEDIF(Date_naissance,Date_de_référence_année,"y")&gt;12)*(DATEDIF(Date_naissance,Date_de_référence_année,"y")&lt;19)*(sexe="féminin"))</f>
        <v>0</v>
      </c>
      <c r="E32" s="79"/>
      <c r="G32" s="31" t="s">
        <v>70</v>
      </c>
      <c r="H32" s="88">
        <f>SUMPRODUCT((DATEDIF(Date_naissance,Date_de_référence_année,"y")&gt;12)*(DATEDIF(Date_naissance,Date_de_référence_année,"y")&lt;19)*(sexe="masculin")*(Famille_ou_Assmat="famille"))</f>
        <v>2</v>
      </c>
      <c r="I32" s="88">
        <f>SUMPRODUCT((DATEDIF(Date_naissance,Date_de_référence_année,"y")&gt;12)*(DATEDIF(Date_naissance,Date_de_référence_année,"y")&lt;19)*(sexe="féminin")*(Famille_ou_Assmat="famille"))</f>
        <v>0</v>
      </c>
      <c r="J32" s="79"/>
      <c r="L32" s="31" t="s">
        <v>70</v>
      </c>
      <c r="M32" s="88">
        <f>SUMPRODUCT((DATEDIF(Date_naissance,Date_de_référence_année,"y")&gt;12)*(DATEDIF(Date_naissance,Date_de_référence_année,"y")&lt;19)*(sexe="masculin")*(Famille_ou_Assmat="assmat"))</f>
        <v>0</v>
      </c>
      <c r="N32" s="88">
        <f>SUMPRODUCT((DATEDIF(Date_naissance,Date_de_référence_année,"y")&gt;12)*(DATEDIF(Date_naissance,Date_de_référence_année,"y")&lt;19)*(sexe="féminin")*(Famille_ou_Assmat="assmat"))</f>
        <v>0</v>
      </c>
      <c r="O32" s="79"/>
    </row>
    <row r="33" spans="2:15">
      <c r="B33" s="31" t="s">
        <v>71</v>
      </c>
      <c r="C33" s="88">
        <f>SUMPRODUCT((DATEDIF(Date_naissance,Date_de_référence_année,"y")&gt;18)*(DATEDIF(Date_naissance,Date_de_référence_année,"y")&lt;51)*(sexe="masculin"))</f>
        <v>12</v>
      </c>
      <c r="D33" s="88">
        <f>SUMPRODUCT((DATEDIF(Date_naissance,Date_de_référence_année,"y")&gt;18)*(DATEDIF(Date_naissance,Date_de_référence_année,"y")&lt;51)*(sexe="féminin"))</f>
        <v>8</v>
      </c>
      <c r="E33" s="79"/>
      <c r="G33" s="31" t="s">
        <v>71</v>
      </c>
      <c r="H33" s="88">
        <f>SUMPRODUCT((DATEDIF(Date_naissance,Date_de_référence_année,"y")&gt;18)*(DATEDIF(Date_naissance,Date_de_référence_année,"y")&lt;51)*(sexe="masculin")*(Famille_ou_Assmat="famille"))</f>
        <v>9</v>
      </c>
      <c r="I33" s="88">
        <f>SUMPRODUCT((DATEDIF(Date_naissance,Date_de_référence_année,"y")&gt;18)*(DATEDIF(Date_naissance,Date_de_référence_année,"y")&lt;51)*(sexe="féminin")*(Famille_ou_Assmat="famille"))</f>
        <v>8</v>
      </c>
      <c r="J33" s="79"/>
      <c r="L33" s="31" t="s">
        <v>71</v>
      </c>
      <c r="M33" s="88">
        <f>SUMPRODUCT((DATEDIF(Date_naissance,Date_de_référence_année,"y")&gt;18)*(DATEDIF(Date_naissance,Date_de_référence_année,"y")&lt;51)*(sexe="masculin")*(Famille_ou_Assmat="assmat"))</f>
        <v>3</v>
      </c>
      <c r="N33" s="88">
        <f>SUMPRODUCT((DATEDIF(Date_naissance,Date_de_référence_année,"y")&gt;18)*(DATEDIF(Date_naissance,Date_de_référence_année,"y")&lt;51)*(sexe="féminin")*(Famille_ou_Assmat="assmat"))</f>
        <v>0</v>
      </c>
      <c r="O33" s="79"/>
    </row>
    <row r="34" spans="2:15" ht="15.75" thickBot="1">
      <c r="B34" s="31" t="s">
        <v>72</v>
      </c>
      <c r="C34" s="88">
        <f>SUMPRODUCT((DATEDIF(Date_naissance,Date_de_référence_année,"y")&gt;50)*(sexe="masculin"))</f>
        <v>0</v>
      </c>
      <c r="D34" s="88">
        <f>SUMPRODUCT((DATEDIF(Date_naissance,Date_de_référence_année,"y")&gt;50)*(sexe="féminin"))</f>
        <v>1</v>
      </c>
      <c r="E34" s="79"/>
      <c r="G34" s="31" t="s">
        <v>72</v>
      </c>
      <c r="H34" s="88">
        <f>SUMPRODUCT((DATEDIF(Date_naissance,Date_de_référence_année,"y")&gt;50)*(sexe="masculin")*(Famille_ou_Assmat="famille"))</f>
        <v>0</v>
      </c>
      <c r="I34" s="88">
        <f>SUMPRODUCT((DATEDIF(Date_naissance,Date_de_référence_année,"y")&gt;50)*(sexe="féminin")*(Famille_ou_Assmat="famille"))</f>
        <v>1</v>
      </c>
      <c r="J34" s="79"/>
      <c r="L34" s="31" t="s">
        <v>72</v>
      </c>
      <c r="M34" s="88">
        <f>SUMPRODUCT((DATEDIF(Date_naissance,Date_de_référence_année,"y")&gt;50)*(sexe="masculin")*(Famille_ou_Assmat="assmat"))</f>
        <v>0</v>
      </c>
      <c r="N34" s="88">
        <f>SUMPRODUCT((DATEDIF(Date_naissance,Date_de_référence_année,"y")&gt;50)*(sexe="féminin")*(Famille_ou_Assmat="assmat"))</f>
        <v>0</v>
      </c>
      <c r="O34" s="79"/>
    </row>
    <row r="35" spans="2:15" ht="15.75" thickBot="1">
      <c r="B35" s="32" t="s">
        <v>73</v>
      </c>
      <c r="C35" s="89">
        <f>SUM(C29:C34)</f>
        <v>19</v>
      </c>
      <c r="D35" s="89">
        <f>SUM(D29:D34)</f>
        <v>19</v>
      </c>
      <c r="E35" s="79">
        <f>C35+D35</f>
        <v>38</v>
      </c>
      <c r="G35" s="32" t="s">
        <v>73</v>
      </c>
      <c r="H35" s="89">
        <f>SUM(H29:H34)</f>
        <v>14</v>
      </c>
      <c r="I35" s="89">
        <f>SUM(I29:I34)</f>
        <v>14</v>
      </c>
      <c r="J35" s="79">
        <f>H35+I35</f>
        <v>28</v>
      </c>
      <c r="L35" s="32" t="s">
        <v>73</v>
      </c>
      <c r="M35" s="89">
        <f>SUM(M29:M34)</f>
        <v>5</v>
      </c>
      <c r="N35" s="89">
        <f>SUM(N29:N34)</f>
        <v>5</v>
      </c>
      <c r="O35" s="79">
        <f>M35+N35</f>
        <v>10</v>
      </c>
    </row>
    <row r="36" spans="2:15">
      <c r="C36" s="90">
        <f>COUNTIF(sexe,"masculin")</f>
        <v>19</v>
      </c>
      <c r="D36" s="90">
        <f>COUNTIF(sexe,"féminin")</f>
        <v>19</v>
      </c>
      <c r="E36" s="79"/>
      <c r="H36" s="90">
        <f>SUMPRODUCT((sexe="masculin")*(Famille_ou_Assmat="famille"))</f>
        <v>14</v>
      </c>
      <c r="I36" s="90">
        <f>SUMPRODUCT((sexe="féminin")*(Famille_ou_Assmat="famille"))</f>
        <v>14</v>
      </c>
      <c r="J36" s="79"/>
      <c r="M36" s="90">
        <f>SUMPRODUCT((sexe="masculin")*(Famille_ou_Assmat="assmat"))</f>
        <v>5</v>
      </c>
      <c r="N36" s="90">
        <f>SUMPRODUCT((sexe="féminin")*(Famille_ou_Assmat="assmat"))</f>
        <v>5</v>
      </c>
      <c r="O36" s="79"/>
    </row>
    <row r="38" spans="2:15">
      <c r="B38" s="102" t="s">
        <v>76</v>
      </c>
      <c r="C38" s="103"/>
      <c r="E38" s="101" t="s">
        <v>83</v>
      </c>
      <c r="F38" s="66"/>
      <c r="I38" s="101" t="s">
        <v>176</v>
      </c>
      <c r="J38" s="101"/>
    </row>
    <row r="39" spans="2:15" ht="15.75" thickBot="1">
      <c r="B39" s="33" t="s">
        <v>74</v>
      </c>
      <c r="C39" s="33" t="s">
        <v>75</v>
      </c>
      <c r="E39" s="33" t="s">
        <v>74</v>
      </c>
      <c r="F39" s="33" t="s">
        <v>75</v>
      </c>
      <c r="I39" s="99" t="s">
        <v>177</v>
      </c>
      <c r="J39" s="100" t="s">
        <v>178</v>
      </c>
    </row>
    <row r="40" spans="2:15" ht="15.75" thickBot="1">
      <c r="B40" s="88">
        <f>SUMPRODUCT((1/COUNTIF(code_individu,code_individu))*(code_individu&lt;&gt;"NA"))</f>
        <v>23</v>
      </c>
      <c r="C40" s="88">
        <f>SUMPRODUCT(1/COUNTIFS(nom,nom,prenom,prenom)*(code_individu="NA"))</f>
        <v>5</v>
      </c>
      <c r="E40" s="104">
        <f>SUMPRODUCT((1/COUNTIF(code_famille,code_famille))*(code_famille&lt;&gt;"NA"))</f>
        <v>6.0000000000000009</v>
      </c>
      <c r="F40" s="105" t="e">
        <f>SUMPRODUCT((1/COUNTIF(famille,famille))*(code_famille&lt;&gt;"NA"))</f>
        <v>#N/A</v>
      </c>
      <c r="H40" s="97" t="s">
        <v>179</v>
      </c>
      <c r="I40" s="92">
        <f>COUNTIFS(Matin_et_ou_AM,"matin",code_individu,"&lt;&gt;NA")</f>
        <v>20</v>
      </c>
      <c r="J40" s="92">
        <f>COUNTIFS(Matin_et_ou_AM,"matin",code_individu,"NA")</f>
        <v>3</v>
      </c>
      <c r="K40" s="79">
        <f>I40+J40</f>
        <v>23</v>
      </c>
    </row>
    <row r="41" spans="2:15">
      <c r="H41" s="97" t="s">
        <v>149</v>
      </c>
      <c r="I41" s="92">
        <f>COUNTIFS(Matin_et_ou_AM,"après-midi",code_individu,"&lt;&gt;NA")</f>
        <v>13</v>
      </c>
      <c r="J41" s="92">
        <f>COUNTIFS(Matin_et_ou_AM,"après-midi",code_individu,"NA")</f>
        <v>2</v>
      </c>
      <c r="K41" s="79">
        <f>I41+J41</f>
        <v>15</v>
      </c>
    </row>
    <row r="42" spans="2:15">
      <c r="I42" s="79">
        <f>I40+I41</f>
        <v>33</v>
      </c>
      <c r="J42" s="79">
        <f>J40+J41</f>
        <v>5</v>
      </c>
      <c r="K42" s="79">
        <f>I42+J42</f>
        <v>38</v>
      </c>
    </row>
    <row r="43" spans="2:15">
      <c r="I43" s="98">
        <f>I42/K42</f>
        <v>0.86842105263157898</v>
      </c>
      <c r="J43" s="98">
        <f>J42/K42</f>
        <v>0.13157894736842105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O43"/>
  <sheetViews>
    <sheetView workbookViewId="0">
      <selection activeCell="E7" sqref="E7"/>
    </sheetView>
  </sheetViews>
  <sheetFormatPr baseColWidth="10" defaultColWidth="11.42578125" defaultRowHeight="15"/>
  <sheetData>
    <row r="1" spans="1:9">
      <c r="A1" s="22">
        <v>44013</v>
      </c>
    </row>
    <row r="3" spans="1:9">
      <c r="C3" s="68"/>
      <c r="D3" s="67" t="s">
        <v>190</v>
      </c>
      <c r="E3" s="68"/>
      <c r="F3" s="68"/>
      <c r="G3" s="68"/>
    </row>
    <row r="4" spans="1:9" ht="15.75" thickBot="1"/>
    <row r="5" spans="1:9" ht="15.75" thickBot="1">
      <c r="B5" s="69" t="s">
        <v>64</v>
      </c>
      <c r="C5" s="69"/>
      <c r="D5" s="70"/>
      <c r="E5" s="27" t="s">
        <v>58</v>
      </c>
      <c r="F5" s="28" t="s">
        <v>59</v>
      </c>
      <c r="G5" s="29" t="s">
        <v>45</v>
      </c>
      <c r="H5" s="71" t="s">
        <v>159</v>
      </c>
      <c r="I5" s="71" t="s">
        <v>160</v>
      </c>
    </row>
    <row r="6" spans="1:9" ht="16.5" thickTop="1" thickBot="1">
      <c r="B6" s="72" t="s">
        <v>57</v>
      </c>
      <c r="C6" s="73"/>
      <c r="D6" s="85"/>
      <c r="E6" s="93">
        <f>SUMPRODUCT(1/COUNTIFS(nom,nom,prenom,prenom)*(Territoire="territoire 1")*(Famille_ou_Assmat="famille"))</f>
        <v>9.9999999999999982</v>
      </c>
      <c r="F6" s="91">
        <f>SUMPRODUCT(1/COUNTIFS(nom,nom,prenom,prenom)*(Territoire="territoire 2")*(Famille_ou_Assmat="famille"))</f>
        <v>7</v>
      </c>
      <c r="G6" s="91">
        <f>SUMPRODUCT(1/COUNTIFS(nom,nom,prenom,prenom)*(Territoire="territoire 3")*(Famille_ou_Assmat="famille"))</f>
        <v>4</v>
      </c>
      <c r="H6" s="79">
        <f>SUM(E6:G6)</f>
        <v>21</v>
      </c>
      <c r="I6" s="79">
        <f>SUMPRODUCT(1/COUNTIFS(nom,nom,prenom,prenom)*(Famille_ou_Assmat="famille"))</f>
        <v>21</v>
      </c>
    </row>
    <row r="7" spans="1:9" ht="15.75" thickBot="1">
      <c r="B7" s="83" t="s">
        <v>56</v>
      </c>
      <c r="C7" s="84"/>
      <c r="D7" s="85"/>
      <c r="E7" s="93">
        <f>SUMPRODUCT(1/COUNTIF(famille,famille)*(Territoire="territoire 1")*(Famille_ou_Assmat="famille"))</f>
        <v>3.0000000000000004</v>
      </c>
      <c r="F7" s="91">
        <f>SUMPRODUCT(1/COUNTIF(famille,famille)*(Territoire="territoire 2")*(Famille_ou_Assmat="famille"))</f>
        <v>1.9999999999999998</v>
      </c>
      <c r="G7" s="91">
        <f>SUMPRODUCT(1/COUNTIF(famille,famille)*(Territoire="territoire 3")*(Famille_ou_Assmat="famille"))</f>
        <v>1</v>
      </c>
      <c r="H7" s="79">
        <f t="shared" ref="H7:H9" si="0">SUM(E7:G7)</f>
        <v>6</v>
      </c>
      <c r="I7" s="79">
        <f>SUMPRODUCT(1/COUNTIF(famille,famille)*(Famille_ou_Assmat="famille"))</f>
        <v>5.9999999999999982</v>
      </c>
    </row>
    <row r="8" spans="1:9" ht="15.75" thickBot="1">
      <c r="B8" s="81" t="s">
        <v>54</v>
      </c>
      <c r="C8" s="82"/>
      <c r="D8" s="80"/>
      <c r="E8" s="91">
        <f>COUNTIFS(Territoire,"Territoire 1",Matin_et_ou_AM,"matin",Famille_ou_Assmat,"famille")</f>
        <v>5</v>
      </c>
      <c r="F8" s="91">
        <f>COUNTIFS(Territoire,"Territoire 2",Matin_et_ou_AM,"matin",Famille_ou_Assmat,"famille")</f>
        <v>7</v>
      </c>
      <c r="G8" s="91">
        <f>COUNTIFS(Territoire,"Territoire 3",Matin_et_ou_AM,"matin",Famille_ou_Assmat,"famille")</f>
        <v>4</v>
      </c>
      <c r="H8" s="79">
        <f t="shared" si="0"/>
        <v>16</v>
      </c>
      <c r="I8" s="79">
        <f>COUNTIFS(Matin_et_ou_AM,"matin",Famille_ou_Assmat,"famille")+COUNTIFS(Matin_et_ou_AM,"matin ET après-midi",Famille_ou_Assmat,"famille")</f>
        <v>16</v>
      </c>
    </row>
    <row r="9" spans="1:9" ht="16.5" thickTop="1" thickBot="1">
      <c r="B9" s="75" t="s">
        <v>55</v>
      </c>
      <c r="C9" s="76"/>
      <c r="D9" s="77"/>
      <c r="E9" s="91">
        <f>COUNTIFS(Territoire,"Territoire 1",Matin_et_ou_AM,"après-midi",Famille_ou_Assmat,"famille")</f>
        <v>12</v>
      </c>
      <c r="F9" s="91">
        <f>COUNTIFS(Territoire,"Territoire 2",Matin_et_ou_AM,"après-midi",Famille_ou_Assmat,"famille")</f>
        <v>0</v>
      </c>
      <c r="G9" s="91">
        <f>COUNTIFS(Territoire,"Territoire 3",Matin_et_ou_AM,"après-midi",Famille_ou_Assmat,"famille")</f>
        <v>0</v>
      </c>
      <c r="H9" s="79">
        <f t="shared" si="0"/>
        <v>12</v>
      </c>
      <c r="I9" s="79">
        <f>COUNTIFS(Matin_et_ou_AM,"après-midi",Famille_ou_Assmat,"famille")</f>
        <v>12</v>
      </c>
    </row>
    <row r="10" spans="1:9" ht="15.75" thickBot="1">
      <c r="B10" s="26"/>
      <c r="C10" s="26"/>
      <c r="D10" s="26"/>
      <c r="E10" s="92">
        <f>COUNTIFS(Territoire,"Territoire 1",Famille_ou_Assmat,"famille")</f>
        <v>17</v>
      </c>
      <c r="F10" s="92">
        <f>COUNTIFS(Territoire,"Territoire 2",Famille_ou_Assmat,"famille")</f>
        <v>7</v>
      </c>
      <c r="G10" s="92">
        <f>COUNTIFS(Territoire,"Territoire 3",Famille_ou_Assmat,"famille")</f>
        <v>4</v>
      </c>
      <c r="H10" s="79">
        <f>SUM(E10:G10)</f>
        <v>28</v>
      </c>
      <c r="I10" s="79">
        <f>COUNTIFS(Famille_ou_Assmat,"famille")</f>
        <v>28</v>
      </c>
    </row>
    <row r="11" spans="1:9" ht="15.75" thickBot="1">
      <c r="B11" s="26"/>
      <c r="C11" s="26"/>
      <c r="D11" s="26"/>
      <c r="E11" s="50"/>
      <c r="F11" s="50"/>
      <c r="G11" s="51"/>
    </row>
    <row r="12" spans="1:9" ht="15.75" thickBot="1">
      <c r="B12" s="69" t="s">
        <v>1</v>
      </c>
      <c r="C12" s="69"/>
      <c r="D12" s="70"/>
      <c r="E12" s="27" t="s">
        <v>58</v>
      </c>
      <c r="F12" s="28" t="s">
        <v>59</v>
      </c>
      <c r="G12" s="29" t="s">
        <v>45</v>
      </c>
    </row>
    <row r="13" spans="1:9" ht="16.5" thickTop="1" thickBot="1">
      <c r="B13" s="72" t="s">
        <v>61</v>
      </c>
      <c r="C13" s="73"/>
      <c r="D13" s="74"/>
      <c r="E13" s="93">
        <f>SUMPRODUCT(1/COUNTIFS(nom,nom,prenom,prenom)*(Territoire="territoire 1")*(Famille_ou_Assmat="assmat"))</f>
        <v>0</v>
      </c>
      <c r="F13" s="91">
        <f>SUMPRODUCT(1/COUNTIFS(nom,nom,prenom,prenom)*(Territoire="territoire 2")*(Famille_ou_Assmat="assmat"))</f>
        <v>4</v>
      </c>
      <c r="G13" s="91">
        <f>SUMPRODUCT(1/COUNTIFS(nom,nom,prenom,prenom)*(Territoire="territoire 3")*(Famille_ou_Assmat="assmat"))</f>
        <v>3</v>
      </c>
      <c r="H13" s="79">
        <f>SUM(E13:G13)</f>
        <v>7</v>
      </c>
      <c r="I13" s="79">
        <f>SUMPRODUCT(1/COUNTIFS(nom,nom,prenom,prenom)*(Famille_ou_Assmat="assmat"))</f>
        <v>7</v>
      </c>
    </row>
    <row r="14" spans="1:9" ht="16.5" thickTop="1" thickBot="1">
      <c r="B14" s="72" t="s">
        <v>60</v>
      </c>
      <c r="C14" s="73"/>
      <c r="D14" s="74"/>
      <c r="E14" s="91">
        <f>SUMPRODUCT(1/COUNTIF(famille,famille)*(Territoire="territoire 1")*(Famille_ou_Assmat="assmat"))</f>
        <v>0</v>
      </c>
      <c r="F14" s="91">
        <f>SUMPRODUCT(1/COUNTIF(famille,famille)*(Territoire="territoire 2")*(Famille_ou_Assmat="assmat"))</f>
        <v>0.99999999999999978</v>
      </c>
      <c r="G14" s="91">
        <f>SUMPRODUCT(1/COUNTIF(famille,famille)*(Territoire="territoire 3")*(Famille_ou_Assmat="assmat"))</f>
        <v>1</v>
      </c>
      <c r="H14" s="79">
        <f t="shared" ref="H14" si="1">SUM(E14:G14)</f>
        <v>1.9999999999999998</v>
      </c>
      <c r="I14" s="79">
        <f>SUMPRODUCT(1/COUNTIF(famille,famille)*(Famille_ou_Assmat="assmat"))</f>
        <v>1.9999999999999996</v>
      </c>
    </row>
    <row r="15" spans="1:9" ht="16.5" thickTop="1" thickBot="1">
      <c r="B15" s="72" t="s">
        <v>62</v>
      </c>
      <c r="C15" s="73"/>
      <c r="D15" s="74"/>
      <c r="E15" s="91">
        <f>COUNTIFS(Territoire,"Territoire 1",Matin_et_ou_AM,"matin",Famille_ou_Assmat,"Assmat")</f>
        <v>0</v>
      </c>
      <c r="F15" s="91">
        <f>COUNTIFS(Territoire,"Territoire 2",Matin_et_ou_AM,"matin",Famille_ou_Assmat,"Assmat")</f>
        <v>4</v>
      </c>
      <c r="G15" s="91">
        <f>COUNTIFS(Territoire,"Territoire 3",Matin_et_ou_AM,"matin",Famille_ou_Assmat,"Assmat")</f>
        <v>3</v>
      </c>
      <c r="H15" s="79">
        <f>SUM(E15:G15)</f>
        <v>7</v>
      </c>
      <c r="I15" s="79">
        <f>COUNTIFS(Matin_et_ou_AM,"matin",Famille_ou_Assmat,"assmat")</f>
        <v>7</v>
      </c>
    </row>
    <row r="16" spans="1:9" ht="16.5" thickTop="1" thickBot="1">
      <c r="B16" s="75" t="s">
        <v>63</v>
      </c>
      <c r="C16" s="76"/>
      <c r="D16" s="77"/>
      <c r="E16" s="91">
        <f>COUNTIFS(Territoire,"Territoire 1",Matin_et_ou_AM,"après-midi",Famille_ou_Assmat,"assmat")</f>
        <v>0</v>
      </c>
      <c r="F16" s="91">
        <f>COUNTIFS(Territoire,"Territoire 2",Matin_et_ou_AM,"après-midi",Famille_ou_Assmat,"assmat")</f>
        <v>3</v>
      </c>
      <c r="G16" s="91">
        <f>COUNTIFS(Territoire,"Territoire 3",Matin_et_ou_AM,"après-midi",Famille_ou_Assmat,"assmat")</f>
        <v>0</v>
      </c>
      <c r="H16" s="79">
        <f>SUM(E16:G16)</f>
        <v>3</v>
      </c>
      <c r="I16" s="79">
        <f>COUNTIFS(Matin_et_ou_AM,"après-midi",Famille_ou_Assmat,"assmat")</f>
        <v>3</v>
      </c>
    </row>
    <row r="17" spans="1:15">
      <c r="B17" s="26"/>
      <c r="C17" s="26"/>
      <c r="D17" s="26"/>
      <c r="E17" s="92">
        <f>COUNTIFS(Territoire,"Territoire 1",Famille_ou_Assmat,"assmat")</f>
        <v>0</v>
      </c>
      <c r="F17" s="92">
        <f>COUNTIFS(Territoire,"Territoire 2",Famille_ou_Assmat,"assmat")</f>
        <v>7</v>
      </c>
      <c r="G17" s="92">
        <f>COUNTIFS(Territoire,"Territoire 3",Famille_ou_Assmat,"assmat")</f>
        <v>3</v>
      </c>
      <c r="H17" s="79">
        <f>SUM(E17:G17)</f>
        <v>10</v>
      </c>
      <c r="I17" s="79">
        <f>COUNTIFS(Famille_ou_Assmat,"assmat")</f>
        <v>10</v>
      </c>
    </row>
    <row r="18" spans="1:15" ht="15.75" thickBot="1">
      <c r="B18" s="26"/>
      <c r="C18" s="26"/>
      <c r="D18" s="26"/>
      <c r="E18" s="26"/>
      <c r="F18" s="26"/>
      <c r="G18" s="26"/>
    </row>
    <row r="19" spans="1:15">
      <c r="B19" s="26"/>
      <c r="C19" s="26"/>
      <c r="D19" s="26"/>
      <c r="E19" s="92">
        <f>E10+E17</f>
        <v>17</v>
      </c>
      <c r="F19" s="92">
        <f>F10+F17</f>
        <v>14</v>
      </c>
      <c r="G19" s="92">
        <f>G10+G17</f>
        <v>7</v>
      </c>
      <c r="H19" s="79">
        <f>SUM(E19:G19)</f>
        <v>38</v>
      </c>
    </row>
    <row r="20" spans="1:15">
      <c r="B20" s="26"/>
      <c r="C20" s="26"/>
      <c r="D20" s="26"/>
      <c r="E20" s="26"/>
      <c r="F20" s="26"/>
      <c r="G20" s="26"/>
    </row>
    <row r="21" spans="1:15">
      <c r="C21" s="68"/>
      <c r="D21" s="67" t="s">
        <v>191</v>
      </c>
      <c r="E21" s="68"/>
      <c r="F21" s="68"/>
      <c r="G21" s="68"/>
    </row>
    <row r="22" spans="1:15" ht="15.75" thickBot="1"/>
    <row r="23" spans="1:15" ht="56.25" thickBot="1">
      <c r="B23" s="34" t="s">
        <v>77</v>
      </c>
      <c r="C23" s="34" t="s">
        <v>78</v>
      </c>
      <c r="D23" s="35" t="s">
        <v>79</v>
      </c>
      <c r="E23" s="36" t="s">
        <v>80</v>
      </c>
      <c r="F23" s="37" t="s">
        <v>81</v>
      </c>
      <c r="G23" s="38" t="s">
        <v>82</v>
      </c>
      <c r="K23" s="65"/>
    </row>
    <row r="24" spans="1:15">
      <c r="A24" t="s">
        <v>84</v>
      </c>
      <c r="B24" s="91">
        <f>COUNTIF(JSP_OU_EMPRUNT,"Jeu sur place")</f>
        <v>19</v>
      </c>
      <c r="C24" s="91">
        <f>COUNTIF(JSP_OU_EMPRUNT,"Emprunt seul")</f>
        <v>7</v>
      </c>
      <c r="D24" s="91">
        <f>COUNTIF(JSP_OU_EMPRUNT,"Jeu sur place ET emprunt")</f>
        <v>12</v>
      </c>
      <c r="E24" s="91">
        <f>COUNTIF(Découverte,"oui")</f>
        <v>3</v>
      </c>
      <c r="F24" s="91">
        <f>COUNTIF(Ponctuel,"oui")</f>
        <v>2</v>
      </c>
      <c r="G24" s="91">
        <f>COUNTIF(Atelier,"oui")</f>
        <v>0</v>
      </c>
    </row>
    <row r="26" spans="1:15">
      <c r="B26" s="62" t="s">
        <v>192</v>
      </c>
      <c r="D26" s="62"/>
      <c r="E26" s="62"/>
      <c r="F26" s="62"/>
      <c r="G26" s="62" t="s">
        <v>193</v>
      </c>
      <c r="I26" s="62"/>
      <c r="J26" s="62"/>
      <c r="L26" s="62" t="s">
        <v>193</v>
      </c>
      <c r="N26" s="62"/>
      <c r="O26" s="62"/>
    </row>
    <row r="27" spans="1:15">
      <c r="H27" t="s">
        <v>162</v>
      </c>
      <c r="M27" t="s">
        <v>163</v>
      </c>
    </row>
    <row r="28" spans="1:15">
      <c r="C28" s="66" t="s">
        <v>65</v>
      </c>
      <c r="D28" s="66" t="s">
        <v>66</v>
      </c>
      <c r="H28" s="66" t="s">
        <v>65</v>
      </c>
      <c r="I28" s="66" t="s">
        <v>66</v>
      </c>
      <c r="M28" s="66" t="s">
        <v>65</v>
      </c>
      <c r="N28" s="66" t="s">
        <v>66</v>
      </c>
    </row>
    <row r="29" spans="1:15">
      <c r="B29" s="31" t="s">
        <v>67</v>
      </c>
      <c r="C29" s="88">
        <f>SUMPRODUCT((DATEDIF(Date_naissance,Date_de_référence_année,"y")&lt;4)*(sexe="masculin"))</f>
        <v>4</v>
      </c>
      <c r="D29" s="88">
        <f>SUMPRODUCT((DATEDIF(Date_naissance,Date_de_référence_année,"y")&lt;4)*(sexe="féminin"))</f>
        <v>8</v>
      </c>
      <c r="E29" s="79"/>
      <c r="G29" s="31" t="s">
        <v>67</v>
      </c>
      <c r="H29" s="88">
        <f>SUMPRODUCT((DATEDIF(Date_naissance,Date_de_référence_année,"y")&lt;4)*(sexe="masculin")*(Famille_ou_Assmat="famille"))</f>
        <v>2</v>
      </c>
      <c r="I29" s="88">
        <f>SUMPRODUCT((DATEDIF(Date_naissance,Date_de_référence_année,"y")&lt;4)*(sexe="féminin")*(Famille_ou_Assmat="famille"))</f>
        <v>3</v>
      </c>
      <c r="J29" s="79"/>
      <c r="L29" s="31" t="s">
        <v>67</v>
      </c>
      <c r="M29" s="88">
        <f>SUMPRODUCT((DATEDIF(Date_naissance,Date_de_référence_année,"y")&lt;4)*(sexe="masculin")*(Famille_ou_Assmat="assmat"))</f>
        <v>2</v>
      </c>
      <c r="N29" s="88">
        <f>SUMPRODUCT((DATEDIF(Date_naissance,Date_de_référence_année,"y")&lt;4)*(sexe="féminin")*(Famille_ou_Assmat="assmat"))</f>
        <v>5</v>
      </c>
      <c r="O29" s="79"/>
    </row>
    <row r="30" spans="1:15">
      <c r="B30" s="31" t="s">
        <v>68</v>
      </c>
      <c r="C30" s="88">
        <f>SUMPRODUCT((DATEDIF(Date_naissance,Date_de_référence_année,"y")&gt;3)*(DATEDIF(Date_naissance,Date_de_référence_année,"y")&lt;7)*(sexe="masculin"))</f>
        <v>0</v>
      </c>
      <c r="D30" s="88">
        <f>SUMPRODUCT((DATEDIF(Date_naissance,Date_de_référence_année,"y")&gt;3)*(DATEDIF(Date_naissance,Date_de_référence_année,"y")&lt;7)*(sexe="féminin"))</f>
        <v>0</v>
      </c>
      <c r="E30" s="79"/>
      <c r="G30" s="31" t="s">
        <v>68</v>
      </c>
      <c r="H30" s="88">
        <f>SUMPRODUCT((DATEDIF(Date_naissance,Date_de_référence_année,"y")&gt;3)*(DATEDIF(Date_naissance,Date_de_référence_année,"y")&lt;7)*(sexe="masculin")*(Famille_ou_Assmat="famille"))</f>
        <v>0</v>
      </c>
      <c r="I30" s="88">
        <f>SUMPRODUCT((DATEDIF(Date_naissance,Date_de_référence_année,"y")&gt;3)*(DATEDIF(Date_naissance,Date_de_référence_année,"y")&lt;7)*(sexe="féminin")*(Famille_ou_Assmat="famille"))</f>
        <v>0</v>
      </c>
      <c r="J30" s="79"/>
      <c r="L30" s="31" t="s">
        <v>68</v>
      </c>
      <c r="M30" s="88">
        <f>SUMPRODUCT((DATEDIF(Date_naissance,Date_de_référence_année,"y")&gt;3)*(DATEDIF(Date_naissance,Date_de_référence_année,"y")&lt;7)*(sexe="masculin")*(Famille_ou_Assmat="assmat"))</f>
        <v>0</v>
      </c>
      <c r="N30" s="88">
        <f>SUMPRODUCT((DATEDIF(Date_naissance,Date_de_référence_année,"y")&gt;3)*(DATEDIF(Date_naissance,Date_de_référence_année,"y")&lt;7)*(sexe="féminin")*(Famille_ou_Assmat="assmat"))</f>
        <v>0</v>
      </c>
      <c r="O30" s="79"/>
    </row>
    <row r="31" spans="1:15">
      <c r="B31" s="31" t="s">
        <v>69</v>
      </c>
      <c r="C31" s="88">
        <f>SUMPRODUCT((DATEDIF(Date_naissance,Date_de_référence_année,"y")&gt;6)*(DATEDIF(Date_naissance,Date_de_référence_année,"y")&lt;13)*(sexe="masculin"))</f>
        <v>1</v>
      </c>
      <c r="D31" s="88">
        <f>SUMPRODUCT((DATEDIF(Date_naissance,Date_de_référence_année,"y")&gt;6)*(DATEDIF(Date_naissance,Date_de_référence_année,"y")&lt;13)*(sexe="féminin"))</f>
        <v>2</v>
      </c>
      <c r="E31" s="79"/>
      <c r="G31" s="31" t="s">
        <v>69</v>
      </c>
      <c r="H31" s="88">
        <f>SUMPRODUCT((DATEDIF(Date_naissance,Date_de_référence_année,"y")&gt;6)*(DATEDIF(Date_naissance,Date_de_référence_année,"y")&lt;13)*(sexe="masculin")*(Famille_ou_Assmat="famille"))</f>
        <v>1</v>
      </c>
      <c r="I31" s="88">
        <f>SUMPRODUCT((DATEDIF(Date_naissance,Date_de_référence_année,"y")&gt;6)*(DATEDIF(Date_naissance,Date_de_référence_année,"y")&lt;13)*(sexe="féminin")*(Famille_ou_Assmat="famille"))</f>
        <v>2</v>
      </c>
      <c r="J31" s="79"/>
      <c r="L31" s="31" t="s">
        <v>69</v>
      </c>
      <c r="M31" s="88">
        <f>SUMPRODUCT((DATEDIF(Date_naissance,Date_de_référence_année,"y")&gt;6)*(DATEDIF(Date_naissance,Date_de_référence_année,"y")&lt;13)*(sexe="masculin")*(Famille_ou_Assmat="assmat"))</f>
        <v>0</v>
      </c>
      <c r="N31" s="88">
        <f>SUMPRODUCT((DATEDIF(Date_naissance,Date_de_référence_année,"y")&gt;6)*(DATEDIF(Date_naissance,Date_de_référence_année,"y")&lt;13)*(sexe="féminin")*(Famille_ou_Assmat="assmat"))</f>
        <v>0</v>
      </c>
      <c r="O31" s="79"/>
    </row>
    <row r="32" spans="1:15">
      <c r="B32" s="31" t="s">
        <v>70</v>
      </c>
      <c r="C32" s="88">
        <f>SUMPRODUCT((DATEDIF(Date_naissance,Date_de_référence_année,"y")&gt;12)*(DATEDIF(Date_naissance,Date_de_référence_année,"y")&lt;19)*(sexe="masculin"))</f>
        <v>2</v>
      </c>
      <c r="D32" s="88">
        <f>SUMPRODUCT((DATEDIF(Date_naissance,Date_de_référence_année,"y")&gt;12)*(DATEDIF(Date_naissance,Date_de_référence_année,"y")&lt;19)*(sexe="féminin"))</f>
        <v>0</v>
      </c>
      <c r="E32" s="79"/>
      <c r="G32" s="31" t="s">
        <v>70</v>
      </c>
      <c r="H32" s="88">
        <f>SUMPRODUCT((DATEDIF(Date_naissance,Date_de_référence_année,"y")&gt;12)*(DATEDIF(Date_naissance,Date_de_référence_année,"y")&lt;19)*(sexe="masculin")*(Famille_ou_Assmat="famille"))</f>
        <v>2</v>
      </c>
      <c r="I32" s="88">
        <f>SUMPRODUCT((DATEDIF(Date_naissance,Date_de_référence_année,"y")&gt;12)*(DATEDIF(Date_naissance,Date_de_référence_année,"y")&lt;19)*(sexe="féminin")*(Famille_ou_Assmat="famille"))</f>
        <v>0</v>
      </c>
      <c r="J32" s="79"/>
      <c r="L32" s="31" t="s">
        <v>70</v>
      </c>
      <c r="M32" s="88">
        <f>SUMPRODUCT((DATEDIF(Date_naissance,Date_de_référence_année,"y")&gt;12)*(DATEDIF(Date_naissance,Date_de_référence_année,"y")&lt;19)*(sexe="masculin")*(Famille_ou_Assmat="assmat"))</f>
        <v>0</v>
      </c>
      <c r="N32" s="88">
        <f>SUMPRODUCT((DATEDIF(Date_naissance,Date_de_référence_année,"y")&gt;12)*(DATEDIF(Date_naissance,Date_de_référence_année,"y")&lt;19)*(sexe="féminin")*(Famille_ou_Assmat="assmat"))</f>
        <v>0</v>
      </c>
      <c r="O32" s="79"/>
    </row>
    <row r="33" spans="2:15">
      <c r="B33" s="31" t="s">
        <v>71</v>
      </c>
      <c r="C33" s="88">
        <f>SUMPRODUCT((DATEDIF(Date_naissance,Date_de_référence_année,"y")&gt;18)*(DATEDIF(Date_naissance,Date_de_référence_année,"y")&lt;51)*(sexe="masculin"))</f>
        <v>12</v>
      </c>
      <c r="D33" s="88">
        <f>SUMPRODUCT((DATEDIF(Date_naissance,Date_de_référence_année,"y")&gt;18)*(DATEDIF(Date_naissance,Date_de_référence_année,"y")&lt;51)*(sexe="féminin"))</f>
        <v>8</v>
      </c>
      <c r="E33" s="79"/>
      <c r="G33" s="31" t="s">
        <v>71</v>
      </c>
      <c r="H33" s="88">
        <f>SUMPRODUCT((DATEDIF(Date_naissance,Date_de_référence_année,"y")&gt;18)*(DATEDIF(Date_naissance,Date_de_référence_année,"y")&lt;51)*(sexe="masculin")*(Famille_ou_Assmat="famille"))</f>
        <v>9</v>
      </c>
      <c r="I33" s="88">
        <f>SUMPRODUCT((DATEDIF(Date_naissance,Date_de_référence_année,"y")&gt;18)*(DATEDIF(Date_naissance,Date_de_référence_année,"y")&lt;51)*(sexe="féminin")*(Famille_ou_Assmat="famille"))</f>
        <v>8</v>
      </c>
      <c r="J33" s="79"/>
      <c r="L33" s="31" t="s">
        <v>71</v>
      </c>
      <c r="M33" s="88">
        <f>SUMPRODUCT((DATEDIF(Date_naissance,Date_de_référence_année,"y")&gt;18)*(DATEDIF(Date_naissance,Date_de_référence_année,"y")&lt;51)*(sexe="masculin")*(Famille_ou_Assmat="assmat"))</f>
        <v>3</v>
      </c>
      <c r="N33" s="88">
        <f>SUMPRODUCT((DATEDIF(Date_naissance,Date_de_référence_année,"y")&gt;18)*(DATEDIF(Date_naissance,Date_de_référence_année,"y")&lt;51)*(sexe="féminin")*(Famille_ou_Assmat="assmat"))</f>
        <v>0</v>
      </c>
      <c r="O33" s="79"/>
    </row>
    <row r="34" spans="2:15" ht="15.75" thickBot="1">
      <c r="B34" s="31" t="s">
        <v>72</v>
      </c>
      <c r="C34" s="88">
        <f>SUMPRODUCT((DATEDIF(Date_naissance,Date_de_référence_année,"y")&gt;50)*(sexe="masculin"))</f>
        <v>0</v>
      </c>
      <c r="D34" s="88">
        <f>SUMPRODUCT((DATEDIF(Date_naissance,Date_de_référence_année,"y")&gt;50)*(sexe="féminin"))</f>
        <v>1</v>
      </c>
      <c r="E34" s="79"/>
      <c r="G34" s="31" t="s">
        <v>72</v>
      </c>
      <c r="H34" s="88">
        <f>SUMPRODUCT((DATEDIF(Date_naissance,Date_de_référence_année,"y")&gt;50)*(sexe="masculin")*(Famille_ou_Assmat="famille"))</f>
        <v>0</v>
      </c>
      <c r="I34" s="88">
        <f>SUMPRODUCT((DATEDIF(Date_naissance,Date_de_référence_année,"y")&gt;50)*(sexe="féminin")*(Famille_ou_Assmat="famille"))</f>
        <v>1</v>
      </c>
      <c r="J34" s="79"/>
      <c r="L34" s="31" t="s">
        <v>72</v>
      </c>
      <c r="M34" s="88">
        <f>SUMPRODUCT((DATEDIF(Date_naissance,Date_de_référence_année,"y")&gt;50)*(sexe="masculin")*(Famille_ou_Assmat="assmat"))</f>
        <v>0</v>
      </c>
      <c r="N34" s="88">
        <f>SUMPRODUCT((DATEDIF(Date_naissance,Date_de_référence_année,"y")&gt;50)*(sexe="féminin")*(Famille_ou_Assmat="assmat"))</f>
        <v>0</v>
      </c>
      <c r="O34" s="79"/>
    </row>
    <row r="35" spans="2:15" ht="15.75" thickBot="1">
      <c r="B35" s="32" t="s">
        <v>73</v>
      </c>
      <c r="C35" s="89">
        <f>SUM(C29:C34)</f>
        <v>19</v>
      </c>
      <c r="D35" s="89">
        <f>SUM(D29:D34)</f>
        <v>19</v>
      </c>
      <c r="E35" s="79">
        <f>C35+D35</f>
        <v>38</v>
      </c>
      <c r="G35" s="32" t="s">
        <v>73</v>
      </c>
      <c r="H35" s="89">
        <f>SUM(H29:H34)</f>
        <v>14</v>
      </c>
      <c r="I35" s="89">
        <f>SUM(I29:I34)</f>
        <v>14</v>
      </c>
      <c r="J35" s="79">
        <f>H35+I35</f>
        <v>28</v>
      </c>
      <c r="L35" s="32" t="s">
        <v>73</v>
      </c>
      <c r="M35" s="89">
        <f>SUM(M29:M34)</f>
        <v>5</v>
      </c>
      <c r="N35" s="89">
        <f>SUM(N29:N34)</f>
        <v>5</v>
      </c>
      <c r="O35" s="79">
        <f>M35+N35</f>
        <v>10</v>
      </c>
    </row>
    <row r="36" spans="2:15">
      <c r="C36" s="90">
        <f>COUNTIF(sexe,"masculin")</f>
        <v>19</v>
      </c>
      <c r="D36" s="90">
        <f>COUNTIF(sexe,"féminin")</f>
        <v>19</v>
      </c>
      <c r="E36" s="79"/>
      <c r="H36" s="90">
        <f>SUMPRODUCT((sexe="masculin")*(Famille_ou_Assmat="famille"))</f>
        <v>14</v>
      </c>
      <c r="I36" s="90">
        <f>SUMPRODUCT((sexe="féminin")*(Famille_ou_Assmat="famille"))</f>
        <v>14</v>
      </c>
      <c r="J36" s="79"/>
      <c r="M36" s="90">
        <f>SUMPRODUCT((sexe="masculin")*(Famille_ou_Assmat="assmat"))</f>
        <v>5</v>
      </c>
      <c r="N36" s="90">
        <f>SUMPRODUCT((sexe="féminin")*(Famille_ou_Assmat="assmat"))</f>
        <v>5</v>
      </c>
      <c r="O36" s="79"/>
    </row>
    <row r="38" spans="2:15">
      <c r="B38" s="102" t="s">
        <v>76</v>
      </c>
      <c r="C38" s="103"/>
      <c r="E38" s="101" t="s">
        <v>83</v>
      </c>
      <c r="F38" s="66"/>
      <c r="I38" s="101" t="s">
        <v>176</v>
      </c>
      <c r="J38" s="101"/>
    </row>
    <row r="39" spans="2:15" ht="15.75" thickBot="1">
      <c r="B39" s="33" t="s">
        <v>74</v>
      </c>
      <c r="C39" s="33" t="s">
        <v>75</v>
      </c>
      <c r="E39" s="33" t="s">
        <v>74</v>
      </c>
      <c r="F39" s="33" t="s">
        <v>75</v>
      </c>
      <c r="I39" s="99" t="s">
        <v>177</v>
      </c>
      <c r="J39" s="100" t="s">
        <v>178</v>
      </c>
    </row>
    <row r="40" spans="2:15" ht="15.75" thickBot="1">
      <c r="B40" s="88">
        <f>SUMPRODUCT((1/COUNTIF(code_individu,code_individu))*(code_individu&lt;&gt;"NA"))</f>
        <v>23</v>
      </c>
      <c r="C40" s="88">
        <f>SUMPRODUCT(1/COUNTIFS(nom,nom,prenom,prenom)*(code_individu="NA"))</f>
        <v>5</v>
      </c>
      <c r="E40" s="104">
        <f>SUMPRODUCT((1/COUNTIF(code_famille,code_famille))*(code_famille&lt;&gt;"NA"))</f>
        <v>6.0000000000000009</v>
      </c>
      <c r="F40" s="105" t="e">
        <f>SUMPRODUCT((1/COUNTIF(famille,famille))*(code_famille&lt;&gt;"NA"))</f>
        <v>#N/A</v>
      </c>
      <c r="H40" s="97" t="s">
        <v>179</v>
      </c>
      <c r="I40" s="92">
        <f>COUNTIFS(Matin_et_ou_AM,"matin",code_individu,"&lt;&gt;NA")</f>
        <v>20</v>
      </c>
      <c r="J40" s="92">
        <f>COUNTIFS(Matin_et_ou_AM,"matin",code_individu,"NA")</f>
        <v>3</v>
      </c>
      <c r="K40" s="79">
        <f>I40+J40</f>
        <v>23</v>
      </c>
    </row>
    <row r="41" spans="2:15">
      <c r="H41" s="97" t="s">
        <v>149</v>
      </c>
      <c r="I41" s="92">
        <f>COUNTIFS(Matin_et_ou_AM,"après-midi",code_individu,"&lt;&gt;NA")</f>
        <v>13</v>
      </c>
      <c r="J41" s="92">
        <f>COUNTIFS(Matin_et_ou_AM,"après-midi",code_individu,"NA")</f>
        <v>2</v>
      </c>
      <c r="K41" s="79">
        <f>I41+J41</f>
        <v>15</v>
      </c>
    </row>
    <row r="42" spans="2:15">
      <c r="I42" s="79">
        <f>I40+I41</f>
        <v>33</v>
      </c>
      <c r="J42" s="79">
        <f>J40+J41</f>
        <v>5</v>
      </c>
      <c r="K42" s="79">
        <f>I42+J42</f>
        <v>38</v>
      </c>
    </row>
    <row r="43" spans="2:15">
      <c r="I43" s="98">
        <f>I42/K42</f>
        <v>0.86842105263157898</v>
      </c>
      <c r="J43" s="98">
        <f>J42/K42</f>
        <v>0.13157894736842105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O43"/>
  <sheetViews>
    <sheetView topLeftCell="A19" workbookViewId="0">
      <selection activeCell="E7" sqref="E7"/>
    </sheetView>
  </sheetViews>
  <sheetFormatPr baseColWidth="10" defaultColWidth="11.42578125" defaultRowHeight="15"/>
  <sheetData>
    <row r="1" spans="1:9">
      <c r="A1" s="22">
        <v>44013</v>
      </c>
    </row>
    <row r="3" spans="1:9">
      <c r="C3" s="68"/>
      <c r="D3" s="67" t="s">
        <v>194</v>
      </c>
      <c r="E3" s="68"/>
      <c r="F3" s="68"/>
      <c r="G3" s="68"/>
    </row>
    <row r="4" spans="1:9" ht="15.75" thickBot="1"/>
    <row r="5" spans="1:9" ht="15.75" thickBot="1">
      <c r="B5" s="69" t="s">
        <v>64</v>
      </c>
      <c r="C5" s="69"/>
      <c r="D5" s="70"/>
      <c r="E5" s="27" t="s">
        <v>58</v>
      </c>
      <c r="F5" s="28" t="s">
        <v>59</v>
      </c>
      <c r="G5" s="29" t="s">
        <v>45</v>
      </c>
      <c r="H5" s="71" t="s">
        <v>159</v>
      </c>
      <c r="I5" s="71" t="s">
        <v>160</v>
      </c>
    </row>
    <row r="6" spans="1:9" ht="16.5" thickTop="1" thickBot="1">
      <c r="B6" s="72" t="s">
        <v>57</v>
      </c>
      <c r="C6" s="73"/>
      <c r="D6" s="85"/>
      <c r="E6" s="108">
        <f>SUMPRODUCT((1/COUNTIFS(nom,nom,prenom,prenom))*(Territoire="territoire 1")*(Famille_ou_Assmat="famille")*(periode=4))</f>
        <v>4.333333333333333</v>
      </c>
      <c r="F6" s="109">
        <f>SUMPRODUCT(1/COUNTIFS(nom,nom,prenom,prenom)*(Territoire="territoire 2")*(Famille_ou_Assmat="famille"))</f>
        <v>7</v>
      </c>
      <c r="G6" s="109">
        <f>SUMPRODUCT(1/COUNTIFS(nom,nom,prenom,prenom)*(Territoire="territoire 3")*(Famille_ou_Assmat="famille"))</f>
        <v>4</v>
      </c>
      <c r="H6" s="110">
        <f>SUM(E6:G6)</f>
        <v>15.333333333333332</v>
      </c>
      <c r="I6" s="110">
        <f>SUMPRODUCT(1/COUNTIFS(nom,nom,prenom,prenom)*(Famille_ou_Assmat="famille"))</f>
        <v>21</v>
      </c>
    </row>
    <row r="7" spans="1:9" ht="15.75" thickBot="1">
      <c r="B7" s="83" t="s">
        <v>56</v>
      </c>
      <c r="C7" s="84"/>
      <c r="D7" s="85"/>
      <c r="E7" s="108">
        <f>SUMPRODUCT(1/COUNTIF(famille,famille)*(Territoire="territoire 1")*(Famille_ou_Assmat="famille"))</f>
        <v>3.0000000000000004</v>
      </c>
      <c r="F7" s="109">
        <f>SUMPRODUCT(1/COUNTIF(famille,famille)*(Territoire="territoire 2")*(Famille_ou_Assmat="famille"))</f>
        <v>1.9999999999999998</v>
      </c>
      <c r="G7" s="109">
        <f>SUMPRODUCT(1/COUNTIF(famille,famille)*(Territoire="territoire 3")*(Famille_ou_Assmat="famille"))</f>
        <v>1</v>
      </c>
      <c r="H7" s="110">
        <f t="shared" ref="H7:H9" si="0">SUM(E7:G7)</f>
        <v>6</v>
      </c>
      <c r="I7" s="110">
        <f>SUMPRODUCT(1/COUNTIF(famille,famille)*(Famille_ou_Assmat="famille"))</f>
        <v>5.9999999999999982</v>
      </c>
    </row>
    <row r="8" spans="1:9" ht="15.75" thickBot="1">
      <c r="B8" s="81" t="s">
        <v>54</v>
      </c>
      <c r="C8" s="82"/>
      <c r="D8" s="80"/>
      <c r="E8" s="91">
        <f>COUNTIFS(Territoire,"Territoire 1",Matin_et_ou_AM,"matin",Famille_ou_Assmat,"famille", periode,4)</f>
        <v>2</v>
      </c>
      <c r="F8" s="91">
        <f>COUNTIFS(Territoire,"Territoire 2",Matin_et_ou_AM,"matin",Famille_ou_Assmat,"famille",periode,4)</f>
        <v>7</v>
      </c>
      <c r="G8" s="91">
        <f>COUNTIFS(Territoire,"Territoire 3",Matin_et_ou_AM,"matin",Famille_ou_Assmat,"famille",periode,4)</f>
        <v>4</v>
      </c>
      <c r="H8" s="79">
        <f t="shared" si="0"/>
        <v>13</v>
      </c>
      <c r="I8" s="79">
        <f>COUNTIFS(Matin_et_ou_AM,"matin",Famille_ou_Assmat,"famille")+COUNTIFS(Matin_et_ou_AM,"matin ET après-midi",Famille_ou_Assmat,"famille",periode,4)</f>
        <v>16</v>
      </c>
    </row>
    <row r="9" spans="1:9" ht="16.5" thickTop="1" thickBot="1">
      <c r="B9" s="75" t="s">
        <v>55</v>
      </c>
      <c r="C9" s="76"/>
      <c r="D9" s="77"/>
      <c r="E9" s="91">
        <f>COUNTIFS(Territoire,"Territoire 1",Matin_et_ou_AM,"après-midi",Famille_ou_Assmat,"famille",periode,4)</f>
        <v>5</v>
      </c>
      <c r="F9" s="91">
        <f>COUNTIFS(Territoire,"Territoire 2",Matin_et_ou_AM,"après-midi",Famille_ou_Assmat,"famille",periode,4)</f>
        <v>0</v>
      </c>
      <c r="G9" s="91">
        <f>COUNTIFS(Territoire,"Territoire 3",Matin_et_ou_AM,"après-midi",Famille_ou_Assmat,"famille",periode,4)</f>
        <v>0</v>
      </c>
      <c r="H9" s="79">
        <f t="shared" si="0"/>
        <v>5</v>
      </c>
      <c r="I9" s="79">
        <f>COUNTIFS(Matin_et_ou_AM,"après-midi",Famille_ou_Assmat,"famille",periode,4)</f>
        <v>5</v>
      </c>
    </row>
    <row r="10" spans="1:9" ht="15.75" thickBot="1">
      <c r="B10" s="26"/>
      <c r="C10" s="26"/>
      <c r="D10" s="26"/>
      <c r="E10" s="92">
        <f>COUNTIFS(Territoire,"Territoire 1",Famille_ou_Assmat,"famille",periode,4)</f>
        <v>7</v>
      </c>
      <c r="F10" s="92">
        <f>COUNTIFS(Territoire,"Territoire 2",Famille_ou_Assmat,"famille",periode,4)</f>
        <v>7</v>
      </c>
      <c r="G10" s="92">
        <f>COUNTIFS(Territoire,"Territoire 3",Famille_ou_Assmat,"famille",periode,4)</f>
        <v>4</v>
      </c>
      <c r="H10" s="79">
        <f>SUM(E10:G10)</f>
        <v>18</v>
      </c>
      <c r="I10" s="79">
        <f>COUNTIFS(Famille_ou_Assmat,"famille",periode,4)</f>
        <v>18</v>
      </c>
    </row>
    <row r="11" spans="1:9" ht="15.75" thickBot="1">
      <c r="B11" s="26"/>
      <c r="C11" s="26"/>
      <c r="D11" s="26"/>
      <c r="E11" s="50"/>
      <c r="F11" s="50"/>
      <c r="G11" s="51"/>
    </row>
    <row r="12" spans="1:9" ht="15.75" thickBot="1">
      <c r="B12" s="69" t="s">
        <v>1</v>
      </c>
      <c r="C12" s="69"/>
      <c r="D12" s="70"/>
      <c r="E12" s="27" t="s">
        <v>58</v>
      </c>
      <c r="F12" s="28" t="s">
        <v>59</v>
      </c>
      <c r="G12" s="29" t="s">
        <v>45</v>
      </c>
    </row>
    <row r="13" spans="1:9" ht="16.5" thickTop="1" thickBot="1">
      <c r="B13" s="72" t="s">
        <v>61</v>
      </c>
      <c r="C13" s="73"/>
      <c r="D13" s="74"/>
      <c r="E13" s="106">
        <f>SUMPRODUCT(1/COUNTIFS(nom,nom,prenom,prenom)*(Territoire="territoire 1")*(Famille_ou_Assmat="assmat"))</f>
        <v>0</v>
      </c>
      <c r="F13" s="107">
        <f>SUMPRODUCT(1/COUNTIFS(nom,nom,prenom,prenom)*(Territoire="territoire 2")*(Famille_ou_Assmat="assmat"))</f>
        <v>4</v>
      </c>
      <c r="G13" s="107">
        <f>SUMPRODUCT(1/COUNTIFS(nom,nom,prenom,prenom)*(Territoire="territoire 3")*(Famille_ou_Assmat="assmat"))</f>
        <v>3</v>
      </c>
      <c r="H13" s="78">
        <f>SUM(E13:G13)</f>
        <v>7</v>
      </c>
      <c r="I13" s="78">
        <f>SUMPRODUCT(1/COUNTIFS(nom,nom,prenom,prenom)*(Famille_ou_Assmat="assmat"))</f>
        <v>7</v>
      </c>
    </row>
    <row r="14" spans="1:9" ht="16.5" thickTop="1" thickBot="1">
      <c r="B14" s="72" t="s">
        <v>60</v>
      </c>
      <c r="C14" s="73"/>
      <c r="D14" s="74"/>
      <c r="E14" s="107">
        <f>SUMPRODUCT(1/COUNTIF(famille,famille)*(Territoire="territoire 1")*(Famille_ou_Assmat="assmat"))</f>
        <v>0</v>
      </c>
      <c r="F14" s="107">
        <f>SUMPRODUCT(1/COUNTIF(famille,famille)*(Territoire="territoire 2")*(Famille_ou_Assmat="assmat"))</f>
        <v>0.99999999999999978</v>
      </c>
      <c r="G14" s="107">
        <f>SUMPRODUCT(1/COUNTIF(famille,famille)*(Territoire="territoire 3")*(Famille_ou_Assmat="assmat"))</f>
        <v>1</v>
      </c>
      <c r="H14" s="78">
        <f t="shared" ref="H14" si="1">SUM(E14:G14)</f>
        <v>1.9999999999999998</v>
      </c>
      <c r="I14" s="78">
        <f>SUMPRODUCT(1/COUNTIF(famille,famille)*(Famille_ou_Assmat="assmat"))</f>
        <v>1.9999999999999996</v>
      </c>
    </row>
    <row r="15" spans="1:9" ht="16.5" thickTop="1" thickBot="1">
      <c r="B15" s="72" t="s">
        <v>62</v>
      </c>
      <c r="C15" s="73"/>
      <c r="D15" s="74"/>
      <c r="E15" s="91">
        <f>COUNTIFS(Territoire,"Territoire 1",Matin_et_ou_AM,"matin",Famille_ou_Assmat,"Assmat",periode,4)</f>
        <v>0</v>
      </c>
      <c r="F15" s="91">
        <f>COUNTIFS(Territoire,"Territoire 2",Matin_et_ou_AM,"matin",Famille_ou_Assmat,"Assmat",periode,4)</f>
        <v>4</v>
      </c>
      <c r="G15" s="91">
        <f>COUNTIFS(Territoire,"Territoire 3",Matin_et_ou_AM,"matin",Famille_ou_Assmat,"Assmat",periode,4)</f>
        <v>0</v>
      </c>
      <c r="H15" s="79">
        <f>SUM(E15:G15)</f>
        <v>4</v>
      </c>
      <c r="I15" s="79">
        <f>COUNTIFS(Matin_et_ou_AM,"matin",Famille_ou_Assmat,"assmat")</f>
        <v>7</v>
      </c>
    </row>
    <row r="16" spans="1:9" ht="16.5" thickTop="1" thickBot="1">
      <c r="B16" s="75" t="s">
        <v>63</v>
      </c>
      <c r="C16" s="76"/>
      <c r="D16" s="77"/>
      <c r="E16" s="91">
        <f>COUNTIFS(Territoire,"Territoire 1",Matin_et_ou_AM,"après-midi",Famille_ou_Assmat,"assmat",periode,4)</f>
        <v>0</v>
      </c>
      <c r="F16" s="91">
        <f>COUNTIFS(Territoire,"Territoire 2",Matin_et_ou_AM,"après-midi",Famille_ou_Assmat,"assmat",periode,4)</f>
        <v>0</v>
      </c>
      <c r="G16" s="91">
        <f>COUNTIFS(Territoire,"Territoire 3",Matin_et_ou_AM,"après-midi",Famille_ou_Assmat,"assmat",periode,4)</f>
        <v>0</v>
      </c>
      <c r="H16" s="79">
        <f>SUM(E16:G16)</f>
        <v>0</v>
      </c>
      <c r="I16" s="79">
        <f>COUNTIFS(Matin_et_ou_AM,"après-midi",Famille_ou_Assmat,"assmat",periode,4)</f>
        <v>0</v>
      </c>
    </row>
    <row r="17" spans="1:15">
      <c r="B17" s="26"/>
      <c r="C17" s="26"/>
      <c r="D17" s="26"/>
      <c r="E17" s="92">
        <f>COUNTIFS(Territoire,"Territoire 1",Famille_ou_Assmat,"assmat",periode,4)</f>
        <v>0</v>
      </c>
      <c r="F17" s="92">
        <f>COUNTIFS(Territoire,"Territoire 2",Famille_ou_Assmat,"assmat",periode,4)</f>
        <v>4</v>
      </c>
      <c r="G17" s="92">
        <f>COUNTIFS(Territoire,"Territoire 3",Famille_ou_Assmat,"assmat",periode,4)</f>
        <v>0</v>
      </c>
      <c r="H17" s="79">
        <f>SUM(E17:G17)</f>
        <v>4</v>
      </c>
      <c r="I17" s="79">
        <f>COUNTIFS(Famille_ou_Assmat,"assmat",periode,4)</f>
        <v>4</v>
      </c>
    </row>
    <row r="18" spans="1:15" ht="15.75" thickBot="1">
      <c r="B18" s="26"/>
      <c r="C18" s="26"/>
      <c r="D18" s="26"/>
      <c r="E18" s="26"/>
      <c r="F18" s="26"/>
      <c r="G18" s="26"/>
    </row>
    <row r="19" spans="1:15">
      <c r="B19" s="26"/>
      <c r="C19" s="26"/>
      <c r="D19" s="26"/>
      <c r="E19" s="92">
        <f>E10+E17</f>
        <v>7</v>
      </c>
      <c r="F19" s="92">
        <f>F10+F17</f>
        <v>11</v>
      </c>
      <c r="G19" s="92">
        <f>G10+G17</f>
        <v>4</v>
      </c>
      <c r="H19" s="79">
        <f>SUM(E19:G19)</f>
        <v>22</v>
      </c>
    </row>
    <row r="20" spans="1:15">
      <c r="B20" s="26"/>
      <c r="C20" s="26"/>
      <c r="D20" s="26"/>
      <c r="E20" s="26"/>
      <c r="F20" s="26"/>
      <c r="G20" s="26"/>
    </row>
    <row r="21" spans="1:15">
      <c r="C21" s="68"/>
      <c r="D21" s="67" t="s">
        <v>195</v>
      </c>
      <c r="E21" s="68"/>
      <c r="F21" s="68"/>
      <c r="G21" s="68"/>
    </row>
    <row r="22" spans="1:15" ht="15.75" thickBot="1"/>
    <row r="23" spans="1:15" ht="56.25" thickBot="1">
      <c r="B23" s="34" t="s">
        <v>77</v>
      </c>
      <c r="C23" s="34" t="s">
        <v>78</v>
      </c>
      <c r="D23" s="35" t="s">
        <v>79</v>
      </c>
      <c r="E23" s="36" t="s">
        <v>80</v>
      </c>
      <c r="F23" s="37" t="s">
        <v>81</v>
      </c>
      <c r="G23" s="38" t="s">
        <v>82</v>
      </c>
      <c r="K23" s="65"/>
    </row>
    <row r="24" spans="1:15">
      <c r="A24" t="s">
        <v>84</v>
      </c>
      <c r="B24" s="91">
        <f>COUNTIFS(JSP_OU_EMPRUNT,"Jeu sur place",periode,4)</f>
        <v>11</v>
      </c>
      <c r="C24" s="91">
        <f>COUNTIFS(JSP_OU_EMPRUNT,"Emprunt seul",periode,4)</f>
        <v>2</v>
      </c>
      <c r="D24" s="91">
        <f>COUNTIFS(JSP_OU_EMPRUNT,"Jeu sur place ET emprunt",periode,4)</f>
        <v>9</v>
      </c>
      <c r="E24" s="91">
        <f>COUNTIFS(Découverte,"oui",periode,4)</f>
        <v>3</v>
      </c>
      <c r="F24" s="91">
        <f>COUNTIFS(Ponctuel,"oui",periode,4)</f>
        <v>0</v>
      </c>
      <c r="G24" s="91">
        <f>COUNTIFS(Atelier,"oui",periode,4)</f>
        <v>0</v>
      </c>
    </row>
    <row r="26" spans="1:15">
      <c r="B26" s="62" t="s">
        <v>196</v>
      </c>
      <c r="D26" s="62"/>
      <c r="E26" s="62"/>
      <c r="F26" s="62"/>
      <c r="G26" s="62" t="s">
        <v>197</v>
      </c>
      <c r="I26" s="62"/>
      <c r="J26" s="62"/>
      <c r="L26" s="62" t="s">
        <v>197</v>
      </c>
      <c r="N26" s="62"/>
      <c r="O26" s="62"/>
    </row>
    <row r="27" spans="1:15">
      <c r="H27" t="s">
        <v>162</v>
      </c>
      <c r="M27" t="s">
        <v>163</v>
      </c>
    </row>
    <row r="28" spans="1:15">
      <c r="C28" s="66" t="s">
        <v>65</v>
      </c>
      <c r="D28" s="66" t="s">
        <v>66</v>
      </c>
      <c r="H28" s="66" t="s">
        <v>65</v>
      </c>
      <c r="I28" s="66" t="s">
        <v>66</v>
      </c>
      <c r="M28" s="66" t="s">
        <v>65</v>
      </c>
      <c r="N28" s="66" t="s">
        <v>66</v>
      </c>
    </row>
    <row r="29" spans="1:15">
      <c r="B29" s="31" t="s">
        <v>67</v>
      </c>
      <c r="C29" s="88">
        <f>SUMPRODUCT((DATEDIF(Date_naissance,Date_de_référence_année,"y")&lt;4)*(sexe="masculin")*(periode=4))</f>
        <v>1</v>
      </c>
      <c r="D29" s="88">
        <f>SUMPRODUCT((DATEDIF(Date_naissance,Date_de_référence_année,"y")&lt;4)*(sexe="féminin")*(periode=4))</f>
        <v>4</v>
      </c>
      <c r="E29" s="79"/>
      <c r="G29" s="31" t="s">
        <v>67</v>
      </c>
      <c r="H29" s="88">
        <f>SUMPRODUCT((DATEDIF(Date_naissance,Date_de_référence_année,"y")&lt;4)*(sexe="masculin")*(periode=4)*(Famille_ou_Assmat="famille"))</f>
        <v>0</v>
      </c>
      <c r="I29" s="88">
        <f>SUMPRODUCT((DATEDIF(Date_naissance,Date_de_référence_année,"y")&lt;4)*(sexe="féminin")*(periode=4)*(Famille_ou_Assmat="famille"))</f>
        <v>2</v>
      </c>
      <c r="J29" s="79"/>
      <c r="L29" s="31" t="s">
        <v>67</v>
      </c>
      <c r="M29" s="88">
        <f>SUMPRODUCT((DATEDIF(Date_naissance,Date_de_référence_année,"y")&lt;4)*(sexe="masculin")*(periode=4)*(Famille_ou_Assmat="assmat"))</f>
        <v>1</v>
      </c>
      <c r="N29" s="88">
        <f>SUMPRODUCT((DATEDIF(Date_naissance,Date_de_référence_année,"y")&lt;4)*(sexe="féminin")*(periode=4)*(Famille_ou_Assmat="assmat"))</f>
        <v>2</v>
      </c>
      <c r="O29" s="79"/>
    </row>
    <row r="30" spans="1:15">
      <c r="B30" s="31" t="s">
        <v>68</v>
      </c>
      <c r="C30" s="88">
        <f>SUMPRODUCT((DATEDIF(Date_naissance,Date_de_référence_année,"y")&gt;3)*(DATEDIF(Date_naissance,Date_de_référence_année,"y")&lt;7)*(sexe="masculin")*(periode=4))</f>
        <v>0</v>
      </c>
      <c r="D30" s="88">
        <f>SUMPRODUCT((DATEDIF(Date_naissance,Date_de_référence_année,"y")&gt;3)*(DATEDIF(Date_naissance,Date_de_référence_année,"y")&lt;7)*(sexe="féminin")*(periode=4))</f>
        <v>0</v>
      </c>
      <c r="E30" s="79"/>
      <c r="G30" s="31" t="s">
        <v>68</v>
      </c>
      <c r="H30" s="88">
        <f>SUMPRODUCT((DATEDIF(Date_naissance,Date_de_référence_année,"y")&gt;3)*(DATEDIF(Date_naissance,Date_de_référence_année,"y")&lt;7)*(sexe="masculin")*(periode=4)*(Famille_ou_Assmat="famille"))</f>
        <v>0</v>
      </c>
      <c r="I30" s="88">
        <f>SUMPRODUCT((DATEDIF(Date_naissance,Date_de_référence_année,"y")&gt;3)*(DATEDIF(Date_naissance,Date_de_référence_année,"y")&lt;7)*(sexe="féminin")*(periode=4)*(Famille_ou_Assmat="famille"))</f>
        <v>0</v>
      </c>
      <c r="J30" s="79"/>
      <c r="L30" s="31" t="s">
        <v>68</v>
      </c>
      <c r="M30" s="88">
        <f>SUMPRODUCT((DATEDIF(Date_naissance,Date_de_référence_année,"y")&gt;3)*(DATEDIF(Date_naissance,Date_de_référence_année,"y")&lt;7)*(sexe="masculin")*(periode=4)*(Famille_ou_Assmat="assmat"))</f>
        <v>0</v>
      </c>
      <c r="N30" s="88">
        <f>SUMPRODUCT((DATEDIF(Date_naissance,Date_de_référence_année,"y")&gt;3)*(DATEDIF(Date_naissance,Date_de_référence_année,"y")&lt;7)*(sexe="féminin")*(periode=4)*(Famille_ou_Assmat="assmat"))</f>
        <v>0</v>
      </c>
      <c r="O30" s="79"/>
    </row>
    <row r="31" spans="1:15">
      <c r="B31" s="31" t="s">
        <v>69</v>
      </c>
      <c r="C31" s="88">
        <f>SUMPRODUCT((DATEDIF(Date_naissance,Date_de_référence_année,"y")&gt;6)*(DATEDIF(Date_naissance,Date_de_référence_année,"y")&lt;13)*(sexe="masculin")*(periode=4))</f>
        <v>1</v>
      </c>
      <c r="D31" s="88">
        <f>SUMPRODUCT((DATEDIF(Date_naissance,Date_de_référence_année,"y")&gt;6)*(DATEDIF(Date_naissance,Date_de_référence_année,"y")&lt;13)*(sexe="féminin")*(periode=4))</f>
        <v>2</v>
      </c>
      <c r="E31" s="79"/>
      <c r="G31" s="31" t="s">
        <v>69</v>
      </c>
      <c r="H31" s="88">
        <f>SUMPRODUCT((DATEDIF(Date_naissance,Date_de_référence_année,"y")&gt;6)*(DATEDIF(Date_naissance,Date_de_référence_année,"y")&lt;13)*(sexe="masculin")*(periode=4)*(Famille_ou_Assmat="famille"))</f>
        <v>1</v>
      </c>
      <c r="I31" s="88">
        <f>SUMPRODUCT((DATEDIF(Date_naissance,Date_de_référence_année,"y")&gt;6)*(DATEDIF(Date_naissance,Date_de_référence_année,"y")&lt;13)*(sexe="féminin")*(periode=4)*(Famille_ou_Assmat="famille"))</f>
        <v>2</v>
      </c>
      <c r="J31" s="79"/>
      <c r="L31" s="31" t="s">
        <v>69</v>
      </c>
      <c r="M31" s="88">
        <f>SUMPRODUCT((DATEDIF(Date_naissance,Date_de_référence_année,"y")&gt;6)*(DATEDIF(Date_naissance,Date_de_référence_année,"y")&lt;13)*(sexe="masculin")*(periode=4)*(Famille_ou_Assmat="assmat"))</f>
        <v>0</v>
      </c>
      <c r="N31" s="88">
        <f>SUMPRODUCT((DATEDIF(Date_naissance,Date_de_référence_année,"y")&gt;6)*(DATEDIF(Date_naissance,Date_de_référence_année,"y")&lt;13)*(sexe="féminin")*(periode=4)*(Famille_ou_Assmat="assmat"))</f>
        <v>0</v>
      </c>
      <c r="O31" s="79"/>
    </row>
    <row r="32" spans="1:15">
      <c r="B32" s="31" t="s">
        <v>70</v>
      </c>
      <c r="C32" s="88">
        <f>SUMPRODUCT((DATEDIF(Date_naissance,Date_de_référence_année,"y")&gt;12)*(DATEDIF(Date_naissance,Date_de_référence_année,"y")&lt;19)*(sexe="masculin")*(periode=4))</f>
        <v>2</v>
      </c>
      <c r="D32" s="88">
        <f>SUMPRODUCT((DATEDIF(Date_naissance,Date_de_référence_année,"y")&gt;12)*(DATEDIF(Date_naissance,Date_de_référence_année,"y")&lt;19)*(sexe="féminin")*(periode=4))</f>
        <v>0</v>
      </c>
      <c r="E32" s="79"/>
      <c r="G32" s="31" t="s">
        <v>70</v>
      </c>
      <c r="H32" s="88">
        <f>SUMPRODUCT((DATEDIF(Date_naissance,Date_de_référence_année,"y")&gt;12)*(DATEDIF(Date_naissance,Date_de_référence_année,"y")&lt;19)*(sexe="masculin")*(periode=4)*(Famille_ou_Assmat="famille"))</f>
        <v>2</v>
      </c>
      <c r="I32" s="88">
        <f>SUMPRODUCT((DATEDIF(Date_naissance,Date_de_référence_année,"y")&gt;12)*(DATEDIF(Date_naissance,Date_de_référence_année,"y")&lt;19)*(sexe="féminin")*(periode=4)*(Famille_ou_Assmat="famille"))</f>
        <v>0</v>
      </c>
      <c r="J32" s="79"/>
      <c r="L32" s="31" t="s">
        <v>70</v>
      </c>
      <c r="M32" s="88">
        <f>SUMPRODUCT((DATEDIF(Date_naissance,Date_de_référence_année,"y")&gt;12)*(DATEDIF(Date_naissance,Date_de_référence_année,"y")&lt;19)*(sexe="masculin")*(periode=4)*(Famille_ou_Assmat="assmat"))</f>
        <v>0</v>
      </c>
      <c r="N32" s="88">
        <f>SUMPRODUCT((DATEDIF(Date_naissance,Date_de_référence_année,"y")&gt;12)*(DATEDIF(Date_naissance,Date_de_référence_année,"y")&lt;19)*(sexe="féminin")*(periode=4)*(Famille_ou_Assmat="assmat"))</f>
        <v>0</v>
      </c>
      <c r="O32" s="79"/>
    </row>
    <row r="33" spans="2:15">
      <c r="B33" s="31" t="s">
        <v>71</v>
      </c>
      <c r="C33" s="88">
        <f>SUMPRODUCT((DATEDIF(Date_naissance,Date_de_référence_année,"y")&gt;18)*(DATEDIF(Date_naissance,Date_de_référence_année,"y")&lt;51)*(sexe="masculin")*(periode=4))</f>
        <v>6</v>
      </c>
      <c r="D33" s="88">
        <f>SUMPRODUCT((DATEDIF(Date_naissance,Date_de_référence_année,"y")&gt;18)*(DATEDIF(Date_naissance,Date_de_référence_année,"y")&lt;51)*(sexe="féminin")*(periode=4))</f>
        <v>5</v>
      </c>
      <c r="E33" s="79"/>
      <c r="G33" s="31" t="s">
        <v>71</v>
      </c>
      <c r="H33" s="88">
        <f>SUMPRODUCT((DATEDIF(Date_naissance,Date_de_référence_année,"y")&gt;18)*(DATEDIF(Date_naissance,Date_de_référence_année,"y")&lt;51)*(sexe="masculin")*(periode=4)*(Famille_ou_Assmat="famille"))</f>
        <v>5</v>
      </c>
      <c r="I33" s="88">
        <f>SUMPRODUCT((DATEDIF(Date_naissance,Date_de_référence_année,"y")&gt;18)*(DATEDIF(Date_naissance,Date_de_référence_année,"y")&lt;51)*(sexe="féminin")*(periode=4)*(Famille_ou_Assmat="famille"))</f>
        <v>5</v>
      </c>
      <c r="J33" s="79"/>
      <c r="L33" s="31" t="s">
        <v>71</v>
      </c>
      <c r="M33" s="88">
        <f>SUMPRODUCT((DATEDIF(Date_naissance,Date_de_référence_année,"y")&gt;18)*(DATEDIF(Date_naissance,Date_de_référence_année,"y")&lt;51)*(sexe="masculin")*(periode=4)*(Famille_ou_Assmat="assmat"))</f>
        <v>1</v>
      </c>
      <c r="N33" s="88">
        <f>SUMPRODUCT((DATEDIF(Date_naissance,Date_de_référence_année,"y")&gt;18)*(DATEDIF(Date_naissance,Date_de_référence_année,"y")&lt;51)*(sexe="féminin")*(periode=4)*(Famille_ou_Assmat="assmat"))</f>
        <v>0</v>
      </c>
      <c r="O33" s="79"/>
    </row>
    <row r="34" spans="2:15" ht="15.75" thickBot="1">
      <c r="B34" s="31" t="s">
        <v>72</v>
      </c>
      <c r="C34" s="88">
        <f>SUMPRODUCT((DATEDIF(Date_naissance,Date_de_référence_année,"y")&gt;50)*(sexe="masculin")*(periode=4))</f>
        <v>0</v>
      </c>
      <c r="D34" s="88">
        <f>SUMPRODUCT((DATEDIF(Date_naissance,Date_de_référence_année,"y")&gt;50)*(sexe="féminin")*(periode=4))</f>
        <v>1</v>
      </c>
      <c r="E34" s="79"/>
      <c r="G34" s="31" t="s">
        <v>72</v>
      </c>
      <c r="H34" s="88">
        <f>SUMPRODUCT((DATEDIF(Date_naissance,Date_de_référence_année,"y")&gt;50)*(sexe="masculin")*(periode=4)*(Famille_ou_Assmat="famille"))</f>
        <v>0</v>
      </c>
      <c r="I34" s="88">
        <f>SUMPRODUCT((DATEDIF(Date_naissance,Date_de_référence_année,"y")&gt;50)*(sexe="féminin")*(periode=4)*(Famille_ou_Assmat="famille"))</f>
        <v>1</v>
      </c>
      <c r="J34" s="79"/>
      <c r="L34" s="31" t="s">
        <v>72</v>
      </c>
      <c r="M34" s="88">
        <f>SUMPRODUCT((DATEDIF(Date_naissance,Date_de_référence_année,"y")&gt;50)*(sexe="masculin")*(periode=4)*(Famille_ou_Assmat="assmat"))</f>
        <v>0</v>
      </c>
      <c r="N34" s="88">
        <f>SUMPRODUCT((DATEDIF(Date_naissance,Date_de_référence_année,"y")&gt;50)*(sexe="féminin")*(periode=4)*(Famille_ou_Assmat="assmat"))</f>
        <v>0</v>
      </c>
      <c r="O34" s="79"/>
    </row>
    <row r="35" spans="2:15" ht="15.75" thickBot="1">
      <c r="B35" s="32" t="s">
        <v>73</v>
      </c>
      <c r="C35" s="89">
        <f>SUM(C29:C34)</f>
        <v>10</v>
      </c>
      <c r="D35" s="89">
        <f>SUM(D29:D34)</f>
        <v>12</v>
      </c>
      <c r="E35" s="79">
        <f>C35+D35</f>
        <v>22</v>
      </c>
      <c r="G35" s="32" t="s">
        <v>73</v>
      </c>
      <c r="H35" s="89">
        <f>SUM(H29:H34)</f>
        <v>8</v>
      </c>
      <c r="I35" s="89">
        <f>SUM(I29:I34)</f>
        <v>10</v>
      </c>
      <c r="J35" s="79">
        <f>H35+I35</f>
        <v>18</v>
      </c>
      <c r="L35" s="32" t="s">
        <v>73</v>
      </c>
      <c r="M35" s="89">
        <f>SUM(M29:M34)</f>
        <v>2</v>
      </c>
      <c r="N35" s="89">
        <f>SUM(N29:N34)</f>
        <v>2</v>
      </c>
      <c r="O35" s="79">
        <f>M35+N35</f>
        <v>4</v>
      </c>
    </row>
    <row r="36" spans="2:15">
      <c r="C36" s="90">
        <f>COUNTIFS(sexe,"masculin", periode,4)</f>
        <v>10</v>
      </c>
      <c r="D36" s="90">
        <f>COUNTIFS(sexe,"féminin", periode,4)</f>
        <v>12</v>
      </c>
      <c r="E36" s="79"/>
      <c r="H36" s="90">
        <f>SUMPRODUCT((sexe="masculin")*(Famille_ou_Assmat="famille")*(periode=4))</f>
        <v>8</v>
      </c>
      <c r="I36" s="90">
        <f>SUMPRODUCT((sexe="féminin")*(Famille_ou_Assmat="famille")*(periode=4))</f>
        <v>10</v>
      </c>
      <c r="J36" s="79"/>
      <c r="M36" s="90">
        <f>SUMPRODUCT((sexe="masculin")*(Famille_ou_Assmat="assmat")*(periode=4))</f>
        <v>2</v>
      </c>
      <c r="N36" s="90">
        <f>SUMPRODUCT((sexe="féminin")*(Famille_ou_Assmat="assmat")*(periode=4))</f>
        <v>2</v>
      </c>
      <c r="O36" s="79"/>
    </row>
    <row r="38" spans="2:15">
      <c r="B38" s="102" t="s">
        <v>76</v>
      </c>
      <c r="C38" s="103"/>
      <c r="E38" s="101" t="s">
        <v>83</v>
      </c>
      <c r="F38" s="66"/>
      <c r="I38" s="101" t="s">
        <v>176</v>
      </c>
      <c r="J38" s="101"/>
    </row>
    <row r="39" spans="2:15" ht="15.75" thickBot="1">
      <c r="B39" s="33" t="s">
        <v>74</v>
      </c>
      <c r="C39" s="33" t="s">
        <v>75</v>
      </c>
      <c r="E39" s="33" t="s">
        <v>74</v>
      </c>
      <c r="F39" s="33" t="s">
        <v>75</v>
      </c>
      <c r="I39" s="99" t="s">
        <v>177</v>
      </c>
      <c r="J39" s="100" t="s">
        <v>178</v>
      </c>
    </row>
    <row r="40" spans="2:15" ht="15.75" thickBot="1">
      <c r="B40" s="111">
        <f>SUMPRODUCT((1/COUNTIF(code_individu,code_individu))*(code_individu&lt;&gt;"NA")*(periode=4))</f>
        <v>14.833333333333332</v>
      </c>
      <c r="C40" s="111">
        <f>SUMPRODUCT(1/COUNTIFS(nom,nom,prenom,prenom)*(code_individu="NA")*(periode=4))</f>
        <v>3</v>
      </c>
      <c r="E40" s="112" t="e">
        <f>SUMPRODUCT((1/COUNTIF(code_famille,code_famille))*(code_famille&lt;&gt;"NA")*(periode=4))</f>
        <v>#N/A</v>
      </c>
      <c r="F40" s="105" t="e">
        <f>SUMPRODUCT((1/COUNTIF(famille,famille))*(code_famille&lt;&gt;"NA"))</f>
        <v>#N/A</v>
      </c>
      <c r="H40" s="97" t="s">
        <v>179</v>
      </c>
      <c r="I40" s="92">
        <f>COUNTIFS(Matin_et_ou_AM,"matin",code_individu,"&lt;&gt;NA",periode,4 )</f>
        <v>14</v>
      </c>
      <c r="J40" s="92">
        <f>COUNTIFS(Matin_et_ou_AM,"matin",code_individu,"NA",periode,4 )</f>
        <v>3</v>
      </c>
      <c r="K40" s="79">
        <f>I40+J40</f>
        <v>17</v>
      </c>
    </row>
    <row r="41" spans="2:15">
      <c r="H41" s="97" t="s">
        <v>149</v>
      </c>
      <c r="I41" s="92">
        <f>COUNTIFS(Matin_et_ou_AM,"après-midi",code_individu,"&lt;&gt;NA",periode,4 )</f>
        <v>5</v>
      </c>
      <c r="J41" s="92">
        <f>COUNTIFS(Matin_et_ou_AM,"après-midi",code_individu,"NA",periode,4 )</f>
        <v>0</v>
      </c>
      <c r="K41" s="79">
        <f>I41+J41</f>
        <v>5</v>
      </c>
    </row>
    <row r="42" spans="2:15">
      <c r="I42" s="79">
        <f>I40+I41</f>
        <v>19</v>
      </c>
      <c r="J42" s="79">
        <f>J40+J41</f>
        <v>3</v>
      </c>
      <c r="K42" s="79">
        <f>I42+J42</f>
        <v>22</v>
      </c>
    </row>
    <row r="43" spans="2:15">
      <c r="I43" s="98">
        <f>I42/K42</f>
        <v>0.86363636363636365</v>
      </c>
      <c r="J43" s="98">
        <f>J42/K42</f>
        <v>0.13636363636363635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33</vt:i4>
      </vt:variant>
    </vt:vector>
  </HeadingPairs>
  <TitlesOfParts>
    <vt:vector size="39" baseType="lpstr">
      <vt:lpstr>adhérents</vt:lpstr>
      <vt:lpstr>calendrier</vt:lpstr>
      <vt:lpstr>présences</vt:lpstr>
      <vt:lpstr>ANNEE</vt:lpstr>
      <vt:lpstr>MERCREDIS</vt:lpstr>
      <vt:lpstr>VAC HIVER</vt:lpstr>
      <vt:lpstr>age</vt:lpstr>
      <vt:lpstr>MERCREDIS!Apres_midi</vt:lpstr>
      <vt:lpstr>'VAC HIVER'!Apres_midi</vt:lpstr>
      <vt:lpstr>Apres_midi</vt:lpstr>
      <vt:lpstr>Atelier</vt:lpstr>
      <vt:lpstr>code_famille</vt:lpstr>
      <vt:lpstr>code_individu</vt:lpstr>
      <vt:lpstr>ANNEE!Cotisant</vt:lpstr>
      <vt:lpstr>MERCREDIS!Cotisant</vt:lpstr>
      <vt:lpstr>'VAC HIVER'!Cotisant</vt:lpstr>
      <vt:lpstr>MERCREDIS!Date_de_référence_année</vt:lpstr>
      <vt:lpstr>'VAC HIVER'!Date_de_référence_année</vt:lpstr>
      <vt:lpstr>Date_de_référence_année</vt:lpstr>
      <vt:lpstr>Date_naissance</vt:lpstr>
      <vt:lpstr>date_presence</vt:lpstr>
      <vt:lpstr>Découverte</vt:lpstr>
      <vt:lpstr>famille</vt:lpstr>
      <vt:lpstr>Famille_nom_prenom</vt:lpstr>
      <vt:lpstr>Famille_ou_Assmat</vt:lpstr>
      <vt:lpstr>JSP_OU_EMPRUNT</vt:lpstr>
      <vt:lpstr>MERCREDIS!matin</vt:lpstr>
      <vt:lpstr>'VAC HIVER'!matin</vt:lpstr>
      <vt:lpstr>matin</vt:lpstr>
      <vt:lpstr>Matin_et_ou_AM</vt:lpstr>
      <vt:lpstr>nom</vt:lpstr>
      <vt:lpstr>nom_prenom</vt:lpstr>
      <vt:lpstr>periode</vt:lpstr>
      <vt:lpstr>Ponctuel</vt:lpstr>
      <vt:lpstr>prenom</vt:lpstr>
      <vt:lpstr>Présences</vt:lpstr>
      <vt:lpstr>sexe</vt:lpstr>
      <vt:lpstr>Tableau_cotisants</vt:lpstr>
      <vt:lpstr>Territoire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LUDOTHEQUE ACCOLADE</dc:creator>
  <cp:lastModifiedBy>LUDOTHEQUE ACCOLADE</cp:lastModifiedBy>
  <cp:lastPrinted>2019-04-16T09:27:55Z</cp:lastPrinted>
  <dcterms:created xsi:type="dcterms:W3CDTF">2017-07-21T13:45:31Z</dcterms:created>
  <dcterms:modified xsi:type="dcterms:W3CDTF">2020-01-04T16:00:43Z</dcterms:modified>
</cp:coreProperties>
</file>