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lo\Desktop\"/>
    </mc:Choice>
  </mc:AlternateContent>
  <xr:revisionPtr revIDLastSave="0" documentId="8_{CDD29BBA-1EB2-45D7-9BF8-54F234A8E9B2}" xr6:coauthVersionLast="45" xr6:coauthVersionMax="45" xr10:uidLastSave="{00000000-0000-0000-0000-000000000000}"/>
  <bookViews>
    <workbookView xWindow="-108" yWindow="-108" windowWidth="23256" windowHeight="12576" activeTab="2" xr2:uid="{00000000-000D-0000-FFFF-FFFF00000000}"/>
  </bookViews>
  <sheets>
    <sheet name="plage ouverture" sheetId="2" r:id="rId1"/>
    <sheet name="jours fériés" sheetId="3" r:id="rId2"/>
    <sheet name="date et heure de fin" sheetId="1" r:id="rId3"/>
  </sheets>
  <externalReferences>
    <externalReference r:id="rId4"/>
  </externalReferences>
  <definedNames>
    <definedName name="feries">[1]Feuil2!$G$2:$H$14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4" i="3" l="1"/>
  <c r="C25" i="3"/>
  <c r="C24" i="3"/>
  <c r="C23" i="3"/>
  <c r="C22" i="3"/>
  <c r="C21" i="3"/>
  <c r="C18" i="3"/>
  <c r="C17" i="3"/>
  <c r="C15" i="3"/>
  <c r="C20" i="3" s="1"/>
  <c r="C14" i="3"/>
  <c r="C19" i="3" l="1"/>
  <c r="C16" i="3"/>
  <c r="B4" i="2"/>
  <c r="C13" i="3" l="1"/>
  <c r="C12" i="3"/>
  <c r="C11" i="3"/>
  <c r="C10" i="3"/>
  <c r="C9" i="3"/>
  <c r="C6" i="3"/>
  <c r="C5" i="3"/>
  <c r="C3" i="3"/>
  <c r="C7" i="3" s="1"/>
  <c r="C2" i="3"/>
  <c r="C4" i="2"/>
  <c r="C5" i="2"/>
  <c r="D5" i="2" s="1"/>
  <c r="K3" i="2"/>
  <c r="E5" i="2" l="1"/>
  <c r="E4" i="2"/>
  <c r="D4" i="2"/>
  <c r="C4" i="3"/>
  <c r="C8" i="3"/>
  <c r="C8" i="2" l="1"/>
  <c r="G8" i="2"/>
  <c r="K8" i="2"/>
  <c r="N8" i="2"/>
  <c r="D8" i="2"/>
  <c r="H8" i="2"/>
  <c r="L8" i="2"/>
  <c r="B8" i="2"/>
  <c r="E8" i="2"/>
  <c r="I8" i="2"/>
  <c r="M8" i="2"/>
  <c r="F8" i="2"/>
  <c r="J8" i="2"/>
  <c r="F5" i="2"/>
  <c r="F4" i="2"/>
  <c r="G5" i="2" l="1"/>
  <c r="G4" i="2"/>
  <c r="S8" i="2" l="1"/>
  <c r="Q8" i="2"/>
  <c r="R8" i="2"/>
  <c r="P8" i="2"/>
  <c r="U8" i="2"/>
  <c r="T8" i="2"/>
  <c r="O8" i="2"/>
  <c r="H5" i="2"/>
  <c r="H4" i="2"/>
  <c r="I5" i="2" l="1"/>
  <c r="I4" i="2"/>
  <c r="X8" i="2" s="1"/>
  <c r="E11" i="2" l="1"/>
  <c r="I11" i="2"/>
  <c r="M11" i="2"/>
  <c r="Q11" i="2"/>
  <c r="U11" i="2"/>
  <c r="Y11" i="2"/>
  <c r="B11" i="2"/>
  <c r="F11" i="2"/>
  <c r="J11" i="2"/>
  <c r="N11" i="2"/>
  <c r="R11" i="2"/>
  <c r="V11" i="2"/>
  <c r="Z11" i="2"/>
  <c r="C11" i="2"/>
  <c r="G11" i="2"/>
  <c r="K11" i="2"/>
  <c r="O11" i="2"/>
  <c r="S11" i="2"/>
  <c r="W11" i="2"/>
  <c r="AA11" i="2"/>
  <c r="D11" i="2"/>
  <c r="H11" i="2"/>
  <c r="L11" i="2"/>
  <c r="P11" i="2"/>
  <c r="T11" i="2"/>
  <c r="X11" i="2"/>
  <c r="AB11" i="2"/>
  <c r="F2" i="1"/>
  <c r="E2" i="1"/>
  <c r="AA8" i="2"/>
  <c r="Z8" i="2"/>
  <c r="W8" i="2"/>
  <c r="Y8" i="2"/>
  <c r="V8" i="2"/>
</calcChain>
</file>

<file path=xl/sharedStrings.xml><?xml version="1.0" encoding="utf-8"?>
<sst xmlns="http://schemas.openxmlformats.org/spreadsheetml/2006/main" count="76" uniqueCount="55">
  <si>
    <t>heure de fin</t>
  </si>
  <si>
    <t>date de fin</t>
  </si>
  <si>
    <t>Lundi de Pâques</t>
  </si>
  <si>
    <t>Fête nationale</t>
  </si>
  <si>
    <t>Assomption</t>
  </si>
  <si>
    <t>Armistice</t>
  </si>
  <si>
    <t>Noël</t>
  </si>
  <si>
    <t>Jours fériés</t>
  </si>
  <si>
    <t>Premier de l'AN</t>
  </si>
  <si>
    <t>Pâques</t>
  </si>
  <si>
    <t>Fête du travail</t>
  </si>
  <si>
    <t>Victoire de 1945</t>
  </si>
  <si>
    <t>Ascension</t>
  </si>
  <si>
    <t>Pentecôte</t>
  </si>
  <si>
    <t>Toussaint</t>
  </si>
  <si>
    <t>Plage d'ouverture</t>
  </si>
  <si>
    <t>Début</t>
  </si>
  <si>
    <t>Pause Mat</t>
  </si>
  <si>
    <t>Reprise Mat</t>
  </si>
  <si>
    <t>Midi</t>
  </si>
  <si>
    <t>Début après midi</t>
  </si>
  <si>
    <t>Pause AM</t>
  </si>
  <si>
    <t>Reprise AM</t>
  </si>
  <si>
    <t>Fin journée</t>
  </si>
  <si>
    <t>Temps ouverture total</t>
  </si>
  <si>
    <t>heure fin réelle</t>
  </si>
  <si>
    <t>nb heures depuis matin</t>
  </si>
  <si>
    <t>Tolérance calcul</t>
  </si>
  <si>
    <t>reliquat d'heures</t>
  </si>
  <si>
    <t>hures réelles</t>
  </si>
  <si>
    <t>temps de pause cumulé</t>
  </si>
  <si>
    <t>heures comprimées amont</t>
  </si>
  <si>
    <t>heure début</t>
  </si>
  <si>
    <t>date début</t>
  </si>
  <si>
    <t>durée</t>
  </si>
  <si>
    <t>nb de ressources</t>
  </si>
  <si>
    <t>Centre de charge</t>
  </si>
  <si>
    <t>Méthodes + DT + OF</t>
  </si>
  <si>
    <t>Programmation FAO</t>
  </si>
  <si>
    <t>Programmation TRIDIM</t>
  </si>
  <si>
    <t>Outillages</t>
  </si>
  <si>
    <t>Matière</t>
  </si>
  <si>
    <t>Quincaillerie</t>
  </si>
  <si>
    <t>Débit</t>
  </si>
  <si>
    <t>Usinage + Ajustage + Ctrl dim</t>
  </si>
  <si>
    <t>Prestation XXX + Transport</t>
  </si>
  <si>
    <t>Prestation RAT + Transport</t>
  </si>
  <si>
    <t>Ctrl + Montage + Marquage</t>
  </si>
  <si>
    <t>Dossier FAI</t>
  </si>
  <si>
    <t>Capa (Heures utiles/J)</t>
  </si>
  <si>
    <t>Date début</t>
  </si>
  <si>
    <t>Heure début</t>
  </si>
  <si>
    <t>Durée tache (en h)</t>
  </si>
  <si>
    <t>Date fin</t>
  </si>
  <si>
    <t>Heure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</si>
</sst>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\ dd/mm/yyyy"/>
    <numFmt numFmtId="165" formatCode="[$-F400]h:mm:ss\ AM/PM"/>
    <numFmt numFmtId="166" formatCode="[h]:mm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name val="Century Gothic"/>
      <family val="2"/>
    </font>
  </fonts>
  <fills count="9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22"/>
      </bottom>
      <diagonal/>
    </border>
    <border>
      <left/>
      <right style="medium">
        <color indexed="64"/>
      </right>
      <top/>
      <bottom style="thin">
        <color indexed="22"/>
      </bottom>
      <diagonal/>
    </border>
    <border>
      <left/>
      <right style="medium">
        <color indexed="64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/>
      <top style="thin">
        <color indexed="22"/>
      </top>
      <bottom style="thin">
        <color indexed="22"/>
      </bottom>
      <diagonal/>
    </border>
    <border>
      <left style="medium">
        <color indexed="64"/>
      </left>
      <right/>
      <top style="thin">
        <color indexed="22"/>
      </top>
      <bottom style="medium">
        <color indexed="64"/>
      </bottom>
      <diagonal/>
    </border>
    <border>
      <left/>
      <right style="medium">
        <color indexed="64"/>
      </right>
      <top style="thin">
        <color indexed="22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Continuous" vertical="center"/>
    </xf>
    <xf numFmtId="0" fontId="2" fillId="0" borderId="0" xfId="0" applyFont="1" applyFill="1" applyBorder="1" applyAlignment="1">
      <alignment vertical="center"/>
    </xf>
    <xf numFmtId="0" fontId="1" fillId="2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4" fillId="0" borderId="1" xfId="0" applyFont="1" applyBorder="1" applyAlignment="1">
      <alignment horizontal="right" indent="1"/>
    </xf>
    <xf numFmtId="164" fontId="4" fillId="0" borderId="1" xfId="0" applyNumberFormat="1" applyFont="1" applyFill="1" applyBorder="1" applyAlignment="1">
      <alignment horizontal="center"/>
    </xf>
    <xf numFmtId="0" fontId="0" fillId="4" borderId="0" xfId="0" applyFill="1" applyBorder="1" applyAlignment="1">
      <alignment horizontal="center" vertical="center" wrapText="1"/>
    </xf>
    <xf numFmtId="20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20" fontId="0" fillId="3" borderId="5" xfId="0" applyNumberFormat="1" applyFill="1" applyBorder="1" applyAlignment="1">
      <alignment horizontal="center" vertical="center"/>
    </xf>
    <xf numFmtId="20" fontId="0" fillId="3" borderId="6" xfId="0" applyNumberFormat="1" applyFill="1" applyBorder="1" applyAlignment="1">
      <alignment horizontal="center" vertical="center"/>
    </xf>
    <xf numFmtId="20" fontId="0" fillId="3" borderId="7" xfId="0" applyNumberFormat="1" applyFill="1" applyBorder="1" applyAlignment="1">
      <alignment horizontal="center" vertical="center"/>
    </xf>
    <xf numFmtId="20" fontId="5" fillId="0" borderId="0" xfId="0" applyNumberFormat="1" applyFont="1" applyAlignment="1">
      <alignment horizontal="center"/>
    </xf>
    <xf numFmtId="165" fontId="0" fillId="0" borderId="0" xfId="0" applyNumberFormat="1" applyAlignment="1">
      <alignment horizontal="center"/>
    </xf>
    <xf numFmtId="0" fontId="3" fillId="0" borderId="0" xfId="0" applyFont="1" applyFill="1" applyBorder="1" applyAlignment="1">
      <alignment horizontal="center"/>
    </xf>
    <xf numFmtId="20" fontId="0" fillId="0" borderId="0" xfId="0" applyNumberFormat="1" applyFill="1" applyBorder="1" applyAlignment="1">
      <alignment horizontal="center" vertical="center"/>
    </xf>
    <xf numFmtId="166" fontId="0" fillId="0" borderId="0" xfId="0" applyNumberForma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20" fontId="0" fillId="0" borderId="8" xfId="0" applyNumberFormat="1" applyBorder="1" applyAlignment="1">
      <alignment horizontal="center"/>
    </xf>
    <xf numFmtId="20" fontId="0" fillId="0" borderId="0" xfId="0" applyNumberFormat="1" applyBorder="1" applyAlignment="1">
      <alignment horizontal="center"/>
    </xf>
    <xf numFmtId="20" fontId="0" fillId="0" borderId="9" xfId="0" applyNumberFormat="1" applyBorder="1" applyAlignment="1">
      <alignment horizontal="center"/>
    </xf>
    <xf numFmtId="20" fontId="0" fillId="0" borderId="2" xfId="0" applyNumberFormat="1" applyBorder="1" applyAlignment="1">
      <alignment horizontal="center"/>
    </xf>
    <xf numFmtId="20" fontId="0" fillId="0" borderId="3" xfId="0" applyNumberFormat="1" applyBorder="1" applyAlignment="1">
      <alignment horizontal="center"/>
    </xf>
    <xf numFmtId="20" fontId="0" fillId="0" borderId="4" xfId="0" applyNumberFormat="1" applyBorder="1" applyAlignment="1">
      <alignment horizontal="center"/>
    </xf>
    <xf numFmtId="0" fontId="0" fillId="4" borderId="10" xfId="0" applyFill="1" applyBorder="1" applyAlignment="1">
      <alignment horizontal="center" vertical="center" wrapText="1"/>
    </xf>
    <xf numFmtId="0" fontId="0" fillId="4" borderId="11" xfId="0" applyFill="1" applyBorder="1" applyAlignment="1">
      <alignment horizontal="center" vertical="center" wrapText="1"/>
    </xf>
    <xf numFmtId="0" fontId="0" fillId="4" borderId="12" xfId="0" applyFill="1" applyBorder="1" applyAlignment="1">
      <alignment horizontal="center" vertical="center" wrapText="1"/>
    </xf>
    <xf numFmtId="0" fontId="6" fillId="6" borderId="13" xfId="0" applyFont="1" applyFill="1" applyBorder="1" applyAlignment="1">
      <alignment horizontal="left" vertical="center" wrapText="1"/>
    </xf>
    <xf numFmtId="2" fontId="6" fillId="7" borderId="14" xfId="0" applyNumberFormat="1" applyFont="1" applyFill="1" applyBorder="1" applyAlignment="1">
      <alignment horizontal="center" vertical="center"/>
    </xf>
    <xf numFmtId="2" fontId="6" fillId="7" borderId="15" xfId="0" applyNumberFormat="1" applyFont="1" applyFill="1" applyBorder="1" applyAlignment="1">
      <alignment horizontal="center" vertical="center"/>
    </xf>
    <xf numFmtId="20" fontId="0" fillId="0" borderId="5" xfId="0" applyNumberFormat="1" applyBorder="1" applyAlignment="1">
      <alignment horizontal="center" vertical="center"/>
    </xf>
    <xf numFmtId="20" fontId="0" fillId="0" borderId="6" xfId="0" applyNumberFormat="1" applyBorder="1" applyAlignment="1">
      <alignment horizontal="center" vertical="center"/>
    </xf>
    <xf numFmtId="20" fontId="0" fillId="0" borderId="7" xfId="0" applyNumberFormat="1" applyBorder="1" applyAlignment="1">
      <alignment horizontal="center" vertical="center"/>
    </xf>
    <xf numFmtId="0" fontId="6" fillId="6" borderId="16" xfId="0" applyFont="1" applyFill="1" applyBorder="1" applyAlignment="1">
      <alignment horizontal="left" vertical="center" wrapText="1"/>
    </xf>
    <xf numFmtId="20" fontId="0" fillId="0" borderId="8" xfId="0" applyNumberFormat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0" fontId="0" fillId="0" borderId="9" xfId="0" applyNumberFormat="1" applyBorder="1" applyAlignment="1">
      <alignment horizontal="center" vertical="center"/>
    </xf>
    <xf numFmtId="0" fontId="6" fillId="6" borderId="16" xfId="0" applyFont="1" applyFill="1" applyBorder="1" applyAlignment="1">
      <alignment vertical="center" wrapText="1"/>
    </xf>
    <xf numFmtId="0" fontId="6" fillId="6" borderId="17" xfId="0" applyFont="1" applyFill="1" applyBorder="1" applyAlignment="1">
      <alignment horizontal="left" vertical="center" wrapText="1"/>
    </xf>
    <xf numFmtId="2" fontId="6" fillId="7" borderId="18" xfId="0" applyNumberFormat="1" applyFont="1" applyFill="1" applyBorder="1" applyAlignment="1">
      <alignment horizontal="center" vertical="center"/>
    </xf>
    <xf numFmtId="20" fontId="0" fillId="0" borderId="2" xfId="0" applyNumberFormat="1" applyBorder="1" applyAlignment="1">
      <alignment horizontal="center" vertical="center"/>
    </xf>
    <xf numFmtId="20" fontId="0" fillId="0" borderId="3" xfId="0" applyNumberFormat="1" applyBorder="1" applyAlignment="1">
      <alignment horizontal="center" vertical="center"/>
    </xf>
    <xf numFmtId="20" fontId="0" fillId="0" borderId="4" xfId="0" applyNumberFormat="1" applyBorder="1" applyAlignment="1">
      <alignment horizontal="center" vertical="center"/>
    </xf>
    <xf numFmtId="20" fontId="0" fillId="0" borderId="0" xfId="0" applyNumberFormat="1" applyBorder="1" applyAlignment="1">
      <alignment horizontal="center" vertical="center"/>
    </xf>
    <xf numFmtId="0" fontId="0" fillId="8" borderId="10" xfId="0" applyFill="1" applyBorder="1" applyAlignment="1">
      <alignment horizontal="center" vertical="center" wrapText="1"/>
    </xf>
    <xf numFmtId="0" fontId="0" fillId="8" borderId="12" xfId="0" applyFill="1" applyBorder="1" applyAlignment="1">
      <alignment horizontal="center" vertical="center" wrapText="1"/>
    </xf>
    <xf numFmtId="0" fontId="0" fillId="5" borderId="10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</cellXfs>
  <cellStyles count="1">
    <cellStyle name="Normal" xfId="0" builtinId="0"/>
  </cellStyles>
  <dxfs count="8">
    <dxf>
      <font>
        <color rgb="FFFFE699"/>
      </font>
      <fill>
        <patternFill>
          <fgColor indexed="64"/>
          <bgColor rgb="FFFFE699"/>
        </patternFill>
      </fill>
    </dxf>
    <dxf>
      <fill>
        <patternFill>
          <fgColor indexed="64"/>
          <bgColor rgb="FFDCDCDC"/>
        </patternFill>
      </fill>
    </dxf>
    <dxf>
      <font>
        <color rgb="FFFFE699"/>
      </font>
      <fill>
        <patternFill>
          <fgColor indexed="64"/>
          <bgColor rgb="FFFFE699"/>
        </patternFill>
      </fill>
    </dxf>
    <dxf>
      <fill>
        <patternFill>
          <fgColor indexed="64"/>
          <bgColor rgb="FFDCDCDC"/>
        </patternFill>
      </fill>
    </dxf>
    <dxf>
      <fill>
        <patternFill>
          <fgColor indexed="64"/>
          <bgColor rgb="FFDCDCDC"/>
        </patternFill>
      </fill>
    </dxf>
    <dxf>
      <font>
        <color rgb="FFFFE699"/>
      </font>
      <fill>
        <patternFill>
          <fgColor indexed="64"/>
          <bgColor rgb="FFFFE699"/>
        </patternFill>
      </fill>
    </dxf>
    <dxf>
      <fill>
        <patternFill>
          <fgColor indexed="64"/>
          <bgColor rgb="FFDCDCDC"/>
        </patternFill>
      </fill>
    </dxf>
    <dxf>
      <font>
        <color rgb="FFFFE699"/>
      </font>
      <fill>
        <patternFill>
          <fgColor indexed="64"/>
          <bgColor rgb="FFFFE699"/>
        </patternFill>
      </fill>
    </dxf>
  </dxfs>
  <tableStyles count="0" defaultTableStyle="TableStyleMedium2" defaultPivotStyle="PivotStyleLight16"/>
  <colors>
    <mruColors>
      <color rgb="FFED7C2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FQ%20XXXX%20-%20Plannin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RoadCard"/>
      <sheetName val="Feuil2"/>
    </sheetNames>
    <sheetDataSet>
      <sheetData sheetId="0"/>
      <sheetData sheetId="1"/>
      <sheetData sheetId="2">
        <row r="2">
          <cell r="G2">
            <v>1</v>
          </cell>
          <cell r="H2">
            <v>367</v>
          </cell>
        </row>
        <row r="3">
          <cell r="G3">
            <v>106</v>
          </cell>
          <cell r="H3">
            <v>463</v>
          </cell>
        </row>
        <row r="4">
          <cell r="G4">
            <v>107</v>
          </cell>
          <cell r="H4">
            <v>464</v>
          </cell>
        </row>
        <row r="5">
          <cell r="G5">
            <v>122</v>
          </cell>
          <cell r="H5">
            <v>487</v>
          </cell>
        </row>
        <row r="6">
          <cell r="G6">
            <v>129</v>
          </cell>
          <cell r="H6">
            <v>494</v>
          </cell>
        </row>
        <row r="7">
          <cell r="G7">
            <v>145</v>
          </cell>
          <cell r="H7">
            <v>502</v>
          </cell>
        </row>
        <row r="8">
          <cell r="G8">
            <v>155</v>
          </cell>
          <cell r="H8">
            <v>512</v>
          </cell>
        </row>
        <row r="9">
          <cell r="G9">
            <v>156</v>
          </cell>
          <cell r="H9">
            <v>513</v>
          </cell>
        </row>
        <row r="10">
          <cell r="G10">
            <v>196</v>
          </cell>
          <cell r="H10">
            <v>561</v>
          </cell>
        </row>
        <row r="11">
          <cell r="G11">
            <v>228</v>
          </cell>
          <cell r="H11">
            <v>593</v>
          </cell>
        </row>
        <row r="12">
          <cell r="G12">
            <v>306</v>
          </cell>
          <cell r="H12">
            <v>671</v>
          </cell>
        </row>
        <row r="13">
          <cell r="G13">
            <v>316</v>
          </cell>
          <cell r="H13">
            <v>681</v>
          </cell>
        </row>
        <row r="14">
          <cell r="G14">
            <v>360</v>
          </cell>
          <cell r="H14">
            <v>725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"/>
  <sheetViews>
    <sheetView zoomScale="90" zoomScaleNormal="90" workbookViewId="0">
      <selection activeCell="K4" sqref="K4"/>
    </sheetView>
  </sheetViews>
  <sheetFormatPr baseColWidth="10" defaultColWidth="7.88671875" defaultRowHeight="14.4" x14ac:dyDescent="0.3"/>
  <cols>
    <col min="1" max="1" width="23.77734375" bestFit="1" customWidth="1"/>
    <col min="11" max="12" width="10.6640625" customWidth="1"/>
  </cols>
  <sheetData>
    <row r="1" spans="1:28" ht="15" thickBot="1" x14ac:dyDescent="0.35">
      <c r="B1" t="s">
        <v>15</v>
      </c>
    </row>
    <row r="2" spans="1:28" s="12" customFormat="1" ht="43.8" thickBot="1" x14ac:dyDescent="0.35">
      <c r="B2" s="28" t="s">
        <v>16</v>
      </c>
      <c r="C2" s="29" t="s">
        <v>17</v>
      </c>
      <c r="D2" s="29" t="s">
        <v>18</v>
      </c>
      <c r="E2" s="29" t="s">
        <v>19</v>
      </c>
      <c r="F2" s="29" t="s">
        <v>20</v>
      </c>
      <c r="G2" s="29" t="s">
        <v>21</v>
      </c>
      <c r="H2" s="29" t="s">
        <v>22</v>
      </c>
      <c r="I2" s="30" t="s">
        <v>23</v>
      </c>
      <c r="K2" s="10" t="s">
        <v>24</v>
      </c>
      <c r="L2" s="10" t="s">
        <v>27</v>
      </c>
    </row>
    <row r="3" spans="1:28" x14ac:dyDescent="0.3">
      <c r="A3" t="s">
        <v>29</v>
      </c>
      <c r="B3" s="13">
        <v>0.33333333333333331</v>
      </c>
      <c r="C3" s="14">
        <v>0.40625</v>
      </c>
      <c r="D3" s="14">
        <v>0.4375</v>
      </c>
      <c r="E3" s="15">
        <v>0.5</v>
      </c>
      <c r="F3" s="13">
        <v>0.54166666666666663</v>
      </c>
      <c r="G3" s="14">
        <v>0.61458333333333337</v>
      </c>
      <c r="H3" s="14">
        <v>0.64583333333333337</v>
      </c>
      <c r="I3" s="15">
        <v>0.70833333333333337</v>
      </c>
      <c r="K3" s="11">
        <f>I3-H3+G3-F3+E3-D3+C3-B3</f>
        <v>0.27083333333333343</v>
      </c>
      <c r="L3" s="17">
        <v>1.1574074074074073E-5</v>
      </c>
    </row>
    <row r="4" spans="1:28" x14ac:dyDescent="0.3">
      <c r="A4" t="s">
        <v>31</v>
      </c>
      <c r="B4" s="22">
        <f>B3</f>
        <v>0.33333333333333331</v>
      </c>
      <c r="C4" s="23">
        <f t="shared" ref="C4:I4" si="0">C3-B5</f>
        <v>0.40625</v>
      </c>
      <c r="D4" s="23">
        <f t="shared" si="0"/>
        <v>0.40625</v>
      </c>
      <c r="E4" s="24">
        <f t="shared" si="0"/>
        <v>0.46875</v>
      </c>
      <c r="F4" s="22">
        <f t="shared" si="0"/>
        <v>0.46875</v>
      </c>
      <c r="G4" s="23">
        <f t="shared" si="0"/>
        <v>0.54166666666666674</v>
      </c>
      <c r="H4" s="23">
        <f t="shared" si="0"/>
        <v>0.54166666666666674</v>
      </c>
      <c r="I4" s="24">
        <f t="shared" si="0"/>
        <v>0.60416666666666674</v>
      </c>
    </row>
    <row r="5" spans="1:28" ht="15" thickBot="1" x14ac:dyDescent="0.35">
      <c r="A5" t="s">
        <v>30</v>
      </c>
      <c r="B5" s="25">
        <v>0</v>
      </c>
      <c r="C5" s="26">
        <f>D3-C3</f>
        <v>3.125E-2</v>
      </c>
      <c r="D5" s="26">
        <f>C5</f>
        <v>3.125E-2</v>
      </c>
      <c r="E5" s="27">
        <f>D5+F3-E3</f>
        <v>7.291666666666663E-2</v>
      </c>
      <c r="F5" s="25">
        <f>E5</f>
        <v>7.291666666666663E-2</v>
      </c>
      <c r="G5" s="26">
        <f>F5+H3-G3</f>
        <v>0.10416666666666663</v>
      </c>
      <c r="H5" s="26">
        <f>G5</f>
        <v>0.10416666666666663</v>
      </c>
      <c r="I5" s="27">
        <f t="shared" ref="I5" si="1">H5</f>
        <v>0.10416666666666663</v>
      </c>
    </row>
    <row r="7" spans="1:28" hidden="1" x14ac:dyDescent="0.3">
      <c r="A7" t="s">
        <v>26</v>
      </c>
      <c r="B7" s="11">
        <v>1.0416666666666666E-2</v>
      </c>
      <c r="C7" s="11">
        <v>2.0833333333333332E-2</v>
      </c>
      <c r="D7" s="11">
        <v>3.125E-2</v>
      </c>
      <c r="E7" s="11">
        <v>4.1666666666666699E-2</v>
      </c>
      <c r="F7" s="11">
        <v>5.2083333333333398E-2</v>
      </c>
      <c r="G7" s="11">
        <v>6.25E-2</v>
      </c>
      <c r="H7" s="11">
        <v>7.2916666666666699E-2</v>
      </c>
      <c r="I7" s="11">
        <v>8.3333333333333398E-2</v>
      </c>
      <c r="J7" s="11">
        <v>9.375E-2</v>
      </c>
      <c r="K7" s="11">
        <v>0.104166666666667</v>
      </c>
      <c r="L7" s="11">
        <v>0.11458333333333399</v>
      </c>
      <c r="M7" s="11">
        <v>0.125</v>
      </c>
      <c r="N7" s="11">
        <v>0.13541666666666699</v>
      </c>
      <c r="O7" s="11">
        <v>0.14583333333333401</v>
      </c>
      <c r="P7" s="11">
        <v>0.15625</v>
      </c>
      <c r="Q7" s="11">
        <v>0.16666666666666699</v>
      </c>
      <c r="R7" s="11">
        <v>0.17708333333333401</v>
      </c>
      <c r="S7" s="11">
        <v>0.1875</v>
      </c>
      <c r="T7" s="11">
        <v>0.19791666666666699</v>
      </c>
      <c r="U7" s="11">
        <v>0.20833333333333401</v>
      </c>
      <c r="V7" s="11">
        <v>0.21875</v>
      </c>
      <c r="W7" s="11">
        <v>0.22916666666666699</v>
      </c>
      <c r="X7" s="11">
        <v>0.23958333333333401</v>
      </c>
      <c r="Y7" s="11">
        <v>0.25</v>
      </c>
      <c r="Z7" s="11">
        <v>0.26041666666666802</v>
      </c>
      <c r="AA7" s="11">
        <v>0.27083333333333498</v>
      </c>
    </row>
    <row r="8" spans="1:28" hidden="1" x14ac:dyDescent="0.3">
      <c r="A8" t="s">
        <v>25</v>
      </c>
      <c r="B8" s="16">
        <f>HLOOKUP(B7+$B$3-$L$3,$B$4:$I$5,2,1)+B7+$B$3</f>
        <v>0.34375</v>
      </c>
      <c r="C8" s="11">
        <f t="shared" ref="C8:AA8" si="2">HLOOKUP(C7+$B$3-$L$3,$B$4:$I$5,2,1)+C7+$B$3</f>
        <v>0.35416666666666663</v>
      </c>
      <c r="D8" s="11">
        <f t="shared" si="2"/>
        <v>0.36458333333333331</v>
      </c>
      <c r="E8" s="11">
        <f t="shared" si="2"/>
        <v>0.375</v>
      </c>
      <c r="F8" s="11">
        <f t="shared" si="2"/>
        <v>0.38541666666666674</v>
      </c>
      <c r="G8" s="11">
        <f t="shared" si="2"/>
        <v>0.39583333333333331</v>
      </c>
      <c r="H8" s="11">
        <f t="shared" si="2"/>
        <v>0.40625</v>
      </c>
      <c r="I8" s="11">
        <f t="shared" si="2"/>
        <v>0.44791666666666674</v>
      </c>
      <c r="J8" s="11">
        <f t="shared" si="2"/>
        <v>0.45833333333333331</v>
      </c>
      <c r="K8" s="11">
        <f t="shared" si="2"/>
        <v>0.46875000000000033</v>
      </c>
      <c r="L8" s="11">
        <f t="shared" si="2"/>
        <v>0.4791666666666673</v>
      </c>
      <c r="M8" s="11">
        <f t="shared" si="2"/>
        <v>0.48958333333333331</v>
      </c>
      <c r="N8" s="11">
        <f t="shared" si="2"/>
        <v>0.50000000000000033</v>
      </c>
      <c r="O8" s="11">
        <f t="shared" si="2"/>
        <v>0.55208333333333393</v>
      </c>
      <c r="P8" s="11">
        <f t="shared" si="2"/>
        <v>0.5625</v>
      </c>
      <c r="Q8" s="11">
        <f t="shared" si="2"/>
        <v>0.57291666666666696</v>
      </c>
      <c r="R8" s="11">
        <f t="shared" si="2"/>
        <v>0.58333333333333393</v>
      </c>
      <c r="S8" s="11">
        <f t="shared" si="2"/>
        <v>0.59375</v>
      </c>
      <c r="T8" s="11">
        <f t="shared" si="2"/>
        <v>0.60416666666666696</v>
      </c>
      <c r="U8" s="11">
        <f t="shared" si="2"/>
        <v>0.61458333333333393</v>
      </c>
      <c r="V8" s="11">
        <f t="shared" si="2"/>
        <v>0.65625</v>
      </c>
      <c r="W8" s="11">
        <f t="shared" si="2"/>
        <v>0.66666666666666696</v>
      </c>
      <c r="X8" s="11">
        <f t="shared" si="2"/>
        <v>0.67708333333333393</v>
      </c>
      <c r="Y8" s="11">
        <f t="shared" si="2"/>
        <v>0.6875</v>
      </c>
      <c r="Z8" s="11">
        <f t="shared" si="2"/>
        <v>0.69791666666666796</v>
      </c>
      <c r="AA8" s="11">
        <f t="shared" si="2"/>
        <v>0.70833333333333492</v>
      </c>
    </row>
    <row r="9" spans="1:28" hidden="1" x14ac:dyDescent="0.3"/>
    <row r="10" spans="1:28" hidden="1" x14ac:dyDescent="0.3">
      <c r="A10" t="s">
        <v>0</v>
      </c>
      <c r="B10" s="11">
        <v>0.33333333333333298</v>
      </c>
      <c r="C10" s="11">
        <v>0.34375</v>
      </c>
      <c r="D10" s="11">
        <v>0.35416666666666663</v>
      </c>
      <c r="E10" s="11">
        <v>0.36458333333333331</v>
      </c>
      <c r="F10" s="11">
        <v>0.375</v>
      </c>
      <c r="G10" s="11">
        <v>0.38541666666666674</v>
      </c>
      <c r="H10" s="11">
        <v>0.39583333333333331</v>
      </c>
      <c r="I10" s="11">
        <v>0.40625</v>
      </c>
      <c r="J10" s="11">
        <v>0.44791666666666674</v>
      </c>
      <c r="K10" s="11">
        <v>0.45833333333333331</v>
      </c>
      <c r="L10" s="11">
        <v>0.46875000000000033</v>
      </c>
      <c r="M10" s="11">
        <v>0.4791666666666673</v>
      </c>
      <c r="N10" s="11">
        <v>0.48958333333333331</v>
      </c>
      <c r="O10" s="11">
        <v>0.50000000000000033</v>
      </c>
      <c r="P10" s="11">
        <v>0.55208333333333393</v>
      </c>
      <c r="Q10" s="11">
        <v>0.5625</v>
      </c>
      <c r="R10" s="11">
        <v>0.57291666666666696</v>
      </c>
      <c r="S10" s="11">
        <v>0.58333333333333393</v>
      </c>
      <c r="T10" s="11">
        <v>0.59375</v>
      </c>
      <c r="U10" s="11">
        <v>0.60416666666666696</v>
      </c>
      <c r="V10" s="11">
        <v>0.61458333333333393</v>
      </c>
      <c r="W10" s="11">
        <v>0.65625</v>
      </c>
      <c r="X10" s="11">
        <v>0.66666666666666696</v>
      </c>
      <c r="Y10" s="11">
        <v>0.67708333333333393</v>
      </c>
      <c r="Z10" s="11">
        <v>0.6875</v>
      </c>
      <c r="AA10" s="11">
        <v>0.69791666666666796</v>
      </c>
      <c r="AB10" s="11">
        <v>0.70833333333333492</v>
      </c>
    </row>
    <row r="11" spans="1:28" hidden="1" x14ac:dyDescent="0.3">
      <c r="A11" t="s">
        <v>28</v>
      </c>
      <c r="B11" s="16">
        <f>MAX(0,$I$3-B10-($I$5-HLOOKUP(B10+$L$3,$B$3:$I$5,3,1)))</f>
        <v>0.27083333333333376</v>
      </c>
      <c r="C11" s="11">
        <f t="shared" ref="C11:AB11" si="3">MAX(0,$I$3-C10-($I$5-HLOOKUP(C10+$L$3,$B$3:$I$5,3,1)))</f>
        <v>0.26041666666666674</v>
      </c>
      <c r="D11" s="11">
        <f t="shared" si="3"/>
        <v>0.25000000000000011</v>
      </c>
      <c r="E11" s="11">
        <f t="shared" si="3"/>
        <v>0.23958333333333343</v>
      </c>
      <c r="F11" s="11">
        <f t="shared" si="3"/>
        <v>0.22916666666666674</v>
      </c>
      <c r="G11" s="11">
        <f t="shared" si="3"/>
        <v>0.21875</v>
      </c>
      <c r="H11" s="11">
        <f t="shared" si="3"/>
        <v>0.20833333333333343</v>
      </c>
      <c r="I11" s="11">
        <f t="shared" si="3"/>
        <v>0.22916666666666674</v>
      </c>
      <c r="J11" s="11">
        <f t="shared" si="3"/>
        <v>0.1875</v>
      </c>
      <c r="K11" s="11">
        <f t="shared" si="3"/>
        <v>0.17708333333333343</v>
      </c>
      <c r="L11" s="11">
        <f t="shared" si="3"/>
        <v>0.16666666666666641</v>
      </c>
      <c r="M11" s="11">
        <f t="shared" si="3"/>
        <v>0.15624999999999944</v>
      </c>
      <c r="N11" s="11">
        <f t="shared" si="3"/>
        <v>0.14583333333333343</v>
      </c>
      <c r="O11" s="11">
        <f t="shared" si="3"/>
        <v>0.17708333333333304</v>
      </c>
      <c r="P11" s="11">
        <f t="shared" si="3"/>
        <v>0.12499999999999944</v>
      </c>
      <c r="Q11" s="11">
        <f t="shared" si="3"/>
        <v>0.11458333333333337</v>
      </c>
      <c r="R11" s="11">
        <f t="shared" si="3"/>
        <v>0.10416666666666641</v>
      </c>
      <c r="S11" s="11">
        <f t="shared" si="3"/>
        <v>9.3749999999999445E-2</v>
      </c>
      <c r="T11" s="11">
        <f t="shared" si="3"/>
        <v>8.333333333333337E-2</v>
      </c>
      <c r="U11" s="11">
        <f t="shared" si="3"/>
        <v>7.2916666666666408E-2</v>
      </c>
      <c r="V11" s="11">
        <f t="shared" si="3"/>
        <v>9.3749999999999445E-2</v>
      </c>
      <c r="W11" s="11">
        <f t="shared" si="3"/>
        <v>5.208333333333337E-2</v>
      </c>
      <c r="X11" s="11">
        <f t="shared" si="3"/>
        <v>4.1666666666666408E-2</v>
      </c>
      <c r="Y11" s="11">
        <f t="shared" si="3"/>
        <v>3.1249999999999445E-2</v>
      </c>
      <c r="Z11" s="11">
        <f t="shared" si="3"/>
        <v>2.083333333333337E-2</v>
      </c>
      <c r="AA11" s="11">
        <f t="shared" si="3"/>
        <v>1.0416666666665408E-2</v>
      </c>
      <c r="AB11" s="11">
        <f t="shared" si="3"/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25"/>
  <sheetViews>
    <sheetView workbookViewId="0">
      <selection activeCell="E11" sqref="E11"/>
    </sheetView>
  </sheetViews>
  <sheetFormatPr baseColWidth="10" defaultRowHeight="14.4" x14ac:dyDescent="0.3"/>
  <cols>
    <col min="1" max="1" width="10.88671875" customWidth="1"/>
    <col min="2" max="3" width="22.21875" customWidth="1"/>
  </cols>
  <sheetData>
    <row r="1" spans="1:3" x14ac:dyDescent="0.3">
      <c r="A1" s="4"/>
      <c r="B1" s="3" t="s">
        <v>7</v>
      </c>
      <c r="C1" s="3"/>
    </row>
    <row r="2" spans="1:3" x14ac:dyDescent="0.3">
      <c r="A2" s="7">
        <v>2020</v>
      </c>
      <c r="B2" s="8" t="s">
        <v>8</v>
      </c>
      <c r="C2" s="9">
        <f>DATE(A2,1,1)</f>
        <v>43831</v>
      </c>
    </row>
    <row r="3" spans="1:3" x14ac:dyDescent="0.3">
      <c r="A3" s="6"/>
      <c r="B3" s="8" t="s">
        <v>9</v>
      </c>
      <c r="C3" s="9">
        <f>ROUND(DATE(A2,4,MOD(234-11*MOD(A2,19),30))/7,0)*7-6</f>
        <v>43933</v>
      </c>
    </row>
    <row r="4" spans="1:3" x14ac:dyDescent="0.3">
      <c r="A4" s="6"/>
      <c r="B4" s="8" t="s">
        <v>2</v>
      </c>
      <c r="C4" s="9">
        <f>C3+1</f>
        <v>43934</v>
      </c>
    </row>
    <row r="5" spans="1:3" x14ac:dyDescent="0.3">
      <c r="A5" s="6"/>
      <c r="B5" s="8" t="s">
        <v>10</v>
      </c>
      <c r="C5" s="9">
        <f>DATE(A2,5,1)</f>
        <v>43952</v>
      </c>
    </row>
    <row r="6" spans="1:3" x14ac:dyDescent="0.3">
      <c r="A6" s="6"/>
      <c r="B6" s="8" t="s">
        <v>11</v>
      </c>
      <c r="C6" s="9">
        <f>DATE(A2,5,8)</f>
        <v>43959</v>
      </c>
    </row>
    <row r="7" spans="1:3" x14ac:dyDescent="0.3">
      <c r="A7" s="6"/>
      <c r="B7" s="8" t="s">
        <v>12</v>
      </c>
      <c r="C7" s="9">
        <f>C3+39</f>
        <v>43972</v>
      </c>
    </row>
    <row r="8" spans="1:3" x14ac:dyDescent="0.3">
      <c r="A8" s="6"/>
      <c r="B8" s="8" t="s">
        <v>13</v>
      </c>
      <c r="C8" s="9">
        <f>C3+50</f>
        <v>43983</v>
      </c>
    </row>
    <row r="9" spans="1:3" x14ac:dyDescent="0.3">
      <c r="A9" s="6"/>
      <c r="B9" s="8" t="s">
        <v>3</v>
      </c>
      <c r="C9" s="9">
        <f>DATE(A2,7,14)</f>
        <v>44026</v>
      </c>
    </row>
    <row r="10" spans="1:3" x14ac:dyDescent="0.3">
      <c r="A10" s="6"/>
      <c r="B10" s="8" t="s">
        <v>4</v>
      </c>
      <c r="C10" s="9">
        <f>DATE(A2,8,15)</f>
        <v>44058</v>
      </c>
    </row>
    <row r="11" spans="1:3" x14ac:dyDescent="0.3">
      <c r="A11" s="6"/>
      <c r="B11" s="8" t="s">
        <v>14</v>
      </c>
      <c r="C11" s="9">
        <f>DATE(A2,11,1)</f>
        <v>44136</v>
      </c>
    </row>
    <row r="12" spans="1:3" x14ac:dyDescent="0.3">
      <c r="A12" s="6"/>
      <c r="B12" s="8" t="s">
        <v>5</v>
      </c>
      <c r="C12" s="9">
        <f>DATE(A2,11,11)</f>
        <v>44146</v>
      </c>
    </row>
    <row r="13" spans="1:3" x14ac:dyDescent="0.3">
      <c r="A13" s="6"/>
      <c r="B13" s="8" t="s">
        <v>6</v>
      </c>
      <c r="C13" s="9">
        <f>DATE(A2,12,25)</f>
        <v>44190</v>
      </c>
    </row>
    <row r="14" spans="1:3" x14ac:dyDescent="0.3">
      <c r="A14" s="18">
        <f>A2+1</f>
        <v>2021</v>
      </c>
      <c r="B14" s="8" t="s">
        <v>8</v>
      </c>
      <c r="C14" s="9">
        <f>DATE(A14,1,1)</f>
        <v>44197</v>
      </c>
    </row>
    <row r="15" spans="1:3" x14ac:dyDescent="0.3">
      <c r="A15" s="6"/>
      <c r="B15" s="8" t="s">
        <v>9</v>
      </c>
      <c r="C15" s="9">
        <f>ROUND(DATE(A14,4,MOD(234-11*MOD(A14,19),30))/7,0)*7-6</f>
        <v>44290</v>
      </c>
    </row>
    <row r="16" spans="1:3" x14ac:dyDescent="0.3">
      <c r="A16" s="6"/>
      <c r="B16" s="8" t="s">
        <v>2</v>
      </c>
      <c r="C16" s="9">
        <f>C15+1</f>
        <v>44291</v>
      </c>
    </row>
    <row r="17" spans="1:3" x14ac:dyDescent="0.3">
      <c r="A17" s="6"/>
      <c r="B17" s="8" t="s">
        <v>10</v>
      </c>
      <c r="C17" s="9">
        <f>DATE(A14,5,1)</f>
        <v>44317</v>
      </c>
    </row>
    <row r="18" spans="1:3" x14ac:dyDescent="0.3">
      <c r="A18" s="6"/>
      <c r="B18" s="8" t="s">
        <v>11</v>
      </c>
      <c r="C18" s="9">
        <f>DATE(A14,5,8)</f>
        <v>44324</v>
      </c>
    </row>
    <row r="19" spans="1:3" x14ac:dyDescent="0.3">
      <c r="A19" s="6"/>
      <c r="B19" s="8" t="s">
        <v>12</v>
      </c>
      <c r="C19" s="9">
        <f>C15+39</f>
        <v>44329</v>
      </c>
    </row>
    <row r="20" spans="1:3" x14ac:dyDescent="0.3">
      <c r="A20" s="6"/>
      <c r="B20" s="8" t="s">
        <v>13</v>
      </c>
      <c r="C20" s="9">
        <f>C15+50</f>
        <v>44340</v>
      </c>
    </row>
    <row r="21" spans="1:3" x14ac:dyDescent="0.3">
      <c r="A21" s="6"/>
      <c r="B21" s="8" t="s">
        <v>3</v>
      </c>
      <c r="C21" s="9">
        <f>DATE(A14,7,14)</f>
        <v>44391</v>
      </c>
    </row>
    <row r="22" spans="1:3" x14ac:dyDescent="0.3">
      <c r="A22" s="6"/>
      <c r="B22" s="8" t="s">
        <v>4</v>
      </c>
      <c r="C22" s="9">
        <f>DATE(A14,8,15)</f>
        <v>44423</v>
      </c>
    </row>
    <row r="23" spans="1:3" x14ac:dyDescent="0.3">
      <c r="A23" s="6"/>
      <c r="B23" s="8" t="s">
        <v>14</v>
      </c>
      <c r="C23" s="9">
        <f>DATE(A14,11,1)</f>
        <v>44501</v>
      </c>
    </row>
    <row r="24" spans="1:3" x14ac:dyDescent="0.3">
      <c r="A24" s="6"/>
      <c r="B24" s="8" t="s">
        <v>5</v>
      </c>
      <c r="C24" s="9">
        <f>DATE(A14,11,11)</f>
        <v>44511</v>
      </c>
    </row>
    <row r="25" spans="1:3" x14ac:dyDescent="0.3">
      <c r="A25" s="6"/>
      <c r="B25" s="8" t="s">
        <v>6</v>
      </c>
      <c r="C25" s="9">
        <f>DATE(A14,12,25)</f>
        <v>44555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O17"/>
  <sheetViews>
    <sheetView showZeros="0" tabSelected="1" zoomScaleNormal="100" workbookViewId="0">
      <selection activeCell="A3" sqref="A3"/>
    </sheetView>
  </sheetViews>
  <sheetFormatPr baseColWidth="10" defaultColWidth="19.44140625" defaultRowHeight="14.4" x14ac:dyDescent="0.3"/>
  <cols>
    <col min="1" max="2" width="19.44140625" style="1"/>
    <col min="3" max="3" width="9" style="1" customWidth="1"/>
    <col min="4" max="4" width="15" style="1" bestFit="1" customWidth="1"/>
    <col min="5" max="5" width="10.77734375" style="1" bestFit="1" customWidth="1"/>
    <col min="6" max="6" width="11.109375" style="1" bestFit="1" customWidth="1"/>
    <col min="7" max="7" width="14.6640625" style="1" bestFit="1" customWidth="1"/>
    <col min="8" max="8" width="9" style="1" bestFit="1" customWidth="1"/>
    <col min="9" max="9" width="10.21875" style="1" bestFit="1" customWidth="1"/>
    <col min="10" max="10" width="10" style="1" bestFit="1" customWidth="1"/>
    <col min="11" max="15" width="14.6640625" style="1" bestFit="1" customWidth="1"/>
    <col min="16" max="16384" width="19.44140625" style="1"/>
  </cols>
  <sheetData>
    <row r="1" spans="1:15" x14ac:dyDescent="0.3">
      <c r="A1" s="5" t="s">
        <v>33</v>
      </c>
      <c r="B1" s="5" t="s">
        <v>32</v>
      </c>
      <c r="C1" s="5" t="s">
        <v>34</v>
      </c>
      <c r="D1" s="5" t="s">
        <v>35</v>
      </c>
      <c r="E1" s="5" t="s">
        <v>1</v>
      </c>
      <c r="F1" s="5" t="s">
        <v>0</v>
      </c>
    </row>
    <row r="2" spans="1:15" x14ac:dyDescent="0.3">
      <c r="A2" s="2">
        <v>43950</v>
      </c>
      <c r="B2" s="19">
        <v>0.375</v>
      </c>
      <c r="C2" s="20">
        <v>6.333333333333333</v>
      </c>
      <c r="D2" s="21">
        <v>1</v>
      </c>
      <c r="E2" s="2">
        <f>WORKDAY(A2,INT(C2/D2/'plage ouverture'!$K$3)+IF(MOD(C2/D2/'plage ouverture'!$K$3,1)*'plage ouverture'!$K$3&gt;MAX(0,'plage ouverture'!$I$3-B2-('plage ouverture'!$I$5-HLOOKUP(B2+'plage ouverture'!$L$3,'plage ouverture'!$B$3:$I$5,3,1))),1,0),'jours fériés'!C:C)</f>
        <v>43987</v>
      </c>
      <c r="F2" s="11">
        <f>HLOOKUP(MOD(C2/D2/'plage ouverture'!$K$3,1)*'plage ouverture'!$K$3-IF(MOD(C2/D2/'plage ouverture'!$K$3,1)*'plage ouverture'!$K$3&gt;MAX(0,'plage ouverture'!$I$3-B2-('plage ouverture'!$I$5-HLOOKUP(B2+'plage ouverture'!$L$3,'plage ouverture'!$B$3:$I$5,3,1))),MAX(0,'plage ouverture'!$I$3-B2-('plage ouverture'!$I$5-HLOOKUP(B2+'plage ouverture'!$L$3,'plage ouverture'!$B$3:$I$5,3,1))),0)+'plage ouverture'!$B$3-'plage ouverture'!$L$3,'plage ouverture'!$B$4:$I$5,2,1)+MOD(C2/D2/'plage ouverture'!$K$3,1)*'plage ouverture'!$K$3-IF(MOD(C2/D2/'plage ouverture'!$K$3,1)*'plage ouverture'!$K$3&gt;MAX(0,'plage ouverture'!$I$3-B2-('plage ouverture'!$I$5-HLOOKUP(B2+'plage ouverture'!$L$3,'plage ouverture'!$B$3:$I$5,3,1))),MAX(0,'plage ouverture'!$I$3-B2-('plage ouverture'!$I$5-HLOOKUP(B2+'plage ouverture'!$L$3,'plage ouverture'!$B$3:$I$5,3,1))),0)+'plage ouverture'!$B$3</f>
        <v>0.46874999999999772</v>
      </c>
    </row>
    <row r="4" spans="1:15" ht="15" thickBot="1" x14ac:dyDescent="0.35"/>
    <row r="5" spans="1:15" ht="29.4" thickBot="1" x14ac:dyDescent="0.35">
      <c r="A5" s="50" t="s">
        <v>36</v>
      </c>
      <c r="B5" s="51" t="s">
        <v>49</v>
      </c>
      <c r="C5" s="52" t="s">
        <v>16</v>
      </c>
      <c r="D5" s="53" t="s">
        <v>17</v>
      </c>
      <c r="E5" s="29" t="s">
        <v>18</v>
      </c>
      <c r="F5" s="54" t="s">
        <v>19</v>
      </c>
      <c r="G5" s="29" t="s">
        <v>20</v>
      </c>
      <c r="H5" s="29" t="s">
        <v>21</v>
      </c>
      <c r="I5" s="29" t="s">
        <v>22</v>
      </c>
      <c r="J5" s="54" t="s">
        <v>23</v>
      </c>
      <c r="K5" s="29" t="s">
        <v>50</v>
      </c>
      <c r="L5" s="29" t="s">
        <v>51</v>
      </c>
      <c r="M5" s="30" t="s">
        <v>52</v>
      </c>
      <c r="N5" s="48" t="s">
        <v>53</v>
      </c>
      <c r="O5" s="49" t="s">
        <v>54</v>
      </c>
    </row>
    <row r="6" spans="1:15" x14ac:dyDescent="0.3">
      <c r="A6" s="31" t="s">
        <v>37</v>
      </c>
      <c r="B6" s="32">
        <v>6.5</v>
      </c>
      <c r="C6" s="34">
        <v>0.33333333333333331</v>
      </c>
      <c r="D6" s="35">
        <v>0.40625</v>
      </c>
      <c r="E6" s="35">
        <v>0.4375</v>
      </c>
      <c r="F6" s="36">
        <v>0.5</v>
      </c>
      <c r="G6" s="35">
        <v>0.54166666666666663</v>
      </c>
      <c r="H6" s="35">
        <v>0.61458333333333337</v>
      </c>
      <c r="I6" s="35">
        <v>0.64583333333333337</v>
      </c>
      <c r="J6" s="36">
        <v>0.70833333333333337</v>
      </c>
      <c r="K6" s="34"/>
      <c r="L6" s="35"/>
      <c r="M6" s="35"/>
      <c r="N6" s="34"/>
      <c r="O6" s="36"/>
    </row>
    <row r="7" spans="1:15" x14ac:dyDescent="0.3">
      <c r="A7" s="37" t="s">
        <v>38</v>
      </c>
      <c r="B7" s="32">
        <v>6.5</v>
      </c>
      <c r="C7" s="38">
        <v>0.33333333333333331</v>
      </c>
      <c r="D7" s="39">
        <v>0.40625</v>
      </c>
      <c r="E7" s="39">
        <v>0.4375</v>
      </c>
      <c r="F7" s="40">
        <v>0.5</v>
      </c>
      <c r="G7" s="39">
        <v>0.54166666666666663</v>
      </c>
      <c r="H7" s="39">
        <v>0.61458333333333337</v>
      </c>
      <c r="I7" s="39">
        <v>0.64583333333333337</v>
      </c>
      <c r="J7" s="40">
        <v>0.70833333333333337</v>
      </c>
      <c r="K7" s="38"/>
      <c r="L7" s="47"/>
      <c r="M7" s="47"/>
      <c r="N7" s="38"/>
      <c r="O7" s="40"/>
    </row>
    <row r="8" spans="1:15" x14ac:dyDescent="0.3">
      <c r="A8" s="37" t="s">
        <v>39</v>
      </c>
      <c r="B8" s="32">
        <v>6.5</v>
      </c>
      <c r="C8" s="38">
        <v>0.33333333333333331</v>
      </c>
      <c r="D8" s="39">
        <v>0.40625</v>
      </c>
      <c r="E8" s="39">
        <v>0.4375</v>
      </c>
      <c r="F8" s="40">
        <v>0.5</v>
      </c>
      <c r="G8" s="39">
        <v>0.54166666666666663</v>
      </c>
      <c r="H8" s="39">
        <v>0.61458333333333337</v>
      </c>
      <c r="I8" s="39">
        <v>0.64583333333333337</v>
      </c>
      <c r="J8" s="40">
        <v>0.70833333333333337</v>
      </c>
      <c r="K8" s="38"/>
      <c r="L8" s="47"/>
      <c r="M8" s="47"/>
      <c r="N8" s="38"/>
      <c r="O8" s="40"/>
    </row>
    <row r="9" spans="1:15" x14ac:dyDescent="0.3">
      <c r="A9" s="37" t="s">
        <v>40</v>
      </c>
      <c r="B9" s="32">
        <v>6.5</v>
      </c>
      <c r="C9" s="38">
        <v>0.33333333333333331</v>
      </c>
      <c r="D9" s="39">
        <v>0.40625</v>
      </c>
      <c r="E9" s="39">
        <v>0.4375</v>
      </c>
      <c r="F9" s="40">
        <v>0.5</v>
      </c>
      <c r="G9" s="39">
        <v>0.54166666666666663</v>
      </c>
      <c r="H9" s="39">
        <v>0.61458333333333337</v>
      </c>
      <c r="I9" s="39">
        <v>0.64583333333333337</v>
      </c>
      <c r="J9" s="40">
        <v>0.70833333333333337</v>
      </c>
      <c r="K9" s="38"/>
      <c r="L9" s="47"/>
      <c r="M9" s="47"/>
      <c r="N9" s="38"/>
      <c r="O9" s="40"/>
    </row>
    <row r="10" spans="1:15" x14ac:dyDescent="0.3">
      <c r="A10" s="37" t="s">
        <v>41</v>
      </c>
      <c r="B10" s="32">
        <v>8</v>
      </c>
      <c r="C10" s="38">
        <v>0.33333333333333331</v>
      </c>
      <c r="D10" s="39"/>
      <c r="E10" s="39"/>
      <c r="F10" s="40">
        <v>0.5</v>
      </c>
      <c r="G10" s="39">
        <v>0.54166666666666663</v>
      </c>
      <c r="H10" s="39"/>
      <c r="I10" s="39"/>
      <c r="J10" s="40">
        <v>0.70833333333333337</v>
      </c>
      <c r="K10" s="38"/>
      <c r="L10" s="47"/>
      <c r="M10" s="47"/>
      <c r="N10" s="38"/>
      <c r="O10" s="40"/>
    </row>
    <row r="11" spans="1:15" x14ac:dyDescent="0.3">
      <c r="A11" s="37" t="s">
        <v>42</v>
      </c>
      <c r="B11" s="33">
        <v>8</v>
      </c>
      <c r="C11" s="38">
        <v>0.33333333333333331</v>
      </c>
      <c r="D11" s="39"/>
      <c r="E11" s="39"/>
      <c r="F11" s="40">
        <v>0.5</v>
      </c>
      <c r="G11" s="39">
        <v>0.54166666666666663</v>
      </c>
      <c r="H11" s="39"/>
      <c r="I11" s="39"/>
      <c r="J11" s="40">
        <v>0.70833333333333337</v>
      </c>
      <c r="K11" s="38"/>
      <c r="L11" s="47"/>
      <c r="M11" s="47"/>
      <c r="N11" s="38"/>
      <c r="O11" s="40"/>
    </row>
    <row r="12" spans="1:15" x14ac:dyDescent="0.3">
      <c r="A12" s="37" t="s">
        <v>43</v>
      </c>
      <c r="B12" s="33">
        <v>6.5</v>
      </c>
      <c r="C12" s="38">
        <v>0.33333333333333331</v>
      </c>
      <c r="D12" s="39">
        <v>0.40625</v>
      </c>
      <c r="E12" s="39">
        <v>0.4375</v>
      </c>
      <c r="F12" s="40">
        <v>0.5</v>
      </c>
      <c r="G12" s="39">
        <v>0.54166666666666663</v>
      </c>
      <c r="H12" s="39">
        <v>0.61458333333333337</v>
      </c>
      <c r="I12" s="39">
        <v>0.64583333333333337</v>
      </c>
      <c r="J12" s="40">
        <v>0.70833333333333337</v>
      </c>
      <c r="K12" s="38"/>
      <c r="L12" s="47"/>
      <c r="M12" s="47"/>
      <c r="N12" s="38"/>
      <c r="O12" s="40"/>
    </row>
    <row r="13" spans="1:15" ht="26.4" x14ac:dyDescent="0.3">
      <c r="A13" s="37" t="s">
        <v>44</v>
      </c>
      <c r="B13" s="33">
        <v>14</v>
      </c>
      <c r="C13" s="38">
        <v>0.20833333333333334</v>
      </c>
      <c r="D13" s="39">
        <v>0.35416666666666669</v>
      </c>
      <c r="E13" s="39">
        <v>0.39583333333333331</v>
      </c>
      <c r="F13" s="40">
        <v>0.54166666666666663</v>
      </c>
      <c r="G13" s="39">
        <v>0.54166666666666663</v>
      </c>
      <c r="H13" s="39">
        <v>0.6875</v>
      </c>
      <c r="I13" s="39">
        <v>0.72916666666666663</v>
      </c>
      <c r="J13" s="40">
        <v>0.875</v>
      </c>
      <c r="K13" s="38"/>
      <c r="L13" s="47"/>
      <c r="M13" s="47"/>
      <c r="N13" s="38"/>
      <c r="O13" s="40"/>
    </row>
    <row r="14" spans="1:15" ht="26.4" x14ac:dyDescent="0.3">
      <c r="A14" s="37" t="s">
        <v>45</v>
      </c>
      <c r="B14" s="33">
        <v>8</v>
      </c>
      <c r="C14" s="38">
        <v>0.33333333333333331</v>
      </c>
      <c r="D14" s="39"/>
      <c r="E14" s="39"/>
      <c r="F14" s="40">
        <v>0.5</v>
      </c>
      <c r="G14" s="39">
        <v>0.54166666666666663</v>
      </c>
      <c r="H14" s="39"/>
      <c r="I14" s="39"/>
      <c r="J14" s="40">
        <v>0.70833333333333337</v>
      </c>
      <c r="K14" s="38"/>
      <c r="L14" s="47"/>
      <c r="M14" s="47"/>
      <c r="N14" s="38"/>
      <c r="O14" s="40"/>
    </row>
    <row r="15" spans="1:15" ht="26.4" x14ac:dyDescent="0.3">
      <c r="A15" s="37" t="s">
        <v>46</v>
      </c>
      <c r="B15" s="33">
        <v>8</v>
      </c>
      <c r="C15" s="38">
        <v>0.33333333333333331</v>
      </c>
      <c r="D15" s="39"/>
      <c r="E15" s="39"/>
      <c r="F15" s="40">
        <v>0.5</v>
      </c>
      <c r="G15" s="39">
        <v>0.54166666666666663</v>
      </c>
      <c r="H15" s="39"/>
      <c r="I15" s="39"/>
      <c r="J15" s="40">
        <v>0.70833333333333337</v>
      </c>
      <c r="K15" s="38"/>
      <c r="L15" s="47"/>
      <c r="M15" s="47"/>
      <c r="N15" s="38"/>
      <c r="O15" s="40"/>
    </row>
    <row r="16" spans="1:15" ht="26.4" x14ac:dyDescent="0.3">
      <c r="A16" s="41" t="s">
        <v>47</v>
      </c>
      <c r="B16" s="33">
        <v>14</v>
      </c>
      <c r="C16" s="38">
        <v>0.20833333333333334</v>
      </c>
      <c r="D16" s="39">
        <v>0.35416666666666669</v>
      </c>
      <c r="E16" s="39">
        <v>0.39583333333333331</v>
      </c>
      <c r="F16" s="40">
        <v>0.54166666666666663</v>
      </c>
      <c r="G16" s="39">
        <v>0.54166666666666663</v>
      </c>
      <c r="H16" s="39">
        <v>0.6875</v>
      </c>
      <c r="I16" s="39">
        <v>0.72916666666666663</v>
      </c>
      <c r="J16" s="40">
        <v>0.875</v>
      </c>
      <c r="K16" s="38"/>
      <c r="L16" s="47"/>
      <c r="M16" s="47"/>
      <c r="N16" s="38"/>
      <c r="O16" s="40"/>
    </row>
    <row r="17" spans="1:15" ht="15" thickBot="1" x14ac:dyDescent="0.35">
      <c r="A17" s="42" t="s">
        <v>48</v>
      </c>
      <c r="B17" s="43">
        <v>6.5</v>
      </c>
      <c r="C17" s="44">
        <v>0.33333333333333331</v>
      </c>
      <c r="D17" s="45">
        <v>0.40625</v>
      </c>
      <c r="E17" s="45">
        <v>0.4375</v>
      </c>
      <c r="F17" s="46">
        <v>0.5</v>
      </c>
      <c r="G17" s="45">
        <v>0.54166666666666663</v>
      </c>
      <c r="H17" s="45">
        <v>0.61458333333333337</v>
      </c>
      <c r="I17" s="45">
        <v>0.64583333333333337</v>
      </c>
      <c r="J17" s="46">
        <v>0.70833333333333337</v>
      </c>
      <c r="K17" s="44"/>
      <c r="L17" s="45"/>
      <c r="M17" s="45"/>
      <c r="N17" s="44"/>
      <c r="O17" s="46"/>
    </row>
  </sheetData>
  <conditionalFormatting sqref="B10">
    <cfRule type="cellIs" dxfId="7" priority="1" operator="equal">
      <formula>1</formula>
    </cfRule>
  </conditionalFormatting>
  <conditionalFormatting sqref="B8:B9">
    <cfRule type="expression" dxfId="6" priority="4">
      <formula>OR(WEEKDAY(B$9)=1,WEEKDAY(B$9)=7,COUNTIF(feries,DATE(YEAR(B$9),MONTH(B$9),DAY(B$9)))&gt;0)</formula>
    </cfRule>
  </conditionalFormatting>
  <conditionalFormatting sqref="B8:B9">
    <cfRule type="cellIs" dxfId="5" priority="3" operator="equal">
      <formula>1</formula>
    </cfRule>
  </conditionalFormatting>
  <conditionalFormatting sqref="B10">
    <cfRule type="expression" dxfId="4" priority="2">
      <formula>OR(WEEKDAY(B$9)=1,WEEKDAY(B$9)=7,COUNTIF(feries,DATE(YEAR(B$9),MONTH(B$9),DAY(B$9)))&gt;0)</formula>
    </cfRule>
  </conditionalFormatting>
  <conditionalFormatting sqref="B6">
    <cfRule type="expression" dxfId="3" priority="10">
      <formula>OR(WEEKDAY(B$9)=1,WEEKDAY(B$9)=7,COUNTIF(feries,DATE(YEAR(B$9),MONTH(B$9),DAY(B$9)))&gt;0)</formula>
    </cfRule>
  </conditionalFormatting>
  <conditionalFormatting sqref="B6">
    <cfRule type="cellIs" dxfId="2" priority="9" operator="equal">
      <formula>1</formula>
    </cfRule>
  </conditionalFormatting>
  <conditionalFormatting sqref="B7">
    <cfRule type="expression" dxfId="1" priority="6">
      <formula>OR(WEEKDAY(B$9)=1,WEEKDAY(B$9)=7,COUNTIF(feries,DATE(YEAR(B$9),MONTH(B$9),DAY(B$9)))&gt;0)</formula>
    </cfRule>
  </conditionalFormatting>
  <conditionalFormatting sqref="B7">
    <cfRule type="cellIs" dxfId="0" priority="5" operator="equal">
      <formula>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plage ouverture</vt:lpstr>
      <vt:lpstr>jours fériés</vt:lpstr>
      <vt:lpstr>date et heure de fin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M'llz Kenza</dc:creator>
  <cp:lastModifiedBy>Flo</cp:lastModifiedBy>
  <dcterms:created xsi:type="dcterms:W3CDTF">2019-01-05T21:15:02Z</dcterms:created>
  <dcterms:modified xsi:type="dcterms:W3CDTF">2020-03-08T19:48:05Z</dcterms:modified>
</cp:coreProperties>
</file>