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148FE7F7-FE81-4CA5-9850-59073000E962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HISTORQUE" sheetId="4" r:id="rId1"/>
    <sheet name="Feuil2" sheetId="5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O36" i="5" l="1"/>
  <c r="AQ7" i="4"/>
  <c r="AQ8" i="4"/>
  <c r="AQ9" i="4"/>
  <c r="AQ10" i="4"/>
  <c r="AQ11" i="4"/>
  <c r="AQ12" i="4"/>
  <c r="AQ13" i="4"/>
  <c r="AQ22" i="4"/>
  <c r="AQ23" i="4"/>
  <c r="AQ24" i="4"/>
  <c r="AQ25" i="4"/>
  <c r="AQ26" i="4"/>
  <c r="AQ27" i="4"/>
  <c r="AQ28" i="4"/>
  <c r="AQ29" i="4"/>
  <c r="AQ30" i="4"/>
  <c r="AQ31" i="4"/>
  <c r="AQ32" i="4"/>
  <c r="AQ33" i="4"/>
  <c r="AQ34" i="4"/>
  <c r="AQ35" i="4"/>
  <c r="AQ36" i="4"/>
  <c r="AQ37" i="4"/>
  <c r="AQ38" i="4"/>
  <c r="AQ39" i="4"/>
  <c r="AQ40" i="4"/>
  <c r="AQ41" i="4"/>
  <c r="AQ42" i="4"/>
  <c r="AQ43" i="4"/>
  <c r="AQ44" i="4"/>
  <c r="AQ45" i="4"/>
  <c r="AQ46" i="4"/>
  <c r="AQ47" i="4"/>
  <c r="AQ48" i="4"/>
  <c r="AQ49" i="4"/>
  <c r="AQ50" i="4"/>
  <c r="AQ51" i="4"/>
  <c r="AQ52" i="4"/>
  <c r="AQ53" i="4"/>
  <c r="AQ54" i="4"/>
  <c r="AQ55" i="4"/>
  <c r="AQ56" i="4"/>
  <c r="AQ57" i="4"/>
  <c r="AQ58" i="4"/>
  <c r="AQ59" i="4"/>
  <c r="AQ60" i="4"/>
  <c r="AQ61" i="4"/>
  <c r="AQ62" i="4"/>
  <c r="AQ63" i="4"/>
  <c r="AQ64" i="4"/>
  <c r="AQ65" i="4"/>
  <c r="AQ66" i="4"/>
  <c r="AQ67" i="4"/>
  <c r="AQ68" i="4"/>
  <c r="AQ69" i="4"/>
  <c r="AQ70" i="4"/>
  <c r="AQ71" i="4"/>
  <c r="AQ72" i="4"/>
  <c r="AQ73" i="4"/>
  <c r="AQ74" i="4"/>
  <c r="AQ75" i="4"/>
  <c r="AQ76" i="4"/>
  <c r="AQ77" i="4"/>
  <c r="AQ78" i="4"/>
  <c r="AQ79" i="4"/>
  <c r="AQ80" i="4"/>
  <c r="AQ81" i="4"/>
  <c r="AQ82" i="4"/>
  <c r="AQ83" i="4"/>
  <c r="AQ84" i="4"/>
  <c r="AQ85" i="4"/>
  <c r="AQ86" i="4"/>
  <c r="AQ87" i="4"/>
  <c r="AQ88" i="4"/>
  <c r="AQ89" i="4"/>
  <c r="AQ90" i="4"/>
  <c r="AQ91" i="4"/>
  <c r="AQ92" i="4"/>
  <c r="AQ93" i="4"/>
  <c r="AQ94" i="4"/>
  <c r="AQ95" i="4"/>
  <c r="AQ96" i="4"/>
  <c r="AQ97" i="4"/>
  <c r="AQ98" i="4"/>
  <c r="AQ99" i="4"/>
  <c r="AQ100" i="4"/>
  <c r="AQ101" i="4"/>
  <c r="AQ102" i="4"/>
  <c r="AQ103" i="4"/>
  <c r="AQ104" i="4"/>
  <c r="AQ105" i="4"/>
  <c r="AQ106" i="4"/>
  <c r="AQ107" i="4"/>
  <c r="AQ108" i="4"/>
  <c r="AQ109" i="4"/>
  <c r="AQ110" i="4"/>
  <c r="AQ111" i="4"/>
  <c r="AQ112" i="4"/>
  <c r="AQ113" i="4"/>
  <c r="AQ114" i="4"/>
  <c r="AQ115" i="4"/>
  <c r="AQ116" i="4"/>
  <c r="AQ117" i="4"/>
  <c r="AQ118" i="4"/>
  <c r="AQ119" i="4"/>
  <c r="AQ120" i="4"/>
  <c r="AQ121" i="4"/>
  <c r="AQ122" i="4"/>
  <c r="AQ123" i="4"/>
  <c r="AQ124" i="4"/>
  <c r="AQ125" i="4"/>
  <c r="AQ126" i="4"/>
  <c r="AQ127" i="4"/>
  <c r="AQ128" i="4"/>
  <c r="AQ129" i="4"/>
  <c r="AQ130" i="4"/>
  <c r="AQ131" i="4"/>
  <c r="AQ132" i="4"/>
  <c r="AQ133" i="4"/>
  <c r="AQ134" i="4"/>
  <c r="AQ135" i="4"/>
  <c r="AQ136" i="4"/>
  <c r="AQ137" i="4"/>
  <c r="AQ138" i="4"/>
  <c r="AQ139" i="4"/>
  <c r="AQ140" i="4"/>
  <c r="AQ141" i="4"/>
  <c r="AQ142" i="4"/>
  <c r="AQ143" i="4"/>
  <c r="AQ144" i="4"/>
  <c r="AQ145" i="4"/>
  <c r="AQ146" i="4"/>
  <c r="AQ147" i="4"/>
  <c r="AQ148" i="4"/>
  <c r="AQ149" i="4"/>
  <c r="AQ150" i="4"/>
  <c r="AQ151" i="4"/>
  <c r="AQ152" i="4"/>
  <c r="AQ153" i="4"/>
  <c r="AQ154" i="4"/>
  <c r="AQ155" i="4"/>
  <c r="AQ156" i="4"/>
  <c r="AQ157" i="4"/>
  <c r="AQ158" i="4"/>
  <c r="AQ159" i="4"/>
  <c r="AQ160" i="4"/>
  <c r="AQ161" i="4"/>
  <c r="AQ162" i="4"/>
  <c r="AQ163" i="4"/>
  <c r="AQ164" i="4"/>
  <c r="AQ165" i="4"/>
  <c r="AQ166" i="4"/>
  <c r="AQ167" i="4"/>
  <c r="AQ168" i="4"/>
  <c r="AQ169" i="4"/>
  <c r="AQ170" i="4"/>
  <c r="AQ171" i="4"/>
  <c r="AQ172" i="4"/>
  <c r="AQ173" i="4"/>
  <c r="AQ174" i="4"/>
  <c r="AQ175" i="4"/>
  <c r="AQ176" i="4"/>
  <c r="AQ177" i="4"/>
  <c r="AQ178" i="4"/>
  <c r="AQ179" i="4"/>
  <c r="AQ180" i="4"/>
  <c r="AQ181" i="4"/>
  <c r="AP9" i="4"/>
  <c r="AP7" i="4"/>
  <c r="AP8" i="4"/>
  <c r="AP10" i="4"/>
  <c r="AP11" i="4"/>
  <c r="AP12" i="4"/>
  <c r="AP13" i="4"/>
  <c r="AP14" i="4"/>
  <c r="AP15" i="4"/>
  <c r="AP16" i="4"/>
  <c r="AP17" i="4"/>
  <c r="AP18" i="4"/>
  <c r="AP19" i="4"/>
  <c r="AP20" i="4"/>
  <c r="AP21" i="4"/>
  <c r="AP22" i="4"/>
  <c r="AP23" i="4"/>
  <c r="AP24" i="4"/>
  <c r="AP25" i="4"/>
  <c r="AP26" i="4"/>
  <c r="AP27" i="4"/>
  <c r="AP28" i="4"/>
  <c r="AP29" i="4"/>
  <c r="AP30" i="4"/>
  <c r="AP31" i="4"/>
  <c r="AP32" i="4"/>
  <c r="AP33" i="4"/>
  <c r="AP34" i="4"/>
  <c r="AP35" i="4"/>
  <c r="AP36" i="4"/>
  <c r="AP37" i="4"/>
  <c r="AP38" i="4"/>
  <c r="AP39" i="4"/>
  <c r="AP40" i="4"/>
  <c r="AP41" i="4"/>
  <c r="AP42" i="4"/>
  <c r="AP43" i="4"/>
  <c r="AP44" i="4"/>
  <c r="AP45" i="4"/>
  <c r="AP46" i="4"/>
  <c r="AP47" i="4"/>
  <c r="AP48" i="4"/>
  <c r="AP49" i="4"/>
  <c r="AP50" i="4"/>
  <c r="AP51" i="4"/>
  <c r="AP52" i="4"/>
  <c r="AP53" i="4"/>
  <c r="AP54" i="4"/>
  <c r="AP55" i="4"/>
  <c r="AP56" i="4"/>
  <c r="AP57" i="4"/>
  <c r="AP58" i="4"/>
  <c r="AP59" i="4"/>
  <c r="AP60" i="4"/>
  <c r="AP61" i="4"/>
  <c r="AP62" i="4"/>
  <c r="AP63" i="4"/>
  <c r="AP64" i="4"/>
  <c r="AP65" i="4"/>
  <c r="AP66" i="4"/>
  <c r="AP67" i="4"/>
  <c r="AP68" i="4"/>
  <c r="AP69" i="4"/>
  <c r="AP70" i="4"/>
  <c r="AP71" i="4"/>
  <c r="AP72" i="4"/>
  <c r="AP73" i="4"/>
  <c r="AP74" i="4"/>
  <c r="AP75" i="4"/>
  <c r="AP76" i="4"/>
  <c r="AP77" i="4"/>
  <c r="AP78" i="4"/>
  <c r="AP79" i="4"/>
  <c r="AP80" i="4"/>
  <c r="AP81" i="4"/>
  <c r="AP82" i="4"/>
  <c r="AP83" i="4"/>
  <c r="AP84" i="4"/>
  <c r="AP85" i="4"/>
  <c r="AP86" i="4"/>
  <c r="AP87" i="4"/>
  <c r="AP88" i="4"/>
  <c r="AP89" i="4"/>
  <c r="AP90" i="4"/>
  <c r="AP91" i="4"/>
  <c r="AP92" i="4"/>
  <c r="AP93" i="4"/>
  <c r="AP94" i="4"/>
  <c r="AP95" i="4"/>
  <c r="AP96" i="4"/>
  <c r="AP97" i="4"/>
  <c r="AP98" i="4"/>
  <c r="AP99" i="4"/>
  <c r="AP100" i="4"/>
  <c r="AP101" i="4"/>
  <c r="AP102" i="4"/>
  <c r="AP103" i="4"/>
  <c r="AP104" i="4"/>
  <c r="AP105" i="4"/>
  <c r="AP106" i="4"/>
  <c r="AP107" i="4"/>
  <c r="AP108" i="4"/>
  <c r="AP109" i="4"/>
  <c r="AP110" i="4"/>
  <c r="AP111" i="4"/>
  <c r="AP112" i="4"/>
  <c r="AP113" i="4"/>
  <c r="AP114" i="4"/>
  <c r="AP115" i="4"/>
  <c r="AP116" i="4"/>
  <c r="AP117" i="4"/>
  <c r="AP118" i="4"/>
  <c r="AP119" i="4"/>
  <c r="AP120" i="4"/>
  <c r="AP121" i="4"/>
  <c r="AP122" i="4"/>
  <c r="AP123" i="4"/>
  <c r="AP124" i="4"/>
  <c r="AP125" i="4"/>
  <c r="AP126" i="4"/>
  <c r="AP127" i="4"/>
  <c r="AP128" i="4"/>
  <c r="AP129" i="4"/>
  <c r="AP130" i="4"/>
  <c r="AP131" i="4"/>
  <c r="AP132" i="4"/>
  <c r="AP133" i="4"/>
  <c r="AP134" i="4"/>
  <c r="AP135" i="4"/>
  <c r="AP136" i="4"/>
  <c r="AP137" i="4"/>
  <c r="AP138" i="4"/>
  <c r="AP139" i="4"/>
  <c r="AP140" i="4"/>
  <c r="AP141" i="4"/>
  <c r="AP142" i="4"/>
  <c r="AP143" i="4"/>
  <c r="AP144" i="4"/>
  <c r="AP145" i="4"/>
  <c r="AP146" i="4"/>
  <c r="AP147" i="4"/>
  <c r="AP148" i="4"/>
  <c r="AP149" i="4"/>
  <c r="AP150" i="4"/>
  <c r="AP151" i="4"/>
  <c r="AP152" i="4"/>
  <c r="AP153" i="4"/>
  <c r="AP154" i="4"/>
  <c r="AP155" i="4"/>
  <c r="AP156" i="4"/>
  <c r="AP157" i="4"/>
  <c r="AP158" i="4"/>
  <c r="AP159" i="4"/>
  <c r="AP160" i="4"/>
  <c r="AP161" i="4"/>
  <c r="AP162" i="4"/>
  <c r="AP163" i="4"/>
  <c r="AP164" i="4"/>
  <c r="AP165" i="4"/>
  <c r="AP166" i="4"/>
  <c r="AP167" i="4"/>
  <c r="AP168" i="4"/>
  <c r="AP169" i="4"/>
  <c r="AP170" i="4"/>
  <c r="AP171" i="4"/>
  <c r="AP172" i="4"/>
  <c r="AP173" i="4"/>
  <c r="AP174" i="4"/>
  <c r="AP175" i="4"/>
  <c r="AP176" i="4"/>
  <c r="AP177" i="4"/>
  <c r="AP178" i="4"/>
  <c r="AP179" i="4"/>
  <c r="AP180" i="4"/>
  <c r="AP181" i="4"/>
  <c r="AN8" i="4"/>
  <c r="AN7" i="4"/>
  <c r="AO9" i="4"/>
  <c r="AL7" i="4"/>
  <c r="AL8" i="4"/>
  <c r="AL9" i="4"/>
  <c r="AL10" i="4"/>
  <c r="AL11" i="4"/>
  <c r="AL12" i="4"/>
  <c r="AL13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O7" i="4"/>
  <c r="AO8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22" i="4"/>
  <c r="AO23" i="4"/>
  <c r="AO24" i="4"/>
  <c r="AO25" i="4"/>
  <c r="AO26" i="4"/>
  <c r="AO27" i="4"/>
  <c r="AO28" i="4"/>
  <c r="AO29" i="4"/>
  <c r="AO30" i="4"/>
  <c r="AO31" i="4"/>
  <c r="AO32" i="4"/>
  <c r="AO33" i="4"/>
  <c r="AO34" i="4"/>
  <c r="AO35" i="4"/>
  <c r="AO36" i="4"/>
  <c r="AO37" i="4"/>
  <c r="AO38" i="4"/>
  <c r="AO39" i="4"/>
  <c r="AO40" i="4"/>
  <c r="AO41" i="4"/>
  <c r="AO42" i="4"/>
  <c r="AO43" i="4"/>
  <c r="AO44" i="4"/>
  <c r="AO45" i="4"/>
  <c r="AO46" i="4"/>
  <c r="AO47" i="4"/>
  <c r="AO48" i="4"/>
  <c r="AO49" i="4"/>
  <c r="AO50" i="4"/>
  <c r="AO51" i="4"/>
  <c r="AO52" i="4"/>
  <c r="AO53" i="4"/>
  <c r="AO54" i="4"/>
  <c r="AO55" i="4"/>
  <c r="AO56" i="4"/>
  <c r="AO57" i="4"/>
  <c r="AO58" i="4"/>
  <c r="AO59" i="4"/>
  <c r="AO60" i="4"/>
  <c r="AO61" i="4"/>
  <c r="AO62" i="4"/>
  <c r="AO63" i="4"/>
  <c r="AO64" i="4"/>
  <c r="AO65" i="4"/>
  <c r="AO66" i="4"/>
  <c r="AO67" i="4"/>
  <c r="AO68" i="4"/>
  <c r="AO69" i="4"/>
  <c r="AO70" i="4"/>
  <c r="AO71" i="4"/>
  <c r="AO72" i="4"/>
  <c r="AO73" i="4"/>
  <c r="AO74" i="4"/>
  <c r="AO75" i="4"/>
  <c r="AO76" i="4"/>
  <c r="AO77" i="4"/>
  <c r="AO78" i="4"/>
  <c r="AO79" i="4"/>
  <c r="AO80" i="4"/>
  <c r="AO81" i="4"/>
  <c r="AO82" i="4"/>
  <c r="AO83" i="4"/>
  <c r="AO84" i="4"/>
  <c r="AO85" i="4"/>
  <c r="AO86" i="4"/>
  <c r="AO87" i="4"/>
  <c r="AO88" i="4"/>
  <c r="AO89" i="4"/>
  <c r="AO90" i="4"/>
  <c r="AO91" i="4"/>
  <c r="AO92" i="4"/>
  <c r="AO93" i="4"/>
  <c r="AO94" i="4"/>
  <c r="AO95" i="4"/>
  <c r="AO96" i="4"/>
  <c r="AO97" i="4"/>
  <c r="AO98" i="4"/>
  <c r="AO99" i="4"/>
  <c r="AO100" i="4"/>
  <c r="AO101" i="4"/>
  <c r="AO102" i="4"/>
  <c r="AO103" i="4"/>
  <c r="AO104" i="4"/>
  <c r="AO105" i="4"/>
  <c r="AO106" i="4"/>
  <c r="AO107" i="4"/>
  <c r="AO108" i="4"/>
  <c r="AO109" i="4"/>
  <c r="AO110" i="4"/>
  <c r="AO111" i="4"/>
  <c r="AO112" i="4"/>
  <c r="AO113" i="4"/>
  <c r="AO114" i="4"/>
  <c r="AO115" i="4"/>
  <c r="AO116" i="4"/>
  <c r="AO117" i="4"/>
  <c r="AO118" i="4"/>
  <c r="AO119" i="4"/>
  <c r="AO120" i="4"/>
  <c r="AO121" i="4"/>
  <c r="AO122" i="4"/>
  <c r="AO123" i="4"/>
  <c r="AO124" i="4"/>
  <c r="AO125" i="4"/>
  <c r="AO126" i="4"/>
  <c r="AO127" i="4"/>
  <c r="AO128" i="4"/>
  <c r="AO129" i="4"/>
  <c r="AO130" i="4"/>
  <c r="AO131" i="4"/>
  <c r="AO132" i="4"/>
  <c r="AO133" i="4"/>
  <c r="AO134" i="4"/>
  <c r="AO135" i="4"/>
  <c r="AO136" i="4"/>
  <c r="AO137" i="4"/>
  <c r="AO138" i="4"/>
  <c r="AO139" i="4"/>
  <c r="AO140" i="4"/>
  <c r="AO141" i="4"/>
  <c r="AO142" i="4"/>
  <c r="AO143" i="4"/>
  <c r="AO144" i="4"/>
  <c r="AO145" i="4"/>
  <c r="AO146" i="4"/>
  <c r="AO147" i="4"/>
  <c r="AO148" i="4"/>
  <c r="AO149" i="4"/>
  <c r="AO150" i="4"/>
  <c r="AO151" i="4"/>
  <c r="AO152" i="4"/>
  <c r="AO153" i="4"/>
  <c r="AO154" i="4"/>
  <c r="AO155" i="4"/>
  <c r="AO156" i="4"/>
  <c r="AO157" i="4"/>
  <c r="AO158" i="4"/>
  <c r="AO159" i="4"/>
  <c r="AO160" i="4"/>
  <c r="AO161" i="4"/>
  <c r="AO162" i="4"/>
  <c r="AO163" i="4"/>
  <c r="AO164" i="4"/>
  <c r="AO165" i="4"/>
  <c r="AO166" i="4"/>
  <c r="AO167" i="4"/>
  <c r="AO168" i="4"/>
  <c r="AO169" i="4"/>
  <c r="AO170" i="4"/>
  <c r="AO171" i="4"/>
  <c r="AO172" i="4"/>
  <c r="AO173" i="4"/>
  <c r="AO174" i="4"/>
  <c r="AO175" i="4"/>
  <c r="AO176" i="4"/>
  <c r="AO177" i="4"/>
  <c r="AO178" i="4"/>
  <c r="AO179" i="4"/>
  <c r="AO180" i="4"/>
  <c r="AO181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77" i="4"/>
  <c r="AM78" i="4"/>
  <c r="AM79" i="4"/>
  <c r="AM80" i="4"/>
  <c r="AM81" i="4"/>
  <c r="AM82" i="4"/>
  <c r="AM83" i="4"/>
  <c r="AM84" i="4"/>
  <c r="AM85" i="4"/>
  <c r="AM86" i="4"/>
  <c r="AM87" i="4"/>
  <c r="AM88" i="4"/>
  <c r="AM89" i="4"/>
  <c r="AM90" i="4"/>
  <c r="AM91" i="4"/>
  <c r="AM92" i="4"/>
  <c r="AM93" i="4"/>
  <c r="AM94" i="4"/>
  <c r="AM95" i="4"/>
  <c r="AM96" i="4"/>
  <c r="AM97" i="4"/>
  <c r="AM98" i="4"/>
  <c r="AM99" i="4"/>
  <c r="AM100" i="4"/>
  <c r="AM101" i="4"/>
  <c r="AM102" i="4"/>
  <c r="AM103" i="4"/>
  <c r="AM104" i="4"/>
  <c r="AM105" i="4"/>
  <c r="AM106" i="4"/>
  <c r="AM107" i="4"/>
  <c r="AM108" i="4"/>
  <c r="AM109" i="4"/>
  <c r="AM110" i="4"/>
  <c r="AM111" i="4"/>
  <c r="AM112" i="4"/>
  <c r="AM113" i="4"/>
  <c r="AM114" i="4"/>
  <c r="AM115" i="4"/>
  <c r="AM116" i="4"/>
  <c r="AM117" i="4"/>
  <c r="AM118" i="4"/>
  <c r="AM119" i="4"/>
  <c r="AM120" i="4"/>
  <c r="AM121" i="4"/>
  <c r="AM122" i="4"/>
  <c r="AM123" i="4"/>
  <c r="AM124" i="4"/>
  <c r="AM125" i="4"/>
  <c r="AM126" i="4"/>
  <c r="AM127" i="4"/>
  <c r="AM128" i="4"/>
  <c r="AM129" i="4"/>
  <c r="AM130" i="4"/>
  <c r="AM131" i="4"/>
  <c r="AM132" i="4"/>
  <c r="AM133" i="4"/>
  <c r="AM134" i="4"/>
  <c r="AM135" i="4"/>
  <c r="AM136" i="4"/>
  <c r="AM137" i="4"/>
  <c r="AM138" i="4"/>
  <c r="AM139" i="4"/>
  <c r="AM140" i="4"/>
  <c r="AM141" i="4"/>
  <c r="AM142" i="4"/>
  <c r="AM143" i="4"/>
  <c r="AM144" i="4"/>
  <c r="AM145" i="4"/>
  <c r="AM146" i="4"/>
  <c r="AM147" i="4"/>
  <c r="AM148" i="4"/>
  <c r="AM149" i="4"/>
  <c r="AM150" i="4"/>
  <c r="AM151" i="4"/>
  <c r="AM152" i="4"/>
  <c r="AM153" i="4"/>
  <c r="AM154" i="4"/>
  <c r="AM155" i="4"/>
  <c r="AM156" i="4"/>
  <c r="AM157" i="4"/>
  <c r="AM158" i="4"/>
  <c r="AM159" i="4"/>
  <c r="AM160" i="4"/>
  <c r="AM161" i="4"/>
  <c r="AM162" i="4"/>
  <c r="AM163" i="4"/>
  <c r="AM164" i="4"/>
  <c r="AM165" i="4"/>
  <c r="AM166" i="4"/>
  <c r="AM167" i="4"/>
  <c r="AM168" i="4"/>
  <c r="AM169" i="4"/>
  <c r="AM170" i="4"/>
  <c r="AM171" i="4"/>
  <c r="AM172" i="4"/>
  <c r="AM173" i="4"/>
  <c r="AM174" i="4"/>
  <c r="AM175" i="4"/>
  <c r="AM176" i="4"/>
  <c r="AM177" i="4"/>
  <c r="AM178" i="4"/>
  <c r="AM179" i="4"/>
  <c r="AM180" i="4"/>
  <c r="AM181" i="4"/>
  <c r="Z7" i="4"/>
  <c r="AK7" i="4"/>
  <c r="AK8" i="4"/>
  <c r="AK9" i="4"/>
  <c r="AK10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Y35" i="5"/>
  <c r="AJ7" i="4"/>
  <c r="AJ8" i="4"/>
  <c r="AJ9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S35" i="5"/>
  <c r="X9" i="4" l="1"/>
  <c r="K94" i="4" l="1"/>
  <c r="S94" i="4" s="1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H95" i="4"/>
  <c r="AH96" i="4"/>
  <c r="AH97" i="4"/>
  <c r="AH98" i="4"/>
  <c r="AH99" i="4"/>
  <c r="AH115" i="4"/>
  <c r="AH117" i="4"/>
  <c r="AH118" i="4"/>
  <c r="AH119" i="4"/>
  <c r="AH125" i="4"/>
  <c r="AH126" i="4"/>
  <c r="K9" i="4"/>
  <c r="K10" i="4"/>
  <c r="S10" i="4" s="1"/>
  <c r="K11" i="4"/>
  <c r="W11" i="4" s="1"/>
  <c r="K12" i="4"/>
  <c r="S12" i="4" s="1"/>
  <c r="K13" i="4"/>
  <c r="K14" i="4"/>
  <c r="S14" i="4" s="1"/>
  <c r="K15" i="4"/>
  <c r="S15" i="4" s="1"/>
  <c r="K16" i="4"/>
  <c r="W16" i="4" s="1"/>
  <c r="K17" i="4"/>
  <c r="K18" i="4"/>
  <c r="S18" i="4" s="1"/>
  <c r="K19" i="4"/>
  <c r="S19" i="4" s="1"/>
  <c r="K20" i="4"/>
  <c r="S20" i="4" s="1"/>
  <c r="K21" i="4"/>
  <c r="K22" i="4"/>
  <c r="S22" i="4" s="1"/>
  <c r="K23" i="4"/>
  <c r="U23" i="4" s="1"/>
  <c r="K24" i="4"/>
  <c r="U24" i="4" s="1"/>
  <c r="K25" i="4"/>
  <c r="K26" i="4"/>
  <c r="S26" i="4" s="1"/>
  <c r="K27" i="4"/>
  <c r="W27" i="4" s="1"/>
  <c r="K28" i="4"/>
  <c r="S28" i="4" s="1"/>
  <c r="K29" i="4"/>
  <c r="K30" i="4"/>
  <c r="S30" i="4" s="1"/>
  <c r="K31" i="4"/>
  <c r="W31" i="4" s="1"/>
  <c r="K32" i="4"/>
  <c r="W32" i="4" s="1"/>
  <c r="K33" i="4"/>
  <c r="K34" i="4"/>
  <c r="S34" i="4" s="1"/>
  <c r="K35" i="4"/>
  <c r="S35" i="4" s="1"/>
  <c r="K36" i="4"/>
  <c r="S36" i="4" s="1"/>
  <c r="K37" i="4"/>
  <c r="K38" i="4"/>
  <c r="S38" i="4" s="1"/>
  <c r="K39" i="4"/>
  <c r="U39" i="4" s="1"/>
  <c r="K40" i="4"/>
  <c r="S40" i="4" s="1"/>
  <c r="K41" i="4"/>
  <c r="K42" i="4"/>
  <c r="S42" i="4" s="1"/>
  <c r="K43" i="4"/>
  <c r="W43" i="4" s="1"/>
  <c r="K44" i="4"/>
  <c r="S44" i="4" s="1"/>
  <c r="K45" i="4"/>
  <c r="K46" i="4"/>
  <c r="S46" i="4" s="1"/>
  <c r="K47" i="4"/>
  <c r="S47" i="4" s="1"/>
  <c r="K48" i="4"/>
  <c r="W48" i="4" s="1"/>
  <c r="K49" i="4"/>
  <c r="K50" i="4"/>
  <c r="S50" i="4" s="1"/>
  <c r="K51" i="4"/>
  <c r="S51" i="4" s="1"/>
  <c r="K52" i="4"/>
  <c r="S52" i="4" s="1"/>
  <c r="K53" i="4"/>
  <c r="K54" i="4"/>
  <c r="S54" i="4" s="1"/>
  <c r="K55" i="4"/>
  <c r="U55" i="4" s="1"/>
  <c r="K56" i="4"/>
  <c r="U56" i="4" s="1"/>
  <c r="K57" i="4"/>
  <c r="K58" i="4"/>
  <c r="S58" i="4" s="1"/>
  <c r="K59" i="4"/>
  <c r="W59" i="4" s="1"/>
  <c r="K60" i="4"/>
  <c r="S60" i="4" s="1"/>
  <c r="K61" i="4"/>
  <c r="K62" i="4"/>
  <c r="S62" i="4" s="1"/>
  <c r="K63" i="4"/>
  <c r="S63" i="4" s="1"/>
  <c r="K64" i="4"/>
  <c r="W64" i="4" s="1"/>
  <c r="K65" i="4"/>
  <c r="K66" i="4"/>
  <c r="S66" i="4" s="1"/>
  <c r="K67" i="4"/>
  <c r="U67" i="4" s="1"/>
  <c r="K68" i="4"/>
  <c r="S68" i="4" s="1"/>
  <c r="K69" i="4"/>
  <c r="K70" i="4"/>
  <c r="S70" i="4" s="1"/>
  <c r="K71" i="4"/>
  <c r="U71" i="4" s="1"/>
  <c r="K72" i="4"/>
  <c r="S72" i="4" s="1"/>
  <c r="K73" i="4"/>
  <c r="K74" i="4"/>
  <c r="S74" i="4" s="1"/>
  <c r="K75" i="4"/>
  <c r="W75" i="4" s="1"/>
  <c r="K76" i="4"/>
  <c r="S76" i="4" s="1"/>
  <c r="K77" i="4"/>
  <c r="K78" i="4"/>
  <c r="S78" i="4" s="1"/>
  <c r="K79" i="4"/>
  <c r="U79" i="4" s="1"/>
  <c r="K80" i="4"/>
  <c r="W80" i="4" s="1"/>
  <c r="K81" i="4"/>
  <c r="K82" i="4"/>
  <c r="S82" i="4" s="1"/>
  <c r="K83" i="4"/>
  <c r="S83" i="4" s="1"/>
  <c r="K84" i="4"/>
  <c r="S84" i="4" s="1"/>
  <c r="K85" i="4"/>
  <c r="K86" i="4"/>
  <c r="S86" i="4" s="1"/>
  <c r="K87" i="4"/>
  <c r="U87" i="4" s="1"/>
  <c r="K88" i="4"/>
  <c r="U88" i="4" s="1"/>
  <c r="K89" i="4"/>
  <c r="K90" i="4"/>
  <c r="S90" i="4" s="1"/>
  <c r="K91" i="4"/>
  <c r="W91" i="4" s="1"/>
  <c r="K92" i="4"/>
  <c r="S92" i="4" s="1"/>
  <c r="K93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H9" i="4"/>
  <c r="AH10" i="4"/>
  <c r="AH11" i="4"/>
  <c r="AH12" i="4"/>
  <c r="AH13" i="4"/>
  <c r="AH29" i="4"/>
  <c r="AH31" i="4"/>
  <c r="AH32" i="4"/>
  <c r="AH33" i="4"/>
  <c r="AH39" i="4"/>
  <c r="AH40" i="4"/>
  <c r="CQ33" i="5"/>
  <c r="CS33" i="5"/>
  <c r="CT33" i="5"/>
  <c r="CU33" i="5"/>
  <c r="CY33" i="5"/>
  <c r="K7" i="4"/>
  <c r="S7" i="4" s="1"/>
  <c r="L7" i="4"/>
  <c r="O7" i="4"/>
  <c r="P7" i="4"/>
  <c r="Q7" i="4"/>
  <c r="BR33" i="5"/>
  <c r="BR34" i="5"/>
  <c r="BR35" i="5"/>
  <c r="BR36" i="5"/>
  <c r="BR37" i="5"/>
  <c r="BR38" i="5"/>
  <c r="BR39" i="5"/>
  <c r="BR40" i="5"/>
  <c r="BR41" i="5"/>
  <c r="BR42" i="5"/>
  <c r="BR43" i="5"/>
  <c r="BR44" i="5"/>
  <c r="BR45" i="5"/>
  <c r="BR46" i="5"/>
  <c r="BR47" i="5"/>
  <c r="BR48" i="5"/>
  <c r="BR49" i="5"/>
  <c r="BR50" i="5"/>
  <c r="BR51" i="5"/>
  <c r="BR52" i="5"/>
  <c r="BR53" i="5"/>
  <c r="BR54" i="5"/>
  <c r="BR55" i="5"/>
  <c r="BR56" i="5"/>
  <c r="BR57" i="5"/>
  <c r="BR58" i="5"/>
  <c r="BR59" i="5"/>
  <c r="BR60" i="5"/>
  <c r="BR61" i="5"/>
  <c r="BR62" i="5"/>
  <c r="BR63" i="5"/>
  <c r="BR64" i="5"/>
  <c r="BR65" i="5"/>
  <c r="BR66" i="5"/>
  <c r="BR67" i="5"/>
  <c r="BR68" i="5"/>
  <c r="BR69" i="5"/>
  <c r="BR70" i="5"/>
  <c r="BR71" i="5"/>
  <c r="BR72" i="5"/>
  <c r="BR73" i="5"/>
  <c r="BR74" i="5"/>
  <c r="BR75" i="5"/>
  <c r="BR76" i="5"/>
  <c r="BR77" i="5"/>
  <c r="BR78" i="5"/>
  <c r="BR79" i="5"/>
  <c r="BR80" i="5"/>
  <c r="BR81" i="5"/>
  <c r="BR82" i="5"/>
  <c r="BR83" i="5"/>
  <c r="BR84" i="5"/>
  <c r="BR85" i="5"/>
  <c r="BR86" i="5"/>
  <c r="BR87" i="5"/>
  <c r="BR88" i="5"/>
  <c r="BR89" i="5"/>
  <c r="BR90" i="5"/>
  <c r="BR91" i="5"/>
  <c r="BR92" i="5"/>
  <c r="BR93" i="5"/>
  <c r="BR94" i="5"/>
  <c r="BR95" i="5"/>
  <c r="BR96" i="5"/>
  <c r="BR97" i="5"/>
  <c r="BR98" i="5"/>
  <c r="BR99" i="5"/>
  <c r="BR100" i="5"/>
  <c r="BR101" i="5"/>
  <c r="BR102" i="5"/>
  <c r="BR103" i="5"/>
  <c r="BR104" i="5"/>
  <c r="BR105" i="5"/>
  <c r="BR106" i="5"/>
  <c r="BZ106" i="5" s="1"/>
  <c r="BR107" i="5"/>
  <c r="BR108" i="5"/>
  <c r="BR109" i="5"/>
  <c r="BR110" i="5"/>
  <c r="BR111" i="5"/>
  <c r="BR112" i="5"/>
  <c r="BR113" i="5"/>
  <c r="BR114" i="5"/>
  <c r="BR115" i="5"/>
  <c r="BR116" i="5"/>
  <c r="BR117" i="5"/>
  <c r="BR118" i="5"/>
  <c r="BR119" i="5"/>
  <c r="BR120" i="5"/>
  <c r="BR121" i="5"/>
  <c r="BZ121" i="5" s="1"/>
  <c r="BR122" i="5"/>
  <c r="BZ122" i="5" s="1"/>
  <c r="AF8" i="4"/>
  <c r="AA8" i="4"/>
  <c r="AB8" i="4" s="1"/>
  <c r="Z8" i="4"/>
  <c r="Y8" i="4"/>
  <c r="X8" i="4"/>
  <c r="V8" i="4"/>
  <c r="T8" i="4"/>
  <c r="Q8" i="4"/>
  <c r="P8" i="4"/>
  <c r="O8" i="4"/>
  <c r="L8" i="4"/>
  <c r="K8" i="4"/>
  <c r="U8" i="4" s="1"/>
  <c r="AG7" i="4"/>
  <c r="AF7" i="4"/>
  <c r="AE7" i="4"/>
  <c r="AA7" i="4"/>
  <c r="AB7" i="4" s="1"/>
  <c r="Y7" i="4"/>
  <c r="X7" i="4"/>
  <c r="V7" i="4"/>
  <c r="T7" i="4"/>
  <c r="CY122" i="5"/>
  <c r="CU122" i="5"/>
  <c r="CT122" i="5"/>
  <c r="CQ122" i="5"/>
  <c r="CN122" i="5"/>
  <c r="CL122" i="5"/>
  <c r="CI122" i="5"/>
  <c r="CD122" i="5"/>
  <c r="CC122" i="5"/>
  <c r="BX122" i="5"/>
  <c r="BW122" i="5"/>
  <c r="BT122" i="5"/>
  <c r="BS122" i="5"/>
  <c r="BM122" i="5"/>
  <c r="BK122" i="5"/>
  <c r="BF122" i="5"/>
  <c r="BD122" i="5"/>
  <c r="BC122" i="5"/>
  <c r="BE122" i="5" s="1"/>
  <c r="BA122" i="5"/>
  <c r="AZ122" i="5"/>
  <c r="AY122" i="5"/>
  <c r="AO122" i="5" s="1"/>
  <c r="AX122" i="5"/>
  <c r="AR122" i="5"/>
  <c r="AN122" i="5"/>
  <c r="AM122" i="5"/>
  <c r="AK122" i="5"/>
  <c r="AI122" i="5"/>
  <c r="AH122" i="5"/>
  <c r="AG122" i="5"/>
  <c r="AF122" i="5"/>
  <c r="X122" i="5"/>
  <c r="W122" i="5"/>
  <c r="CO122" i="5" s="1"/>
  <c r="T122" i="5"/>
  <c r="S122" i="5"/>
  <c r="N122" i="5"/>
  <c r="CS122" i="5" s="1"/>
  <c r="CY121" i="5"/>
  <c r="CU121" i="5"/>
  <c r="CT121" i="5"/>
  <c r="CS121" i="5"/>
  <c r="CQ121" i="5"/>
  <c r="CO121" i="5"/>
  <c r="CN121" i="5"/>
  <c r="CL121" i="5"/>
  <c r="CI121" i="5"/>
  <c r="CD121" i="5"/>
  <c r="CC121" i="5"/>
  <c r="BX121" i="5"/>
  <c r="BW121" i="5"/>
  <c r="BT121" i="5"/>
  <c r="BS121" i="5"/>
  <c r="BN121" i="5"/>
  <c r="BM121" i="5"/>
  <c r="BK121" i="5"/>
  <c r="BF121" i="5"/>
  <c r="BD121" i="5"/>
  <c r="BC121" i="5"/>
  <c r="BE121" i="5" s="1"/>
  <c r="BB121" i="5"/>
  <c r="BA121" i="5"/>
  <c r="AZ121" i="5"/>
  <c r="AY121" i="5"/>
  <c r="AO121" i="5" s="1"/>
  <c r="AX121" i="5"/>
  <c r="AR121" i="5"/>
  <c r="AN121" i="5"/>
  <c r="AM121" i="5"/>
  <c r="AK121" i="5"/>
  <c r="AI121" i="5"/>
  <c r="AH121" i="5"/>
  <c r="AG121" i="5"/>
  <c r="AF121" i="5"/>
  <c r="Y121" i="5"/>
  <c r="X121" i="5"/>
  <c r="T121" i="5"/>
  <c r="S121" i="5"/>
  <c r="CR121" i="5" s="1"/>
  <c r="CY120" i="5"/>
  <c r="CU120" i="5"/>
  <c r="CT120" i="5"/>
  <c r="CS120" i="5"/>
  <c r="CQ120" i="5"/>
  <c r="CO120" i="5"/>
  <c r="CI120" i="5"/>
  <c r="CC120" i="5"/>
  <c r="BZ120" i="5"/>
  <c r="BX120" i="5"/>
  <c r="BW120" i="5"/>
  <c r="CA120" i="5"/>
  <c r="BM120" i="5"/>
  <c r="BK120" i="5"/>
  <c r="BC120" i="5"/>
  <c r="BE120" i="5" s="1"/>
  <c r="BB120" i="5"/>
  <c r="AX120" i="5"/>
  <c r="AK120" i="5"/>
  <c r="AI120" i="5"/>
  <c r="AG120" i="5"/>
  <c r="AF120" i="5"/>
  <c r="Y120" i="5"/>
  <c r="AN120" i="5" s="1"/>
  <c r="S120" i="5"/>
  <c r="CR120" i="5" s="1"/>
  <c r="CY119" i="5"/>
  <c r="CU119" i="5"/>
  <c r="CT119" i="5"/>
  <c r="CS119" i="5"/>
  <c r="CQ119" i="5"/>
  <c r="CO119" i="5"/>
  <c r="CI119" i="5"/>
  <c r="CC119" i="5"/>
  <c r="BZ119" i="5"/>
  <c r="BX119" i="5"/>
  <c r="BW119" i="5"/>
  <c r="BM119" i="5"/>
  <c r="BK119" i="5"/>
  <c r="BC119" i="5"/>
  <c r="BB119" i="5"/>
  <c r="AX119" i="5"/>
  <c r="AK119" i="5"/>
  <c r="AI119" i="5"/>
  <c r="AG119" i="5"/>
  <c r="AF119" i="5"/>
  <c r="Y119" i="5"/>
  <c r="AN119" i="5" s="1"/>
  <c r="S119" i="5"/>
  <c r="CR119" i="5" s="1"/>
  <c r="CY118" i="5"/>
  <c r="CU118" i="5"/>
  <c r="CT118" i="5"/>
  <c r="CS118" i="5"/>
  <c r="CQ118" i="5"/>
  <c r="CO118" i="5"/>
  <c r="CI118" i="5"/>
  <c r="CC118" i="5"/>
  <c r="BX118" i="5"/>
  <c r="BW118" i="5"/>
  <c r="BZ118" i="5"/>
  <c r="BM118" i="5"/>
  <c r="BK118" i="5"/>
  <c r="BC118" i="5"/>
  <c r="BE118" i="5" s="1"/>
  <c r="BB118" i="5"/>
  <c r="AX118" i="5"/>
  <c r="AK118" i="5"/>
  <c r="AI118" i="5"/>
  <c r="AG118" i="5"/>
  <c r="AF118" i="5"/>
  <c r="Y118" i="5"/>
  <c r="AN118" i="5" s="1"/>
  <c r="S118" i="5"/>
  <c r="CR118" i="5" s="1"/>
  <c r="CY117" i="5"/>
  <c r="CU117" i="5"/>
  <c r="CT117" i="5"/>
  <c r="CS117" i="5"/>
  <c r="CQ117" i="5"/>
  <c r="CO117" i="5"/>
  <c r="CI117" i="5"/>
  <c r="CC117" i="5"/>
  <c r="BZ117" i="5"/>
  <c r="BX117" i="5"/>
  <c r="BW117" i="5"/>
  <c r="CA117" i="5"/>
  <c r="BM117" i="5"/>
  <c r="BK117" i="5"/>
  <c r="BC117" i="5"/>
  <c r="BB117" i="5"/>
  <c r="AX117" i="5"/>
  <c r="AK117" i="5"/>
  <c r="AI117" i="5"/>
  <c r="AG117" i="5"/>
  <c r="AF117" i="5"/>
  <c r="Y117" i="5"/>
  <c r="AN117" i="5" s="1"/>
  <c r="S117" i="5"/>
  <c r="CR117" i="5" s="1"/>
  <c r="CY116" i="5"/>
  <c r="CU116" i="5"/>
  <c r="CT116" i="5"/>
  <c r="CS116" i="5"/>
  <c r="CQ116" i="5"/>
  <c r="CO116" i="5"/>
  <c r="CI116" i="5"/>
  <c r="CC116" i="5"/>
  <c r="BZ116" i="5"/>
  <c r="BX116" i="5"/>
  <c r="BW116" i="5"/>
  <c r="CA116" i="5"/>
  <c r="BM116" i="5"/>
  <c r="BK116" i="5"/>
  <c r="BC116" i="5"/>
  <c r="BB116" i="5"/>
  <c r="AX116" i="5"/>
  <c r="AK116" i="5"/>
  <c r="AI116" i="5"/>
  <c r="AG116" i="5"/>
  <c r="AF116" i="5"/>
  <c r="Y116" i="5"/>
  <c r="AN116" i="5" s="1"/>
  <c r="S116" i="5"/>
  <c r="CY115" i="5"/>
  <c r="CU115" i="5"/>
  <c r="CT115" i="5"/>
  <c r="CS115" i="5"/>
  <c r="CQ115" i="5"/>
  <c r="CO115" i="5"/>
  <c r="CI115" i="5"/>
  <c r="CC115" i="5"/>
  <c r="BZ115" i="5"/>
  <c r="BX115" i="5"/>
  <c r="BW115" i="5"/>
  <c r="CA115" i="5"/>
  <c r="BM115" i="5"/>
  <c r="BK115" i="5"/>
  <c r="BC115" i="5"/>
  <c r="BE115" i="5" s="1"/>
  <c r="BB115" i="5"/>
  <c r="AX115" i="5"/>
  <c r="AK115" i="5"/>
  <c r="AI115" i="5"/>
  <c r="AG115" i="5"/>
  <c r="AF115" i="5"/>
  <c r="Y115" i="5"/>
  <c r="AN115" i="5" s="1"/>
  <c r="S115" i="5"/>
  <c r="CR115" i="5" s="1"/>
  <c r="CY114" i="5"/>
  <c r="CU114" i="5"/>
  <c r="CT114" i="5"/>
  <c r="CS114" i="5"/>
  <c r="CQ114" i="5"/>
  <c r="CO114" i="5"/>
  <c r="CI114" i="5"/>
  <c r="CC114" i="5"/>
  <c r="BZ114" i="5"/>
  <c r="BX114" i="5"/>
  <c r="BW114" i="5"/>
  <c r="CA114" i="5"/>
  <c r="BM114" i="5"/>
  <c r="BK114" i="5"/>
  <c r="BC114" i="5"/>
  <c r="BE114" i="5" s="1"/>
  <c r="BB114" i="5"/>
  <c r="AX114" i="5"/>
  <c r="AK114" i="5"/>
  <c r="AH114" i="5"/>
  <c r="AG114" i="5"/>
  <c r="AF114" i="5"/>
  <c r="Y114" i="5"/>
  <c r="AN114" i="5" s="1"/>
  <c r="S114" i="5"/>
  <c r="CR114" i="5" s="1"/>
  <c r="CY113" i="5"/>
  <c r="CU113" i="5"/>
  <c r="CT113" i="5"/>
  <c r="CS113" i="5"/>
  <c r="CQ113" i="5"/>
  <c r="CO113" i="5"/>
  <c r="CI113" i="5"/>
  <c r="CC113" i="5"/>
  <c r="BX113" i="5"/>
  <c r="BW113" i="5"/>
  <c r="BM113" i="5"/>
  <c r="BK113" i="5"/>
  <c r="BC113" i="5"/>
  <c r="BB113" i="5"/>
  <c r="AX113" i="5"/>
  <c r="AK113" i="5"/>
  <c r="AH113" i="5"/>
  <c r="BA113" i="5" s="1"/>
  <c r="AG113" i="5"/>
  <c r="AF113" i="5"/>
  <c r="Y113" i="5"/>
  <c r="AN113" i="5" s="1"/>
  <c r="S113" i="5"/>
  <c r="CY112" i="5"/>
  <c r="CU112" i="5"/>
  <c r="CT112" i="5"/>
  <c r="CS112" i="5"/>
  <c r="CQ112" i="5"/>
  <c r="CO112" i="5"/>
  <c r="CI112" i="5"/>
  <c r="CC112" i="5"/>
  <c r="BZ112" i="5"/>
  <c r="BX112" i="5"/>
  <c r="BW112" i="5"/>
  <c r="CA112" i="5"/>
  <c r="BM112" i="5"/>
  <c r="BK112" i="5"/>
  <c r="BC112" i="5"/>
  <c r="BB112" i="5"/>
  <c r="AX112" i="5"/>
  <c r="AK112" i="5"/>
  <c r="AH112" i="5"/>
  <c r="AG112" i="5"/>
  <c r="AF112" i="5"/>
  <c r="Y112" i="5"/>
  <c r="S112" i="5"/>
  <c r="CR112" i="5" s="1"/>
  <c r="CY111" i="5"/>
  <c r="CU111" i="5"/>
  <c r="CT111" i="5"/>
  <c r="CS111" i="5"/>
  <c r="CQ111" i="5"/>
  <c r="CO111" i="5"/>
  <c r="CI111" i="5"/>
  <c r="CC111" i="5"/>
  <c r="BX111" i="5"/>
  <c r="BW111" i="5"/>
  <c r="BZ111" i="5"/>
  <c r="BM111" i="5"/>
  <c r="BK111" i="5"/>
  <c r="BC111" i="5"/>
  <c r="BE111" i="5" s="1"/>
  <c r="BB111" i="5"/>
  <c r="AX111" i="5"/>
  <c r="AN111" i="5"/>
  <c r="AK111" i="5"/>
  <c r="AH111" i="5"/>
  <c r="BA111" i="5" s="1"/>
  <c r="AG111" i="5"/>
  <c r="AF111" i="5"/>
  <c r="Y111" i="5"/>
  <c r="S111" i="5"/>
  <c r="CR111" i="5" s="1"/>
  <c r="CY110" i="5"/>
  <c r="CU110" i="5"/>
  <c r="CT110" i="5"/>
  <c r="CS110" i="5"/>
  <c r="CQ110" i="5"/>
  <c r="CO110" i="5"/>
  <c r="CI110" i="5"/>
  <c r="CC110" i="5"/>
  <c r="BZ110" i="5"/>
  <c r="BX110" i="5"/>
  <c r="BW110" i="5"/>
  <c r="CA110" i="5"/>
  <c r="BM110" i="5"/>
  <c r="BK110" i="5"/>
  <c r="BC110" i="5"/>
  <c r="BE110" i="5" s="1"/>
  <c r="BB110" i="5"/>
  <c r="AX110" i="5"/>
  <c r="AK110" i="5"/>
  <c r="AH110" i="5"/>
  <c r="AG110" i="5"/>
  <c r="AF110" i="5"/>
  <c r="Y110" i="5"/>
  <c r="AN110" i="5" s="1"/>
  <c r="S110" i="5"/>
  <c r="CR110" i="5" s="1"/>
  <c r="CY109" i="5"/>
  <c r="CU109" i="5"/>
  <c r="CT109" i="5"/>
  <c r="CS109" i="5"/>
  <c r="CQ109" i="5"/>
  <c r="CO109" i="5"/>
  <c r="CI109" i="5"/>
  <c r="CC109" i="5"/>
  <c r="BX109" i="5"/>
  <c r="BW109" i="5"/>
  <c r="CA109" i="5"/>
  <c r="BM109" i="5"/>
  <c r="BK109" i="5"/>
  <c r="BC109" i="5"/>
  <c r="BB109" i="5"/>
  <c r="AX109" i="5"/>
  <c r="AK109" i="5"/>
  <c r="AH109" i="5"/>
  <c r="AG109" i="5"/>
  <c r="AF109" i="5"/>
  <c r="Y109" i="5"/>
  <c r="AN109" i="5" s="1"/>
  <c r="S109" i="5"/>
  <c r="CR109" i="5" s="1"/>
  <c r="CY108" i="5"/>
  <c r="CU108" i="5"/>
  <c r="CT108" i="5"/>
  <c r="CS108" i="5"/>
  <c r="CQ108" i="5"/>
  <c r="CO108" i="5"/>
  <c r="CI108" i="5"/>
  <c r="CC108" i="5"/>
  <c r="BZ108" i="5"/>
  <c r="BX108" i="5"/>
  <c r="BW108" i="5"/>
  <c r="BM108" i="5"/>
  <c r="BK108" i="5"/>
  <c r="BC108" i="5"/>
  <c r="BB108" i="5"/>
  <c r="AX108" i="5"/>
  <c r="AK108" i="5"/>
  <c r="AH108" i="5"/>
  <c r="BA108" i="5" s="1"/>
  <c r="AG108" i="5"/>
  <c r="AF108" i="5"/>
  <c r="Y108" i="5"/>
  <c r="AN108" i="5" s="1"/>
  <c r="S108" i="5"/>
  <c r="CR108" i="5" s="1"/>
  <c r="CY107" i="5"/>
  <c r="CU107" i="5"/>
  <c r="CT107" i="5"/>
  <c r="CS107" i="5"/>
  <c r="CQ107" i="5"/>
  <c r="CO107" i="5"/>
  <c r="CI107" i="5"/>
  <c r="CC107" i="5"/>
  <c r="BX107" i="5"/>
  <c r="BW107" i="5"/>
  <c r="BZ107" i="5"/>
  <c r="BM107" i="5"/>
  <c r="BK107" i="5"/>
  <c r="BC107" i="5"/>
  <c r="BE107" i="5" s="1"/>
  <c r="BB107" i="5"/>
  <c r="AX107" i="5"/>
  <c r="AK107" i="5"/>
  <c r="AH107" i="5"/>
  <c r="AG107" i="5"/>
  <c r="AF107" i="5"/>
  <c r="Y107" i="5"/>
  <c r="S107" i="5"/>
  <c r="CR107" i="5" s="1"/>
  <c r="CY106" i="5"/>
  <c r="CU106" i="5"/>
  <c r="CT106" i="5"/>
  <c r="CS106" i="5"/>
  <c r="CQ106" i="5"/>
  <c r="CO106" i="5"/>
  <c r="CI106" i="5"/>
  <c r="CC106" i="5"/>
  <c r="BX106" i="5"/>
  <c r="BW106" i="5"/>
  <c r="BM106" i="5"/>
  <c r="BK106" i="5"/>
  <c r="BC106" i="5"/>
  <c r="BB106" i="5"/>
  <c r="AX106" i="5"/>
  <c r="AK106" i="5"/>
  <c r="AH106" i="5"/>
  <c r="AG106" i="5"/>
  <c r="AF106" i="5"/>
  <c r="Y106" i="5"/>
  <c r="AN106" i="5" s="1"/>
  <c r="S106" i="5"/>
  <c r="CY105" i="5"/>
  <c r="CU105" i="5"/>
  <c r="CT105" i="5"/>
  <c r="CS105" i="5"/>
  <c r="CQ105" i="5"/>
  <c r="CO105" i="5"/>
  <c r="CI105" i="5"/>
  <c r="CC105" i="5"/>
  <c r="BX105" i="5"/>
  <c r="BW105" i="5"/>
  <c r="BM105" i="5"/>
  <c r="BK105" i="5"/>
  <c r="BC105" i="5"/>
  <c r="BB105" i="5"/>
  <c r="AX105" i="5"/>
  <c r="AK105" i="5"/>
  <c r="AH105" i="5"/>
  <c r="AG105" i="5"/>
  <c r="AF105" i="5"/>
  <c r="Y105" i="5"/>
  <c r="AN105" i="5" s="1"/>
  <c r="S105" i="5"/>
  <c r="CR105" i="5" s="1"/>
  <c r="CY104" i="5"/>
  <c r="CU104" i="5"/>
  <c r="CT104" i="5"/>
  <c r="CS104" i="5"/>
  <c r="CQ104" i="5"/>
  <c r="CO104" i="5"/>
  <c r="CI104" i="5"/>
  <c r="CC104" i="5"/>
  <c r="CA104" i="5"/>
  <c r="BZ104" i="5"/>
  <c r="BX104" i="5"/>
  <c r="BW104" i="5"/>
  <c r="BM104" i="5"/>
  <c r="BK104" i="5"/>
  <c r="AX104" i="5"/>
  <c r="AK104" i="5"/>
  <c r="AH104" i="5"/>
  <c r="BA104" i="5" s="1"/>
  <c r="AG104" i="5"/>
  <c r="AF104" i="5"/>
  <c r="Y104" i="5"/>
  <c r="S104" i="5"/>
  <c r="CY103" i="5"/>
  <c r="CU103" i="5"/>
  <c r="CT103" i="5"/>
  <c r="CS103" i="5"/>
  <c r="CQ103" i="5"/>
  <c r="CO103" i="5"/>
  <c r="CI103" i="5"/>
  <c r="CC103" i="5"/>
  <c r="BX103" i="5"/>
  <c r="BW103" i="5"/>
  <c r="CA103" i="5"/>
  <c r="BM103" i="5"/>
  <c r="BK103" i="5"/>
  <c r="AX103" i="5"/>
  <c r="AK103" i="5"/>
  <c r="AH103" i="5"/>
  <c r="AG103" i="5"/>
  <c r="AF103" i="5"/>
  <c r="Y103" i="5"/>
  <c r="AN103" i="5" s="1"/>
  <c r="S103" i="5"/>
  <c r="CR103" i="5" s="1"/>
  <c r="CY102" i="5"/>
  <c r="CU102" i="5"/>
  <c r="CT102" i="5"/>
  <c r="CS102" i="5"/>
  <c r="CQ102" i="5"/>
  <c r="CO102" i="5"/>
  <c r="CI102" i="5"/>
  <c r="CC102" i="5"/>
  <c r="BZ102" i="5"/>
  <c r="BX102" i="5"/>
  <c r="BW102" i="5"/>
  <c r="BM102" i="5"/>
  <c r="BK102" i="5"/>
  <c r="AX102" i="5"/>
  <c r="AK102" i="5"/>
  <c r="AH102" i="5"/>
  <c r="AG102" i="5"/>
  <c r="AF102" i="5"/>
  <c r="Y102" i="5"/>
  <c r="AN102" i="5" s="1"/>
  <c r="S102" i="5"/>
  <c r="CR102" i="5" s="1"/>
  <c r="CY101" i="5"/>
  <c r="CU101" i="5"/>
  <c r="CT101" i="5"/>
  <c r="CS101" i="5"/>
  <c r="CQ101" i="5"/>
  <c r="CO101" i="5"/>
  <c r="CI101" i="5"/>
  <c r="CC101" i="5"/>
  <c r="CA101" i="5"/>
  <c r="BZ101" i="5"/>
  <c r="BX101" i="5"/>
  <c r="BW101" i="5"/>
  <c r="BM101" i="5"/>
  <c r="BK101" i="5"/>
  <c r="AX101" i="5"/>
  <c r="AN101" i="5"/>
  <c r="AK101" i="5"/>
  <c r="AH101" i="5"/>
  <c r="BA101" i="5" s="1"/>
  <c r="AG101" i="5"/>
  <c r="AF101" i="5"/>
  <c r="Y101" i="5"/>
  <c r="S101" i="5"/>
  <c r="CR101" i="5" s="1"/>
  <c r="CY100" i="5"/>
  <c r="CU100" i="5"/>
  <c r="CT100" i="5"/>
  <c r="CS100" i="5"/>
  <c r="CQ100" i="5"/>
  <c r="CO100" i="5"/>
  <c r="CI100" i="5"/>
  <c r="CC100" i="5"/>
  <c r="CA100" i="5"/>
  <c r="BZ100" i="5"/>
  <c r="BX100" i="5"/>
  <c r="BW100" i="5"/>
  <c r="BM100" i="5"/>
  <c r="BK100" i="5"/>
  <c r="AX100" i="5"/>
  <c r="AK100" i="5"/>
  <c r="AH100" i="5"/>
  <c r="BA100" i="5" s="1"/>
  <c r="AG100" i="5"/>
  <c r="AF100" i="5"/>
  <c r="Y100" i="5"/>
  <c r="AN100" i="5" s="1"/>
  <c r="S100" i="5"/>
  <c r="CR100" i="5" s="1"/>
  <c r="CY99" i="5"/>
  <c r="CU99" i="5"/>
  <c r="CT99" i="5"/>
  <c r="CS99" i="5"/>
  <c r="CQ99" i="5"/>
  <c r="CO99" i="5"/>
  <c r="CI99" i="5"/>
  <c r="CC99" i="5"/>
  <c r="BX99" i="5"/>
  <c r="BW99" i="5"/>
  <c r="CA99" i="5"/>
  <c r="BM99" i="5"/>
  <c r="BK99" i="5"/>
  <c r="AX99" i="5"/>
  <c r="AK99" i="5"/>
  <c r="AH99" i="5"/>
  <c r="AG99" i="5"/>
  <c r="AF99" i="5"/>
  <c r="Y99" i="5"/>
  <c r="AN99" i="5" s="1"/>
  <c r="S99" i="5"/>
  <c r="CR99" i="5" s="1"/>
  <c r="CY98" i="5"/>
  <c r="CU98" i="5"/>
  <c r="CT98" i="5"/>
  <c r="CS98" i="5"/>
  <c r="CQ98" i="5"/>
  <c r="CO98" i="5"/>
  <c r="CI98" i="5"/>
  <c r="CC98" i="5"/>
  <c r="BZ98" i="5"/>
  <c r="BX98" i="5"/>
  <c r="BW98" i="5"/>
  <c r="BM98" i="5"/>
  <c r="BK98" i="5"/>
  <c r="AX98" i="5"/>
  <c r="AK98" i="5"/>
  <c r="AH98" i="5"/>
  <c r="BA98" i="5" s="1"/>
  <c r="AG98" i="5"/>
  <c r="AF98" i="5"/>
  <c r="Y98" i="5"/>
  <c r="AN98" i="5" s="1"/>
  <c r="S98" i="5"/>
  <c r="CR98" i="5" s="1"/>
  <c r="CY97" i="5"/>
  <c r="CU97" i="5"/>
  <c r="CT97" i="5"/>
  <c r="CS97" i="5"/>
  <c r="CQ97" i="5"/>
  <c r="CO97" i="5"/>
  <c r="CI97" i="5"/>
  <c r="CC97" i="5"/>
  <c r="CA97" i="5"/>
  <c r="BZ97" i="5"/>
  <c r="BX97" i="5"/>
  <c r="BW97" i="5"/>
  <c r="BM97" i="5"/>
  <c r="BK97" i="5"/>
  <c r="AX97" i="5"/>
  <c r="AN97" i="5"/>
  <c r="AK97" i="5"/>
  <c r="AH97" i="5"/>
  <c r="AG97" i="5"/>
  <c r="AF97" i="5"/>
  <c r="Y97" i="5"/>
  <c r="S97" i="5"/>
  <c r="CR97" i="5" s="1"/>
  <c r="CY96" i="5"/>
  <c r="CU96" i="5"/>
  <c r="CT96" i="5"/>
  <c r="CS96" i="5"/>
  <c r="CQ96" i="5"/>
  <c r="CO96" i="5"/>
  <c r="CI96" i="5"/>
  <c r="CC96" i="5"/>
  <c r="CA96" i="5"/>
  <c r="BZ96" i="5"/>
  <c r="BX96" i="5"/>
  <c r="BW96" i="5"/>
  <c r="BM96" i="5"/>
  <c r="BK96" i="5"/>
  <c r="AX96" i="5"/>
  <c r="AK96" i="5"/>
  <c r="AH96" i="5"/>
  <c r="AG96" i="5"/>
  <c r="AF96" i="5"/>
  <c r="Y96" i="5"/>
  <c r="S96" i="5"/>
  <c r="CY95" i="5"/>
  <c r="CU95" i="5"/>
  <c r="CT95" i="5"/>
  <c r="CS95" i="5"/>
  <c r="CQ95" i="5"/>
  <c r="CO95" i="5"/>
  <c r="CI95" i="5"/>
  <c r="CC95" i="5"/>
  <c r="BX95" i="5"/>
  <c r="BW95" i="5"/>
  <c r="CA95" i="5"/>
  <c r="BM95" i="5"/>
  <c r="BK95" i="5"/>
  <c r="AX95" i="5"/>
  <c r="AN95" i="5"/>
  <c r="AK95" i="5"/>
  <c r="AH95" i="5"/>
  <c r="AG95" i="5"/>
  <c r="AF95" i="5"/>
  <c r="Y95" i="5"/>
  <c r="S95" i="5"/>
  <c r="CR95" i="5" s="1"/>
  <c r="CY94" i="5"/>
  <c r="CU94" i="5"/>
  <c r="CT94" i="5"/>
  <c r="CS94" i="5"/>
  <c r="CQ94" i="5"/>
  <c r="CO94" i="5"/>
  <c r="CI94" i="5"/>
  <c r="CC94" i="5"/>
  <c r="CA94" i="5"/>
  <c r="BZ94" i="5"/>
  <c r="BX94" i="5"/>
  <c r="BW94" i="5"/>
  <c r="BM94" i="5"/>
  <c r="BK94" i="5"/>
  <c r="AX94" i="5"/>
  <c r="AK94" i="5"/>
  <c r="AH94" i="5"/>
  <c r="BA94" i="5" s="1"/>
  <c r="AG94" i="5"/>
  <c r="AF94" i="5"/>
  <c r="Y94" i="5"/>
  <c r="S94" i="5"/>
  <c r="CR94" i="5" s="1"/>
  <c r="CY93" i="5"/>
  <c r="CU93" i="5"/>
  <c r="CT93" i="5"/>
  <c r="CS93" i="5"/>
  <c r="CQ93" i="5"/>
  <c r="CO93" i="5"/>
  <c r="CI93" i="5"/>
  <c r="CC93" i="5"/>
  <c r="BX93" i="5"/>
  <c r="BW93" i="5"/>
  <c r="CA93" i="5"/>
  <c r="BM93" i="5"/>
  <c r="BK93" i="5"/>
  <c r="BC93" i="5"/>
  <c r="BB93" i="5"/>
  <c r="AX93" i="5"/>
  <c r="AK93" i="5"/>
  <c r="AH93" i="5"/>
  <c r="AG93" i="5"/>
  <c r="AF93" i="5"/>
  <c r="Y93" i="5"/>
  <c r="AN93" i="5" s="1"/>
  <c r="S93" i="5"/>
  <c r="CR93" i="5" s="1"/>
  <c r="CY92" i="5"/>
  <c r="CU92" i="5"/>
  <c r="CT92" i="5"/>
  <c r="CS92" i="5"/>
  <c r="CQ92" i="5"/>
  <c r="CO92" i="5"/>
  <c r="CI92" i="5"/>
  <c r="CC92" i="5"/>
  <c r="BZ92" i="5"/>
  <c r="BX92" i="5"/>
  <c r="BW92" i="5"/>
  <c r="CA92" i="5"/>
  <c r="BM92" i="5"/>
  <c r="BK92" i="5"/>
  <c r="BC92" i="5"/>
  <c r="BE92" i="5" s="1"/>
  <c r="BB92" i="5"/>
  <c r="AX92" i="5"/>
  <c r="AK92" i="5"/>
  <c r="AH92" i="5"/>
  <c r="AG92" i="5"/>
  <c r="AF92" i="5"/>
  <c r="Y92" i="5"/>
  <c r="AN92" i="5" s="1"/>
  <c r="S92" i="5"/>
  <c r="CR92" i="5" s="1"/>
  <c r="CY91" i="5"/>
  <c r="CU91" i="5"/>
  <c r="CT91" i="5"/>
  <c r="CS91" i="5"/>
  <c r="CR91" i="5"/>
  <c r="CQ91" i="5"/>
  <c r="CO91" i="5"/>
  <c r="CI91" i="5"/>
  <c r="CC91" i="5"/>
  <c r="CA91" i="5"/>
  <c r="BZ91" i="5"/>
  <c r="BX91" i="5"/>
  <c r="BW91" i="5"/>
  <c r="BM91" i="5"/>
  <c r="BK91" i="5"/>
  <c r="AX91" i="5"/>
  <c r="AK91" i="5"/>
  <c r="AH91" i="5"/>
  <c r="AG91" i="5"/>
  <c r="AF91" i="5"/>
  <c r="Y91" i="5"/>
  <c r="AN91" i="5" s="1"/>
  <c r="S91" i="5"/>
  <c r="CY90" i="5"/>
  <c r="CU90" i="5"/>
  <c r="CT90" i="5"/>
  <c r="CS90" i="5"/>
  <c r="CQ90" i="5"/>
  <c r="CO90" i="5"/>
  <c r="CI90" i="5"/>
  <c r="CC90" i="5"/>
  <c r="CA90" i="5"/>
  <c r="BZ90" i="5"/>
  <c r="BX90" i="5"/>
  <c r="BW90" i="5"/>
  <c r="BM90" i="5"/>
  <c r="BK90" i="5"/>
  <c r="AX90" i="5"/>
  <c r="AK90" i="5"/>
  <c r="AH90" i="5"/>
  <c r="BA90" i="5" s="1"/>
  <c r="AG90" i="5"/>
  <c r="AF90" i="5"/>
  <c r="Y90" i="5"/>
  <c r="S90" i="5"/>
  <c r="CR90" i="5" s="1"/>
  <c r="CY89" i="5"/>
  <c r="CU89" i="5"/>
  <c r="CT89" i="5"/>
  <c r="CS89" i="5"/>
  <c r="CQ89" i="5"/>
  <c r="CO89" i="5"/>
  <c r="CI89" i="5"/>
  <c r="CC89" i="5"/>
  <c r="BX89" i="5"/>
  <c r="BW89" i="5"/>
  <c r="CA89" i="5"/>
  <c r="BM89" i="5"/>
  <c r="BK89" i="5"/>
  <c r="BC89" i="5"/>
  <c r="BB89" i="5"/>
  <c r="AX89" i="5"/>
  <c r="AK89" i="5"/>
  <c r="AH89" i="5"/>
  <c r="AG89" i="5"/>
  <c r="AF89" i="5"/>
  <c r="Y89" i="5"/>
  <c r="AN89" i="5" s="1"/>
  <c r="S89" i="5"/>
  <c r="CR89" i="5" s="1"/>
  <c r="CY88" i="5"/>
  <c r="CU88" i="5"/>
  <c r="CT88" i="5"/>
  <c r="CS88" i="5"/>
  <c r="CQ88" i="5"/>
  <c r="CO88" i="5"/>
  <c r="CI88" i="5"/>
  <c r="CC88" i="5"/>
  <c r="BZ88" i="5"/>
  <c r="BX88" i="5"/>
  <c r="BW88" i="5"/>
  <c r="CA88" i="5"/>
  <c r="BM88" i="5"/>
  <c r="BK88" i="5"/>
  <c r="BC88" i="5"/>
  <c r="BE88" i="5" s="1"/>
  <c r="BB88" i="5"/>
  <c r="AX88" i="5"/>
  <c r="AK88" i="5"/>
  <c r="AH88" i="5"/>
  <c r="AG88" i="5"/>
  <c r="AF88" i="5"/>
  <c r="Y88" i="5"/>
  <c r="AN88" i="5" s="1"/>
  <c r="S88" i="5"/>
  <c r="CR88" i="5" s="1"/>
  <c r="CY87" i="5"/>
  <c r="CU87" i="5"/>
  <c r="CT87" i="5"/>
  <c r="CS87" i="5"/>
  <c r="CQ87" i="5"/>
  <c r="CO87" i="5"/>
  <c r="CI87" i="5"/>
  <c r="CC87" i="5"/>
  <c r="BZ87" i="5"/>
  <c r="BX87" i="5"/>
  <c r="BW87" i="5"/>
  <c r="BM87" i="5"/>
  <c r="BK87" i="5"/>
  <c r="BC87" i="5"/>
  <c r="BB87" i="5"/>
  <c r="AX87" i="5"/>
  <c r="AN87" i="5"/>
  <c r="AK87" i="5"/>
  <c r="AH87" i="5"/>
  <c r="AG87" i="5"/>
  <c r="AF87" i="5"/>
  <c r="Y87" i="5"/>
  <c r="S87" i="5"/>
  <c r="CR87" i="5" s="1"/>
  <c r="CY86" i="5"/>
  <c r="CU86" i="5"/>
  <c r="CT86" i="5"/>
  <c r="CS86" i="5"/>
  <c r="CQ86" i="5"/>
  <c r="CO86" i="5"/>
  <c r="CI86" i="5"/>
  <c r="CC86" i="5"/>
  <c r="BX86" i="5"/>
  <c r="BW86" i="5"/>
  <c r="BZ86" i="5"/>
  <c r="BM86" i="5"/>
  <c r="BK86" i="5"/>
  <c r="BC86" i="5"/>
  <c r="BE86" i="5" s="1"/>
  <c r="BB86" i="5"/>
  <c r="AX86" i="5"/>
  <c r="AK86" i="5"/>
  <c r="AH86" i="5"/>
  <c r="BA86" i="5" s="1"/>
  <c r="AG86" i="5"/>
  <c r="AF86" i="5"/>
  <c r="Y86" i="5"/>
  <c r="S86" i="5"/>
  <c r="CR86" i="5" s="1"/>
  <c r="CY85" i="5"/>
  <c r="CU85" i="5"/>
  <c r="CT85" i="5"/>
  <c r="CS85" i="5"/>
  <c r="CQ85" i="5"/>
  <c r="CO85" i="5"/>
  <c r="CI85" i="5"/>
  <c r="CC85" i="5"/>
  <c r="BX85" i="5"/>
  <c r="BW85" i="5"/>
  <c r="CA85" i="5"/>
  <c r="BM85" i="5"/>
  <c r="BK85" i="5"/>
  <c r="BC85" i="5"/>
  <c r="BB85" i="5"/>
  <c r="AX85" i="5"/>
  <c r="AK85" i="5"/>
  <c r="AH85" i="5"/>
  <c r="AG85" i="5"/>
  <c r="AF85" i="5"/>
  <c r="Y85" i="5"/>
  <c r="AN85" i="5" s="1"/>
  <c r="S85" i="5"/>
  <c r="CR85" i="5" s="1"/>
  <c r="CY84" i="5"/>
  <c r="CU84" i="5"/>
  <c r="CT84" i="5"/>
  <c r="CS84" i="5"/>
  <c r="CQ84" i="5"/>
  <c r="CO84" i="5"/>
  <c r="CI84" i="5"/>
  <c r="CC84" i="5"/>
  <c r="BZ84" i="5"/>
  <c r="BX84" i="5"/>
  <c r="BW84" i="5"/>
  <c r="CA84" i="5"/>
  <c r="BM84" i="5"/>
  <c r="BK84" i="5"/>
  <c r="BC84" i="5"/>
  <c r="BB84" i="5"/>
  <c r="AX84" i="5"/>
  <c r="AK84" i="5"/>
  <c r="AH84" i="5"/>
  <c r="BA84" i="5" s="1"/>
  <c r="AG84" i="5"/>
  <c r="AF84" i="5"/>
  <c r="Y84" i="5"/>
  <c r="AN84" i="5" s="1"/>
  <c r="S84" i="5"/>
  <c r="CR84" i="5" s="1"/>
  <c r="CY83" i="5"/>
  <c r="CU83" i="5"/>
  <c r="CT83" i="5"/>
  <c r="CS83" i="5"/>
  <c r="CR83" i="5"/>
  <c r="CQ83" i="5"/>
  <c r="CO83" i="5"/>
  <c r="CI83" i="5"/>
  <c r="CC83" i="5"/>
  <c r="BX83" i="5"/>
  <c r="BW83" i="5"/>
  <c r="BM83" i="5"/>
  <c r="BK83" i="5"/>
  <c r="BC83" i="5"/>
  <c r="BE83" i="5" s="1"/>
  <c r="BB83" i="5"/>
  <c r="AX83" i="5"/>
  <c r="AK83" i="5"/>
  <c r="AH83" i="5"/>
  <c r="AG83" i="5"/>
  <c r="AF83" i="5"/>
  <c r="Y83" i="5"/>
  <c r="AN83" i="5" s="1"/>
  <c r="S83" i="5"/>
  <c r="CY82" i="5"/>
  <c r="CU82" i="5"/>
  <c r="CT82" i="5"/>
  <c r="CS82" i="5"/>
  <c r="CQ82" i="5"/>
  <c r="CO82" i="5"/>
  <c r="CI82" i="5"/>
  <c r="CC82" i="5"/>
  <c r="CA82" i="5"/>
  <c r="BX82" i="5"/>
  <c r="BW82" i="5"/>
  <c r="BM82" i="5"/>
  <c r="BK82" i="5"/>
  <c r="BC82" i="5"/>
  <c r="BB82" i="5"/>
  <c r="AX82" i="5"/>
  <c r="AK82" i="5"/>
  <c r="AH82" i="5"/>
  <c r="BA82" i="5" s="1"/>
  <c r="AG82" i="5"/>
  <c r="AF82" i="5"/>
  <c r="Y82" i="5"/>
  <c r="S82" i="5"/>
  <c r="CY81" i="5"/>
  <c r="CU81" i="5"/>
  <c r="CT81" i="5"/>
  <c r="CS81" i="5"/>
  <c r="CQ81" i="5"/>
  <c r="CO81" i="5"/>
  <c r="CI81" i="5"/>
  <c r="CC81" i="5"/>
  <c r="BX81" i="5"/>
  <c r="BW81" i="5"/>
  <c r="CA81" i="5"/>
  <c r="BM81" i="5"/>
  <c r="BK81" i="5"/>
  <c r="BC81" i="5"/>
  <c r="BE81" i="5" s="1"/>
  <c r="BB81" i="5"/>
  <c r="AX81" i="5"/>
  <c r="AK81" i="5"/>
  <c r="AH81" i="5"/>
  <c r="AG81" i="5"/>
  <c r="AF81" i="5"/>
  <c r="Y81" i="5"/>
  <c r="AN81" i="5" s="1"/>
  <c r="S81" i="5"/>
  <c r="CY80" i="5"/>
  <c r="CU80" i="5"/>
  <c r="CT80" i="5"/>
  <c r="CS80" i="5"/>
  <c r="CQ80" i="5"/>
  <c r="CO80" i="5"/>
  <c r="CI80" i="5"/>
  <c r="CC80" i="5"/>
  <c r="BZ80" i="5"/>
  <c r="BX80" i="5"/>
  <c r="BW80" i="5"/>
  <c r="CA80" i="5"/>
  <c r="BM80" i="5"/>
  <c r="BK80" i="5"/>
  <c r="BC80" i="5"/>
  <c r="BE80" i="5" s="1"/>
  <c r="BB80" i="5"/>
  <c r="AX80" i="5"/>
  <c r="AK80" i="5"/>
  <c r="AH80" i="5"/>
  <c r="BA80" i="5" s="1"/>
  <c r="AG80" i="5"/>
  <c r="AF80" i="5"/>
  <c r="Y80" i="5"/>
  <c r="AN80" i="5" s="1"/>
  <c r="S80" i="5"/>
  <c r="CR80" i="5" s="1"/>
  <c r="CY79" i="5"/>
  <c r="CU79" i="5"/>
  <c r="CT79" i="5"/>
  <c r="CS79" i="5"/>
  <c r="CQ79" i="5"/>
  <c r="CO79" i="5"/>
  <c r="CI79" i="5"/>
  <c r="CC79" i="5"/>
  <c r="BZ79" i="5"/>
  <c r="BX79" i="5"/>
  <c r="BW79" i="5"/>
  <c r="CA79" i="5"/>
  <c r="BM79" i="5"/>
  <c r="BK79" i="5"/>
  <c r="BC79" i="5"/>
  <c r="BE79" i="5" s="1"/>
  <c r="BB79" i="5"/>
  <c r="AX79" i="5"/>
  <c r="AK79" i="5"/>
  <c r="AH79" i="5"/>
  <c r="BA79" i="5" s="1"/>
  <c r="AG79" i="5"/>
  <c r="AF79" i="5"/>
  <c r="Y79" i="5"/>
  <c r="AN79" i="5" s="1"/>
  <c r="S79" i="5"/>
  <c r="CR79" i="5" s="1"/>
  <c r="CY78" i="5"/>
  <c r="CU78" i="5"/>
  <c r="CT78" i="5"/>
  <c r="CS78" i="5"/>
  <c r="CQ78" i="5"/>
  <c r="CO78" i="5"/>
  <c r="CI78" i="5"/>
  <c r="CC78" i="5"/>
  <c r="BZ78" i="5"/>
  <c r="BX78" i="5"/>
  <c r="BW78" i="5"/>
  <c r="CA78" i="5"/>
  <c r="BM78" i="5"/>
  <c r="BK78" i="5"/>
  <c r="BC78" i="5"/>
  <c r="BE78" i="5" s="1"/>
  <c r="BB78" i="5"/>
  <c r="AX78" i="5"/>
  <c r="AK78" i="5"/>
  <c r="AH78" i="5"/>
  <c r="AG78" i="5"/>
  <c r="AF78" i="5"/>
  <c r="Y78" i="5"/>
  <c r="AN78" i="5" s="1"/>
  <c r="S78" i="5"/>
  <c r="CR78" i="5" s="1"/>
  <c r="CY77" i="5"/>
  <c r="CU77" i="5"/>
  <c r="CT77" i="5"/>
  <c r="CS77" i="5"/>
  <c r="CQ77" i="5"/>
  <c r="CO77" i="5"/>
  <c r="CI77" i="5"/>
  <c r="CC77" i="5"/>
  <c r="BX77" i="5"/>
  <c r="BW77" i="5"/>
  <c r="BM77" i="5"/>
  <c r="BK77" i="5"/>
  <c r="BC77" i="5"/>
  <c r="BE77" i="5" s="1"/>
  <c r="BB77" i="5"/>
  <c r="AX77" i="5"/>
  <c r="AK77" i="5"/>
  <c r="AI77" i="5"/>
  <c r="AG77" i="5"/>
  <c r="AF77" i="5"/>
  <c r="Y77" i="5"/>
  <c r="AN77" i="5" s="1"/>
  <c r="S77" i="5"/>
  <c r="CY76" i="5"/>
  <c r="CU76" i="5"/>
  <c r="CT76" i="5"/>
  <c r="CS76" i="5"/>
  <c r="CQ76" i="5"/>
  <c r="CO76" i="5"/>
  <c r="CI76" i="5"/>
  <c r="CC76" i="5"/>
  <c r="BZ76" i="5"/>
  <c r="BX76" i="5"/>
  <c r="BW76" i="5"/>
  <c r="CA76" i="5"/>
  <c r="BM76" i="5"/>
  <c r="BK76" i="5"/>
  <c r="BC76" i="5"/>
  <c r="BB76" i="5"/>
  <c r="AX76" i="5"/>
  <c r="AK76" i="5"/>
  <c r="AI76" i="5"/>
  <c r="AG76" i="5"/>
  <c r="AF76" i="5"/>
  <c r="Y76" i="5"/>
  <c r="S76" i="5"/>
  <c r="CR76" i="5" s="1"/>
  <c r="CY75" i="5"/>
  <c r="CU75" i="5"/>
  <c r="CT75" i="5"/>
  <c r="CS75" i="5"/>
  <c r="CQ75" i="5"/>
  <c r="CO75" i="5"/>
  <c r="CI75" i="5"/>
  <c r="CC75" i="5"/>
  <c r="BZ75" i="5"/>
  <c r="BX75" i="5"/>
  <c r="BW75" i="5"/>
  <c r="CA75" i="5"/>
  <c r="BM75" i="5"/>
  <c r="BK75" i="5"/>
  <c r="BC75" i="5"/>
  <c r="BE75" i="5" s="1"/>
  <c r="BB75" i="5"/>
  <c r="AX75" i="5"/>
  <c r="AK75" i="5"/>
  <c r="AI75" i="5"/>
  <c r="AG75" i="5"/>
  <c r="AF75" i="5"/>
  <c r="Y75" i="5"/>
  <c r="AN75" i="5" s="1"/>
  <c r="S75" i="5"/>
  <c r="CR75" i="5" s="1"/>
  <c r="CY74" i="5"/>
  <c r="CU74" i="5"/>
  <c r="CT74" i="5"/>
  <c r="CS74" i="5"/>
  <c r="CQ74" i="5"/>
  <c r="CO74" i="5"/>
  <c r="CI74" i="5"/>
  <c r="CC74" i="5"/>
  <c r="BZ74" i="5"/>
  <c r="BX74" i="5"/>
  <c r="BW74" i="5"/>
  <c r="CA74" i="5"/>
  <c r="BM74" i="5"/>
  <c r="BK74" i="5"/>
  <c r="BC74" i="5"/>
  <c r="BE74" i="5" s="1"/>
  <c r="BB74" i="5"/>
  <c r="AX74" i="5"/>
  <c r="AK74" i="5"/>
  <c r="AI74" i="5"/>
  <c r="AG74" i="5"/>
  <c r="AF74" i="5"/>
  <c r="Y74" i="5"/>
  <c r="AN74" i="5" s="1"/>
  <c r="S74" i="5"/>
  <c r="CR74" i="5" s="1"/>
  <c r="CY73" i="5"/>
  <c r="CU73" i="5"/>
  <c r="CT73" i="5"/>
  <c r="CS73" i="5"/>
  <c r="CQ73" i="5"/>
  <c r="CO73" i="5"/>
  <c r="CI73" i="5"/>
  <c r="CC73" i="5"/>
  <c r="BX73" i="5"/>
  <c r="BW73" i="5"/>
  <c r="CA73" i="5"/>
  <c r="BM73" i="5"/>
  <c r="BK73" i="5"/>
  <c r="BC73" i="5"/>
  <c r="BE73" i="5" s="1"/>
  <c r="BB73" i="5"/>
  <c r="AX73" i="5"/>
  <c r="AN73" i="5"/>
  <c r="AK73" i="5"/>
  <c r="AI73" i="5"/>
  <c r="AG73" i="5"/>
  <c r="AF73" i="5"/>
  <c r="Y73" i="5"/>
  <c r="S73" i="5"/>
  <c r="CR73" i="5" s="1"/>
  <c r="CY72" i="5"/>
  <c r="CU72" i="5"/>
  <c r="CT72" i="5"/>
  <c r="CS72" i="5"/>
  <c r="CQ72" i="5"/>
  <c r="CO72" i="5"/>
  <c r="CI72" i="5"/>
  <c r="CC72" i="5"/>
  <c r="BZ72" i="5"/>
  <c r="BX72" i="5"/>
  <c r="BW72" i="5"/>
  <c r="CA72" i="5"/>
  <c r="BM72" i="5"/>
  <c r="BK72" i="5"/>
  <c r="BC72" i="5"/>
  <c r="BB72" i="5"/>
  <c r="AX72" i="5"/>
  <c r="AK72" i="5"/>
  <c r="AI72" i="5"/>
  <c r="AG72" i="5"/>
  <c r="AF72" i="5"/>
  <c r="Y72" i="5"/>
  <c r="S72" i="5"/>
  <c r="CR72" i="5" s="1"/>
  <c r="CY71" i="5"/>
  <c r="CU71" i="5"/>
  <c r="CT71" i="5"/>
  <c r="CS71" i="5"/>
  <c r="CQ71" i="5"/>
  <c r="CO71" i="5"/>
  <c r="CI71" i="5"/>
  <c r="CC71" i="5"/>
  <c r="BX71" i="5"/>
  <c r="BW71" i="5"/>
  <c r="BZ71" i="5"/>
  <c r="BM71" i="5"/>
  <c r="BK71" i="5"/>
  <c r="BC71" i="5"/>
  <c r="BE71" i="5" s="1"/>
  <c r="BB71" i="5"/>
  <c r="AX71" i="5"/>
  <c r="AK71" i="5"/>
  <c r="AI71" i="5"/>
  <c r="AG71" i="5"/>
  <c r="AF71" i="5"/>
  <c r="Y71" i="5"/>
  <c r="AN71" i="5" s="1"/>
  <c r="S71" i="5"/>
  <c r="CR71" i="5" s="1"/>
  <c r="CY70" i="5"/>
  <c r="CU70" i="5"/>
  <c r="CT70" i="5"/>
  <c r="CS70" i="5"/>
  <c r="CQ70" i="5"/>
  <c r="CO70" i="5"/>
  <c r="CI70" i="5"/>
  <c r="CC70" i="5"/>
  <c r="BZ70" i="5"/>
  <c r="BX70" i="5"/>
  <c r="BW70" i="5"/>
  <c r="CA70" i="5"/>
  <c r="BM70" i="5"/>
  <c r="BK70" i="5"/>
  <c r="BC70" i="5"/>
  <c r="BE70" i="5" s="1"/>
  <c r="BB70" i="5"/>
  <c r="AX70" i="5"/>
  <c r="AK70" i="5"/>
  <c r="AI70" i="5"/>
  <c r="AG70" i="5"/>
  <c r="AF70" i="5"/>
  <c r="Y70" i="5"/>
  <c r="AN70" i="5" s="1"/>
  <c r="S70" i="5"/>
  <c r="CR70" i="5" s="1"/>
  <c r="CY69" i="5"/>
  <c r="CU69" i="5"/>
  <c r="CT69" i="5"/>
  <c r="CS69" i="5"/>
  <c r="CQ69" i="5"/>
  <c r="CO69" i="5"/>
  <c r="CI69" i="5"/>
  <c r="CC69" i="5"/>
  <c r="BX69" i="5"/>
  <c r="BW69" i="5"/>
  <c r="CA69" i="5"/>
  <c r="BM69" i="5"/>
  <c r="BK69" i="5"/>
  <c r="BC69" i="5"/>
  <c r="BE69" i="5" s="1"/>
  <c r="BB69" i="5"/>
  <c r="AX69" i="5"/>
  <c r="AK69" i="5"/>
  <c r="AI69" i="5"/>
  <c r="AG69" i="5"/>
  <c r="AF69" i="5"/>
  <c r="Y69" i="5"/>
  <c r="AN69" i="5" s="1"/>
  <c r="S69" i="5"/>
  <c r="CR69" i="5" s="1"/>
  <c r="CY68" i="5"/>
  <c r="CU68" i="5"/>
  <c r="CT68" i="5"/>
  <c r="CS68" i="5"/>
  <c r="CQ68" i="5"/>
  <c r="CO68" i="5"/>
  <c r="CI68" i="5"/>
  <c r="CC68" i="5"/>
  <c r="BZ68" i="5"/>
  <c r="BX68" i="5"/>
  <c r="BW68" i="5"/>
  <c r="CA68" i="5"/>
  <c r="BM68" i="5"/>
  <c r="BK68" i="5"/>
  <c r="BC68" i="5"/>
  <c r="BB68" i="5"/>
  <c r="AX68" i="5"/>
  <c r="AK68" i="5"/>
  <c r="AI68" i="5"/>
  <c r="AG68" i="5"/>
  <c r="AF68" i="5"/>
  <c r="Y68" i="5"/>
  <c r="S68" i="5"/>
  <c r="CY67" i="5"/>
  <c r="CU67" i="5"/>
  <c r="CT67" i="5"/>
  <c r="CS67" i="5"/>
  <c r="CQ67" i="5"/>
  <c r="CO67" i="5"/>
  <c r="CI67" i="5"/>
  <c r="CC67" i="5"/>
  <c r="BX67" i="5"/>
  <c r="BW67" i="5"/>
  <c r="BZ67" i="5"/>
  <c r="BM67" i="5"/>
  <c r="BK67" i="5"/>
  <c r="BC67" i="5"/>
  <c r="BE67" i="5" s="1"/>
  <c r="BB67" i="5"/>
  <c r="AX67" i="5"/>
  <c r="AK67" i="5"/>
  <c r="AI67" i="5"/>
  <c r="AG67" i="5"/>
  <c r="AF67" i="5"/>
  <c r="Y67" i="5"/>
  <c r="AN67" i="5" s="1"/>
  <c r="S67" i="5"/>
  <c r="CR67" i="5" s="1"/>
  <c r="CY66" i="5"/>
  <c r="CU66" i="5"/>
  <c r="CT66" i="5"/>
  <c r="CS66" i="5"/>
  <c r="CQ66" i="5"/>
  <c r="CO66" i="5"/>
  <c r="CI66" i="5"/>
  <c r="CC66" i="5"/>
  <c r="BZ66" i="5"/>
  <c r="BX66" i="5"/>
  <c r="BW66" i="5"/>
  <c r="CA66" i="5"/>
  <c r="BM66" i="5"/>
  <c r="BK66" i="5"/>
  <c r="BC66" i="5"/>
  <c r="BE66" i="5" s="1"/>
  <c r="BB66" i="5"/>
  <c r="AX66" i="5"/>
  <c r="AK66" i="5"/>
  <c r="AI66" i="5"/>
  <c r="AG66" i="5"/>
  <c r="AF66" i="5"/>
  <c r="Y66" i="5"/>
  <c r="S66" i="5"/>
  <c r="CY65" i="5"/>
  <c r="CU65" i="5"/>
  <c r="CT65" i="5"/>
  <c r="CS65" i="5"/>
  <c r="CQ65" i="5"/>
  <c r="CO65" i="5"/>
  <c r="CI65" i="5"/>
  <c r="CC65" i="5"/>
  <c r="BX65" i="5"/>
  <c r="BW65" i="5"/>
  <c r="BZ65" i="5"/>
  <c r="BM65" i="5"/>
  <c r="BK65" i="5"/>
  <c r="BC65" i="5"/>
  <c r="BE65" i="5" s="1"/>
  <c r="BB65" i="5"/>
  <c r="AX65" i="5"/>
  <c r="AK65" i="5"/>
  <c r="AI65" i="5"/>
  <c r="AG65" i="5"/>
  <c r="AF65" i="5"/>
  <c r="Y65" i="5"/>
  <c r="AN65" i="5" s="1"/>
  <c r="S65" i="5"/>
  <c r="CR65" i="5" s="1"/>
  <c r="CY64" i="5"/>
  <c r="CU64" i="5"/>
  <c r="CT64" i="5"/>
  <c r="CS64" i="5"/>
  <c r="CQ64" i="5"/>
  <c r="CO64" i="5"/>
  <c r="CI64" i="5"/>
  <c r="CC64" i="5"/>
  <c r="BZ64" i="5"/>
  <c r="BX64" i="5"/>
  <c r="BW64" i="5"/>
  <c r="CA64" i="5"/>
  <c r="BM64" i="5"/>
  <c r="BK64" i="5"/>
  <c r="BC64" i="5"/>
  <c r="BB64" i="5"/>
  <c r="AX64" i="5"/>
  <c r="AK64" i="5"/>
  <c r="AI64" i="5"/>
  <c r="AG64" i="5"/>
  <c r="AF64" i="5"/>
  <c r="Y64" i="5"/>
  <c r="AN64" i="5" s="1"/>
  <c r="S64" i="5"/>
  <c r="CR64" i="5" s="1"/>
  <c r="CY63" i="5"/>
  <c r="CU63" i="5"/>
  <c r="CT63" i="5"/>
  <c r="CS63" i="5"/>
  <c r="CQ63" i="5"/>
  <c r="CO63" i="5"/>
  <c r="CI63" i="5"/>
  <c r="CC63" i="5"/>
  <c r="BZ63" i="5"/>
  <c r="BX63" i="5"/>
  <c r="BW63" i="5"/>
  <c r="BM63" i="5"/>
  <c r="BK63" i="5"/>
  <c r="BC63" i="5"/>
  <c r="BE63" i="5" s="1"/>
  <c r="BB63" i="5"/>
  <c r="AX63" i="5"/>
  <c r="AN63" i="5"/>
  <c r="AK63" i="5"/>
  <c r="AI63" i="5"/>
  <c r="AG63" i="5"/>
  <c r="AF63" i="5"/>
  <c r="Y63" i="5"/>
  <c r="S63" i="5"/>
  <c r="CR63" i="5" s="1"/>
  <c r="CY62" i="5"/>
  <c r="CU62" i="5"/>
  <c r="CT62" i="5"/>
  <c r="CS62" i="5"/>
  <c r="CQ62" i="5"/>
  <c r="CO62" i="5"/>
  <c r="CI62" i="5"/>
  <c r="CC62" i="5"/>
  <c r="BZ62" i="5"/>
  <c r="BX62" i="5"/>
  <c r="BW62" i="5"/>
  <c r="BM62" i="5"/>
  <c r="BK62" i="5"/>
  <c r="BC62" i="5"/>
  <c r="BB62" i="5"/>
  <c r="AX62" i="5"/>
  <c r="AK62" i="5"/>
  <c r="AI62" i="5"/>
  <c r="AG62" i="5"/>
  <c r="AF62" i="5"/>
  <c r="Y62" i="5"/>
  <c r="S62" i="5"/>
  <c r="CR62" i="5" s="1"/>
  <c r="CY61" i="5"/>
  <c r="CU61" i="5"/>
  <c r="CT61" i="5"/>
  <c r="CS61" i="5"/>
  <c r="CQ61" i="5"/>
  <c r="CO61" i="5"/>
  <c r="CI61" i="5"/>
  <c r="CC61" i="5"/>
  <c r="CA61" i="5"/>
  <c r="BZ61" i="5"/>
  <c r="BX61" i="5"/>
  <c r="BW61" i="5"/>
  <c r="BM61" i="5"/>
  <c r="BK61" i="5"/>
  <c r="AX61" i="5"/>
  <c r="AK61" i="5"/>
  <c r="AH61" i="5"/>
  <c r="AG61" i="5"/>
  <c r="AF61" i="5"/>
  <c r="Y61" i="5"/>
  <c r="AN61" i="5" s="1"/>
  <c r="S61" i="5"/>
  <c r="CR61" i="5" s="1"/>
  <c r="CY60" i="5"/>
  <c r="CU60" i="5"/>
  <c r="CT60" i="5"/>
  <c r="CS60" i="5"/>
  <c r="CQ60" i="5"/>
  <c r="CO60" i="5"/>
  <c r="CI60" i="5"/>
  <c r="CC60" i="5"/>
  <c r="BX60" i="5"/>
  <c r="BW60" i="5"/>
  <c r="CA60" i="5"/>
  <c r="BM60" i="5"/>
  <c r="BK60" i="5"/>
  <c r="BC60" i="5"/>
  <c r="BB60" i="5"/>
  <c r="AX60" i="5"/>
  <c r="AK60" i="5"/>
  <c r="AI60" i="5"/>
  <c r="AG60" i="5"/>
  <c r="AF60" i="5"/>
  <c r="Y60" i="5"/>
  <c r="AN60" i="5" s="1"/>
  <c r="S60" i="5"/>
  <c r="CR60" i="5" s="1"/>
  <c r="CY59" i="5"/>
  <c r="CU59" i="5"/>
  <c r="CT59" i="5"/>
  <c r="CS59" i="5"/>
  <c r="CQ59" i="5"/>
  <c r="CO59" i="5"/>
  <c r="CI59" i="5"/>
  <c r="CC59" i="5"/>
  <c r="BX59" i="5"/>
  <c r="BW59" i="5"/>
  <c r="CA59" i="5"/>
  <c r="BM59" i="5"/>
  <c r="BK59" i="5"/>
  <c r="BC59" i="5"/>
  <c r="BB59" i="5"/>
  <c r="AX59" i="5"/>
  <c r="AK59" i="5"/>
  <c r="AI59" i="5"/>
  <c r="AG59" i="5"/>
  <c r="AF59" i="5"/>
  <c r="Y59" i="5"/>
  <c r="AN59" i="5" s="1"/>
  <c r="S59" i="5"/>
  <c r="CR59" i="5" s="1"/>
  <c r="CY58" i="5"/>
  <c r="CU58" i="5"/>
  <c r="CT58" i="5"/>
  <c r="CS58" i="5"/>
  <c r="CQ58" i="5"/>
  <c r="CO58" i="5"/>
  <c r="CI58" i="5"/>
  <c r="CC58" i="5"/>
  <c r="BZ58" i="5"/>
  <c r="BX58" i="5"/>
  <c r="BW58" i="5"/>
  <c r="CA58" i="5"/>
  <c r="BM58" i="5"/>
  <c r="BK58" i="5"/>
  <c r="BC58" i="5"/>
  <c r="BE58" i="5" s="1"/>
  <c r="BB58" i="5"/>
  <c r="AX58" i="5"/>
  <c r="AK58" i="5"/>
  <c r="AI58" i="5"/>
  <c r="AG58" i="5"/>
  <c r="AF58" i="5"/>
  <c r="Y58" i="5"/>
  <c r="AN58" i="5" s="1"/>
  <c r="S58" i="5"/>
  <c r="CR58" i="5" s="1"/>
  <c r="CY57" i="5"/>
  <c r="CU57" i="5"/>
  <c r="CT57" i="5"/>
  <c r="CS57" i="5"/>
  <c r="CQ57" i="5"/>
  <c r="CO57" i="5"/>
  <c r="CI57" i="5"/>
  <c r="CC57" i="5"/>
  <c r="BX57" i="5"/>
  <c r="BW57" i="5"/>
  <c r="BZ57" i="5"/>
  <c r="BM57" i="5"/>
  <c r="BK57" i="5"/>
  <c r="BC57" i="5"/>
  <c r="BE57" i="5" s="1"/>
  <c r="BB57" i="5"/>
  <c r="AX57" i="5"/>
  <c r="AK57" i="5"/>
  <c r="AI57" i="5"/>
  <c r="AG57" i="5"/>
  <c r="AF57" i="5"/>
  <c r="Y57" i="5"/>
  <c r="AN57" i="5" s="1"/>
  <c r="S57" i="5"/>
  <c r="CR57" i="5" s="1"/>
  <c r="CY56" i="5"/>
  <c r="CU56" i="5"/>
  <c r="CT56" i="5"/>
  <c r="CS56" i="5"/>
  <c r="CQ56" i="5"/>
  <c r="CO56" i="5"/>
  <c r="CI56" i="5"/>
  <c r="CC56" i="5"/>
  <c r="BX56" i="5"/>
  <c r="BW56" i="5"/>
  <c r="CA56" i="5"/>
  <c r="BM56" i="5"/>
  <c r="BK56" i="5"/>
  <c r="BC56" i="5"/>
  <c r="BB56" i="5"/>
  <c r="AX56" i="5"/>
  <c r="AK56" i="5"/>
  <c r="AI56" i="5"/>
  <c r="AG56" i="5"/>
  <c r="AF56" i="5"/>
  <c r="Y56" i="5"/>
  <c r="AN56" i="5" s="1"/>
  <c r="S56" i="5"/>
  <c r="CR56" i="5" s="1"/>
  <c r="CY55" i="5"/>
  <c r="CU55" i="5"/>
  <c r="CT55" i="5"/>
  <c r="CS55" i="5"/>
  <c r="CQ55" i="5"/>
  <c r="CO55" i="5"/>
  <c r="CI55" i="5"/>
  <c r="CC55" i="5"/>
  <c r="BZ55" i="5"/>
  <c r="BX55" i="5"/>
  <c r="BW55" i="5"/>
  <c r="CA55" i="5"/>
  <c r="BM55" i="5"/>
  <c r="BK55" i="5"/>
  <c r="BC55" i="5"/>
  <c r="BB55" i="5"/>
  <c r="AX55" i="5"/>
  <c r="AK55" i="5"/>
  <c r="AI55" i="5"/>
  <c r="AG55" i="5"/>
  <c r="AF55" i="5"/>
  <c r="Y55" i="5"/>
  <c r="AN55" i="5" s="1"/>
  <c r="S55" i="5"/>
  <c r="CR55" i="5" s="1"/>
  <c r="CY54" i="5"/>
  <c r="CU54" i="5"/>
  <c r="CT54" i="5"/>
  <c r="CS54" i="5"/>
  <c r="CQ54" i="5"/>
  <c r="CO54" i="5"/>
  <c r="CI54" i="5"/>
  <c r="CC54" i="5"/>
  <c r="BZ54" i="5"/>
  <c r="BX54" i="5"/>
  <c r="BW54" i="5"/>
  <c r="CA54" i="5"/>
  <c r="BM54" i="5"/>
  <c r="BK54" i="5"/>
  <c r="BC54" i="5"/>
  <c r="BE54" i="5" s="1"/>
  <c r="BB54" i="5"/>
  <c r="AX54" i="5"/>
  <c r="AK54" i="5"/>
  <c r="AI54" i="5"/>
  <c r="AG54" i="5"/>
  <c r="AF54" i="5"/>
  <c r="Y54" i="5"/>
  <c r="AN54" i="5" s="1"/>
  <c r="S54" i="5"/>
  <c r="CR54" i="5" s="1"/>
  <c r="CY53" i="5"/>
  <c r="CU53" i="5"/>
  <c r="CT53" i="5"/>
  <c r="CS53" i="5"/>
  <c r="CQ53" i="5"/>
  <c r="CO53" i="5"/>
  <c r="CI53" i="5"/>
  <c r="CC53" i="5"/>
  <c r="BX53" i="5"/>
  <c r="BW53" i="5"/>
  <c r="BZ53" i="5"/>
  <c r="BM53" i="5"/>
  <c r="BK53" i="5"/>
  <c r="BC53" i="5"/>
  <c r="BE53" i="5" s="1"/>
  <c r="BB53" i="5"/>
  <c r="AX53" i="5"/>
  <c r="AK53" i="5"/>
  <c r="AI53" i="5"/>
  <c r="AG53" i="5"/>
  <c r="AF53" i="5"/>
  <c r="Y53" i="5"/>
  <c r="AN53" i="5" s="1"/>
  <c r="S53" i="5"/>
  <c r="CR53" i="5" s="1"/>
  <c r="CY52" i="5"/>
  <c r="CU52" i="5"/>
  <c r="CT52" i="5"/>
  <c r="CS52" i="5"/>
  <c r="CQ52" i="5"/>
  <c r="CO52" i="5"/>
  <c r="CI52" i="5"/>
  <c r="CC52" i="5"/>
  <c r="BX52" i="5"/>
  <c r="BW52" i="5"/>
  <c r="CA52" i="5"/>
  <c r="BM52" i="5"/>
  <c r="BK52" i="5"/>
  <c r="BC52" i="5"/>
  <c r="BB52" i="5"/>
  <c r="AX52" i="5"/>
  <c r="AK52" i="5"/>
  <c r="AI52" i="5"/>
  <c r="AG52" i="5"/>
  <c r="AF52" i="5"/>
  <c r="Y52" i="5"/>
  <c r="AN52" i="5" s="1"/>
  <c r="S52" i="5"/>
  <c r="CR52" i="5" s="1"/>
  <c r="CY51" i="5"/>
  <c r="CU51" i="5"/>
  <c r="CT51" i="5"/>
  <c r="CS51" i="5"/>
  <c r="CQ51" i="5"/>
  <c r="CO51" i="5"/>
  <c r="CI51" i="5"/>
  <c r="CC51" i="5"/>
  <c r="BZ51" i="5"/>
  <c r="BX51" i="5"/>
  <c r="BW51" i="5"/>
  <c r="CA51" i="5"/>
  <c r="BM51" i="5"/>
  <c r="BK51" i="5"/>
  <c r="BC51" i="5"/>
  <c r="BB51" i="5"/>
  <c r="AX51" i="5"/>
  <c r="AK51" i="5"/>
  <c r="AI51" i="5"/>
  <c r="AG51" i="5"/>
  <c r="AF51" i="5"/>
  <c r="Y51" i="5"/>
  <c r="AN51" i="5" s="1"/>
  <c r="S51" i="5"/>
  <c r="CR51" i="5" s="1"/>
  <c r="CY50" i="5"/>
  <c r="CU50" i="5"/>
  <c r="CT50" i="5"/>
  <c r="CS50" i="5"/>
  <c r="CQ50" i="5"/>
  <c r="CO50" i="5"/>
  <c r="CI50" i="5"/>
  <c r="CC50" i="5"/>
  <c r="BZ50" i="5"/>
  <c r="BX50" i="5"/>
  <c r="BW50" i="5"/>
  <c r="CA50" i="5"/>
  <c r="BM50" i="5"/>
  <c r="BK50" i="5"/>
  <c r="BC50" i="5"/>
  <c r="BE50" i="5" s="1"/>
  <c r="BB50" i="5"/>
  <c r="AX50" i="5"/>
  <c r="AK50" i="5"/>
  <c r="AI50" i="5"/>
  <c r="AG50" i="5"/>
  <c r="AF50" i="5"/>
  <c r="Y50" i="5"/>
  <c r="AN50" i="5" s="1"/>
  <c r="S50" i="5"/>
  <c r="CR50" i="5" s="1"/>
  <c r="CY49" i="5"/>
  <c r="CU49" i="5"/>
  <c r="CT49" i="5"/>
  <c r="CS49" i="5"/>
  <c r="CQ49" i="5"/>
  <c r="CO49" i="5"/>
  <c r="CI49" i="5"/>
  <c r="CC49" i="5"/>
  <c r="BX49" i="5"/>
  <c r="BW49" i="5"/>
  <c r="BM49" i="5"/>
  <c r="BK49" i="5"/>
  <c r="BC49" i="5"/>
  <c r="BB49" i="5"/>
  <c r="AX49" i="5"/>
  <c r="AK49" i="5"/>
  <c r="AI49" i="5"/>
  <c r="AG49" i="5"/>
  <c r="AF49" i="5"/>
  <c r="Y49" i="5"/>
  <c r="AN49" i="5" s="1"/>
  <c r="S49" i="5"/>
  <c r="CR49" i="5" s="1"/>
  <c r="CY48" i="5"/>
  <c r="CU48" i="5"/>
  <c r="CT48" i="5"/>
  <c r="CS48" i="5"/>
  <c r="CQ48" i="5"/>
  <c r="CO48" i="5"/>
  <c r="CI48" i="5"/>
  <c r="CC48" i="5"/>
  <c r="BZ48" i="5"/>
  <c r="BX48" i="5"/>
  <c r="BW48" i="5"/>
  <c r="BM48" i="5"/>
  <c r="BK48" i="5"/>
  <c r="AX48" i="5"/>
  <c r="AK48" i="5"/>
  <c r="AH48" i="5"/>
  <c r="BA48" i="5" s="1"/>
  <c r="AG48" i="5"/>
  <c r="AF48" i="5"/>
  <c r="Y48" i="5"/>
  <c r="S48" i="5"/>
  <c r="CY47" i="5"/>
  <c r="CU47" i="5"/>
  <c r="CT47" i="5"/>
  <c r="CS47" i="5"/>
  <c r="CQ47" i="5"/>
  <c r="CO47" i="5"/>
  <c r="CI47" i="5"/>
  <c r="CC47" i="5"/>
  <c r="BX47" i="5"/>
  <c r="BW47" i="5"/>
  <c r="CA47" i="5"/>
  <c r="BM47" i="5"/>
  <c r="BK47" i="5"/>
  <c r="BC47" i="5"/>
  <c r="BB47" i="5"/>
  <c r="AX47" i="5"/>
  <c r="AK47" i="5"/>
  <c r="AI47" i="5"/>
  <c r="AG47" i="5"/>
  <c r="AF47" i="5"/>
  <c r="Y47" i="5"/>
  <c r="AN47" i="5" s="1"/>
  <c r="S47" i="5"/>
  <c r="CR47" i="5" s="1"/>
  <c r="CY46" i="5"/>
  <c r="CU46" i="5"/>
  <c r="CT46" i="5"/>
  <c r="CS46" i="5"/>
  <c r="CQ46" i="5"/>
  <c r="CO46" i="5"/>
  <c r="CI46" i="5"/>
  <c r="CC46" i="5"/>
  <c r="BX46" i="5"/>
  <c r="BW46" i="5"/>
  <c r="BM46" i="5"/>
  <c r="BK46" i="5"/>
  <c r="AX46" i="5"/>
  <c r="AK46" i="5"/>
  <c r="AH46" i="5"/>
  <c r="AG46" i="5"/>
  <c r="AF46" i="5"/>
  <c r="Y46" i="5"/>
  <c r="AN46" i="5" s="1"/>
  <c r="S46" i="5"/>
  <c r="CR46" i="5" s="1"/>
  <c r="CY45" i="5"/>
  <c r="CU45" i="5"/>
  <c r="CT45" i="5"/>
  <c r="CS45" i="5"/>
  <c r="CQ45" i="5"/>
  <c r="CO45" i="5"/>
  <c r="CI45" i="5"/>
  <c r="CC45" i="5"/>
  <c r="BZ45" i="5"/>
  <c r="BX45" i="5"/>
  <c r="BW45" i="5"/>
  <c r="BM45" i="5"/>
  <c r="BK45" i="5"/>
  <c r="AX45" i="5"/>
  <c r="AN45" i="5"/>
  <c r="AK45" i="5"/>
  <c r="AH45" i="5"/>
  <c r="AG45" i="5"/>
  <c r="AF45" i="5"/>
  <c r="Y45" i="5"/>
  <c r="S45" i="5"/>
  <c r="CR45" i="5" s="1"/>
  <c r="CY44" i="5"/>
  <c r="CU44" i="5"/>
  <c r="CT44" i="5"/>
  <c r="CS44" i="5"/>
  <c r="CQ44" i="5"/>
  <c r="CO44" i="5"/>
  <c r="CI44" i="5"/>
  <c r="CC44" i="5"/>
  <c r="BZ44" i="5"/>
  <c r="BX44" i="5"/>
  <c r="BW44" i="5"/>
  <c r="BM44" i="5"/>
  <c r="BK44" i="5"/>
  <c r="AX44" i="5"/>
  <c r="AK44" i="5"/>
  <c r="AH44" i="5"/>
  <c r="BA44" i="5" s="1"/>
  <c r="AG44" i="5"/>
  <c r="AF44" i="5"/>
  <c r="Y44" i="5"/>
  <c r="S44" i="5"/>
  <c r="CY43" i="5"/>
  <c r="CU43" i="5"/>
  <c r="CT43" i="5"/>
  <c r="CS43" i="5"/>
  <c r="CQ43" i="5"/>
  <c r="CO43" i="5"/>
  <c r="CI43" i="5"/>
  <c r="CC43" i="5"/>
  <c r="BX43" i="5"/>
  <c r="BW43" i="5"/>
  <c r="BZ43" i="5"/>
  <c r="BM43" i="5"/>
  <c r="BK43" i="5"/>
  <c r="BC43" i="5"/>
  <c r="BE43" i="5" s="1"/>
  <c r="BB43" i="5"/>
  <c r="AX43" i="5"/>
  <c r="AK43" i="5"/>
  <c r="AH43" i="5"/>
  <c r="BA43" i="5" s="1"/>
  <c r="AG43" i="5"/>
  <c r="AF43" i="5"/>
  <c r="Y43" i="5"/>
  <c r="AN43" i="5" s="1"/>
  <c r="S43" i="5"/>
  <c r="CR43" i="5" s="1"/>
  <c r="CY42" i="5"/>
  <c r="CU42" i="5"/>
  <c r="CT42" i="5"/>
  <c r="CS42" i="5"/>
  <c r="CQ42" i="5"/>
  <c r="CO42" i="5"/>
  <c r="CI42" i="5"/>
  <c r="CC42" i="5"/>
  <c r="BZ42" i="5"/>
  <c r="BX42" i="5"/>
  <c r="BW42" i="5"/>
  <c r="CA42" i="5"/>
  <c r="BM42" i="5"/>
  <c r="BK42" i="5"/>
  <c r="BC42" i="5"/>
  <c r="BB42" i="5"/>
  <c r="AX42" i="5"/>
  <c r="AK42" i="5"/>
  <c r="AH42" i="5"/>
  <c r="AG42" i="5"/>
  <c r="AF42" i="5"/>
  <c r="Y42" i="5"/>
  <c r="AN42" i="5" s="1"/>
  <c r="S42" i="5"/>
  <c r="CY41" i="5"/>
  <c r="CU41" i="5"/>
  <c r="CT41" i="5"/>
  <c r="CS41" i="5"/>
  <c r="CQ41" i="5"/>
  <c r="CO41" i="5"/>
  <c r="CI41" i="5"/>
  <c r="CC41" i="5"/>
  <c r="BZ41" i="5"/>
  <c r="BX41" i="5"/>
  <c r="BW41" i="5"/>
  <c r="CA41" i="5"/>
  <c r="BM41" i="5"/>
  <c r="BK41" i="5"/>
  <c r="BC41" i="5"/>
  <c r="BE41" i="5" s="1"/>
  <c r="BB41" i="5"/>
  <c r="AX41" i="5"/>
  <c r="AK41" i="5"/>
  <c r="AH41" i="5"/>
  <c r="BA41" i="5" s="1"/>
  <c r="AG41" i="5"/>
  <c r="AF41" i="5"/>
  <c r="Y41" i="5"/>
  <c r="AN41" i="5" s="1"/>
  <c r="S41" i="5"/>
  <c r="CR41" i="5" s="1"/>
  <c r="CY40" i="5"/>
  <c r="CU40" i="5"/>
  <c r="CT40" i="5"/>
  <c r="CS40" i="5"/>
  <c r="CQ40" i="5"/>
  <c r="CO40" i="5"/>
  <c r="CI40" i="5"/>
  <c r="CC40" i="5"/>
  <c r="BZ40" i="5"/>
  <c r="BX40" i="5"/>
  <c r="BW40" i="5"/>
  <c r="BM40" i="5"/>
  <c r="BK40" i="5"/>
  <c r="AX40" i="5"/>
  <c r="AK40" i="5"/>
  <c r="AH40" i="5"/>
  <c r="BA40" i="5" s="1"/>
  <c r="AG40" i="5"/>
  <c r="AF40" i="5"/>
  <c r="Y40" i="5"/>
  <c r="AN40" i="5" s="1"/>
  <c r="S40" i="5"/>
  <c r="CR40" i="5" s="1"/>
  <c r="CY39" i="5"/>
  <c r="CU39" i="5"/>
  <c r="CT39" i="5"/>
  <c r="CS39" i="5"/>
  <c r="CQ39" i="5"/>
  <c r="CO39" i="5"/>
  <c r="CI39" i="5"/>
  <c r="CC39" i="5"/>
  <c r="BX39" i="5"/>
  <c r="BW39" i="5"/>
  <c r="BZ39" i="5"/>
  <c r="BM39" i="5"/>
  <c r="BK39" i="5"/>
  <c r="AX39" i="5"/>
  <c r="AN39" i="5"/>
  <c r="AK39" i="5"/>
  <c r="AI39" i="5"/>
  <c r="AG39" i="5"/>
  <c r="AF39" i="5"/>
  <c r="Y39" i="5"/>
  <c r="S39" i="5"/>
  <c r="CY38" i="5"/>
  <c r="CU38" i="5"/>
  <c r="CT38" i="5"/>
  <c r="CS38" i="5"/>
  <c r="CQ38" i="5"/>
  <c r="CO38" i="5"/>
  <c r="CI38" i="5"/>
  <c r="CC38" i="5"/>
  <c r="BX38" i="5"/>
  <c r="BW38" i="5"/>
  <c r="BM38" i="5"/>
  <c r="BK38" i="5"/>
  <c r="AX38" i="5"/>
  <c r="AK38" i="5"/>
  <c r="AI38" i="5"/>
  <c r="AG38" i="5"/>
  <c r="AF38" i="5"/>
  <c r="Y38" i="5"/>
  <c r="S38" i="5"/>
  <c r="CR38" i="5" s="1"/>
  <c r="CY37" i="5"/>
  <c r="CU37" i="5"/>
  <c r="CT37" i="5"/>
  <c r="CS37" i="5"/>
  <c r="CQ37" i="5"/>
  <c r="CO37" i="5"/>
  <c r="CI37" i="5"/>
  <c r="CC37" i="5"/>
  <c r="BX37" i="5"/>
  <c r="BW37" i="5"/>
  <c r="BM37" i="5"/>
  <c r="BK37" i="5"/>
  <c r="AX37" i="5"/>
  <c r="AK37" i="5"/>
  <c r="AI37" i="5"/>
  <c r="AG37" i="5"/>
  <c r="AF37" i="5"/>
  <c r="Y37" i="5"/>
  <c r="AN37" i="5" s="1"/>
  <c r="S37" i="5"/>
  <c r="CR37" i="5" s="1"/>
  <c r="CY36" i="5"/>
  <c r="CU36" i="5"/>
  <c r="CT36" i="5"/>
  <c r="CS36" i="5"/>
  <c r="CQ36" i="5"/>
  <c r="CI36" i="5"/>
  <c r="CC36" i="5"/>
  <c r="BZ36" i="5"/>
  <c r="BX36" i="5"/>
  <c r="BW36" i="5"/>
  <c r="BM36" i="5"/>
  <c r="BK36" i="5"/>
  <c r="AX36" i="5"/>
  <c r="AK36" i="5"/>
  <c r="AI36" i="5"/>
  <c r="AG36" i="5"/>
  <c r="AF36" i="5"/>
  <c r="Y36" i="5"/>
  <c r="AN36" i="5" s="1"/>
  <c r="S36" i="5"/>
  <c r="CR36" i="5" s="1"/>
  <c r="CY35" i="5"/>
  <c r="CU35" i="5"/>
  <c r="CT35" i="5"/>
  <c r="CS35" i="5"/>
  <c r="CQ35" i="5"/>
  <c r="CO35" i="5"/>
  <c r="CI35" i="5"/>
  <c r="CC35" i="5"/>
  <c r="BX35" i="5"/>
  <c r="BW35" i="5"/>
  <c r="BM35" i="5"/>
  <c r="BK35" i="5"/>
  <c r="AX35" i="5"/>
  <c r="AK35" i="5"/>
  <c r="AI35" i="5"/>
  <c r="AG35" i="5"/>
  <c r="AF35" i="5"/>
  <c r="AN35" i="5"/>
  <c r="CY34" i="5"/>
  <c r="CU34" i="5"/>
  <c r="CT34" i="5"/>
  <c r="CS34" i="5"/>
  <c r="CQ34" i="5"/>
  <c r="CN34" i="5"/>
  <c r="CL34" i="5"/>
  <c r="CI34" i="5"/>
  <c r="CD34" i="5"/>
  <c r="CC34" i="5"/>
  <c r="BZ34" i="5"/>
  <c r="BX34" i="5"/>
  <c r="BW34" i="5"/>
  <c r="BT34" i="5"/>
  <c r="BS34" i="5"/>
  <c r="BM34" i="5"/>
  <c r="BK34" i="5"/>
  <c r="BH34" i="5"/>
  <c r="BJ34" i="5" s="1"/>
  <c r="BF34" i="5"/>
  <c r="BD34" i="5"/>
  <c r="BC34" i="5"/>
  <c r="BE34" i="5" s="1"/>
  <c r="BA34" i="5"/>
  <c r="AZ34" i="5"/>
  <c r="AY34" i="5"/>
  <c r="AO34" i="5" s="1"/>
  <c r="AX34" i="5"/>
  <c r="AR34" i="5"/>
  <c r="AN34" i="5"/>
  <c r="AM34" i="5"/>
  <c r="AK34" i="5"/>
  <c r="AI34" i="5"/>
  <c r="AH34" i="5"/>
  <c r="AG34" i="5"/>
  <c r="AF34" i="5"/>
  <c r="Y34" i="5"/>
  <c r="X34" i="5"/>
  <c r="W34" i="5"/>
  <c r="CO34" i="5" s="1"/>
  <c r="T34" i="5"/>
  <c r="S34" i="5"/>
  <c r="CR34" i="5" s="1"/>
  <c r="CN33" i="5"/>
  <c r="CM33" i="5"/>
  <c r="CL33" i="5"/>
  <c r="CK33" i="5"/>
  <c r="CJ33" i="5"/>
  <c r="CI33" i="5"/>
  <c r="CD33" i="5"/>
  <c r="CC33" i="5"/>
  <c r="BX33" i="5"/>
  <c r="BW33" i="5"/>
  <c r="BT33" i="5"/>
  <c r="BM33" i="5"/>
  <c r="BK33" i="5"/>
  <c r="BH33" i="5"/>
  <c r="BJ33" i="5" s="1"/>
  <c r="BF33" i="5"/>
  <c r="BD33" i="5"/>
  <c r="BC33" i="5"/>
  <c r="BE33" i="5" s="1"/>
  <c r="BA33" i="5"/>
  <c r="AZ33" i="5"/>
  <c r="AY33" i="5"/>
  <c r="AO33" i="5" s="1"/>
  <c r="AX33" i="5"/>
  <c r="AR33" i="5"/>
  <c r="AQ33" i="5"/>
  <c r="AN33" i="5"/>
  <c r="AM33" i="5"/>
  <c r="AK33" i="5"/>
  <c r="AI33" i="5"/>
  <c r="AH33" i="5"/>
  <c r="AG33" i="5"/>
  <c r="AF33" i="5"/>
  <c r="Y33" i="5"/>
  <c r="X33" i="5"/>
  <c r="W33" i="5"/>
  <c r="CO33" i="5" s="1"/>
  <c r="T33" i="5"/>
  <c r="S33" i="5"/>
  <c r="CR33" i="5" s="1"/>
  <c r="C1" i="5"/>
  <c r="BB34" i="5" l="1"/>
  <c r="BB122" i="5"/>
  <c r="U7" i="4"/>
  <c r="S11" i="4"/>
  <c r="S16" i="4"/>
  <c r="Z180" i="4"/>
  <c r="Z172" i="4"/>
  <c r="Z168" i="4"/>
  <c r="Z164" i="4"/>
  <c r="Z156" i="4"/>
  <c r="Z152" i="4"/>
  <c r="Z148" i="4"/>
  <c r="Z140" i="4"/>
  <c r="Z136" i="4"/>
  <c r="Z132" i="4"/>
  <c r="Z124" i="4"/>
  <c r="Z120" i="4"/>
  <c r="Z116" i="4"/>
  <c r="Z108" i="4"/>
  <c r="Z104" i="4"/>
  <c r="Z100" i="4"/>
  <c r="W42" i="4"/>
  <c r="U14" i="4"/>
  <c r="U10" i="4"/>
  <c r="W10" i="4"/>
  <c r="W14" i="4"/>
  <c r="W78" i="4"/>
  <c r="U26" i="4"/>
  <c r="W50" i="4"/>
  <c r="U54" i="4"/>
  <c r="U43" i="4"/>
  <c r="U48" i="4"/>
  <c r="U84" i="4"/>
  <c r="W20" i="4"/>
  <c r="U72" i="4"/>
  <c r="U36" i="4"/>
  <c r="S80" i="4"/>
  <c r="W76" i="4"/>
  <c r="S32" i="4"/>
  <c r="W68" i="4"/>
  <c r="W40" i="4"/>
  <c r="W12" i="4"/>
  <c r="U68" i="4"/>
  <c r="U20" i="4"/>
  <c r="S56" i="4"/>
  <c r="W84" i="4"/>
  <c r="W56" i="4"/>
  <c r="W28" i="4"/>
  <c r="U40" i="4"/>
  <c r="S48" i="4"/>
  <c r="W23" i="4"/>
  <c r="W63" i="4"/>
  <c r="U19" i="4"/>
  <c r="S79" i="4"/>
  <c r="S31" i="4"/>
  <c r="W39" i="4"/>
  <c r="U31" i="4"/>
  <c r="BD112" i="5"/>
  <c r="W83" i="4"/>
  <c r="W71" i="4"/>
  <c r="W47" i="4"/>
  <c r="W35" i="4"/>
  <c r="U83" i="4"/>
  <c r="U63" i="4"/>
  <c r="U51" i="4"/>
  <c r="U27" i="4"/>
  <c r="U15" i="4"/>
  <c r="S91" i="4"/>
  <c r="S71" i="4"/>
  <c r="S23" i="4"/>
  <c r="W79" i="4"/>
  <c r="W55" i="4"/>
  <c r="W19" i="4"/>
  <c r="U75" i="4"/>
  <c r="U62" i="4"/>
  <c r="S88" i="4"/>
  <c r="S67" i="4"/>
  <c r="S43" i="4"/>
  <c r="W87" i="4"/>
  <c r="W67" i="4"/>
  <c r="W51" i="4"/>
  <c r="W15" i="4"/>
  <c r="U91" i="4"/>
  <c r="U47" i="4"/>
  <c r="U35" i="4"/>
  <c r="U11" i="4"/>
  <c r="S59" i="4"/>
  <c r="W92" i="4"/>
  <c r="W72" i="4"/>
  <c r="W52" i="4"/>
  <c r="W44" i="4"/>
  <c r="W36" i="4"/>
  <c r="W24" i="4"/>
  <c r="U80" i="4"/>
  <c r="U64" i="4"/>
  <c r="U16" i="4"/>
  <c r="S64" i="4"/>
  <c r="S24" i="4"/>
  <c r="W88" i="4"/>
  <c r="W60" i="4"/>
  <c r="U52" i="4"/>
  <c r="U32" i="4"/>
  <c r="W66" i="4"/>
  <c r="W58" i="4"/>
  <c r="W30" i="4"/>
  <c r="U78" i="4"/>
  <c r="U70" i="4"/>
  <c r="U42" i="4"/>
  <c r="W90" i="4"/>
  <c r="W62" i="4"/>
  <c r="W34" i="4"/>
  <c r="W26" i="4"/>
  <c r="U90" i="4"/>
  <c r="U74" i="4"/>
  <c r="U59" i="4"/>
  <c r="U46" i="4"/>
  <c r="U38" i="4"/>
  <c r="S87" i="4"/>
  <c r="S75" i="4"/>
  <c r="S55" i="4"/>
  <c r="S27" i="4"/>
  <c r="W82" i="4"/>
  <c r="W74" i="4"/>
  <c r="W46" i="4"/>
  <c r="W18" i="4"/>
  <c r="U58" i="4"/>
  <c r="U30" i="4"/>
  <c r="U22" i="4"/>
  <c r="S39" i="4"/>
  <c r="V169" i="4"/>
  <c r="V139" i="4"/>
  <c r="W94" i="4"/>
  <c r="V161" i="4"/>
  <c r="V127" i="4"/>
  <c r="U94" i="4"/>
  <c r="U86" i="4"/>
  <c r="V154" i="4"/>
  <c r="V106" i="4"/>
  <c r="V97" i="4"/>
  <c r="V102" i="4"/>
  <c r="V107" i="4"/>
  <c r="V113" i="4"/>
  <c r="V118" i="4"/>
  <c r="V123" i="4"/>
  <c r="V129" i="4"/>
  <c r="V98" i="4"/>
  <c r="V103" i="4"/>
  <c r="V109" i="4"/>
  <c r="V114" i="4"/>
  <c r="V119" i="4"/>
  <c r="V125" i="4"/>
  <c r="V130" i="4"/>
  <c r="V135" i="4"/>
  <c r="V141" i="4"/>
  <c r="V146" i="4"/>
  <c r="V151" i="4"/>
  <c r="V157" i="4"/>
  <c r="V162" i="4"/>
  <c r="V167" i="4"/>
  <c r="V173" i="4"/>
  <c r="V178" i="4"/>
  <c r="V99" i="4"/>
  <c r="V105" i="4"/>
  <c r="V110" i="4"/>
  <c r="V115" i="4"/>
  <c r="V121" i="4"/>
  <c r="V126" i="4"/>
  <c r="V131" i="4"/>
  <c r="V137" i="4"/>
  <c r="V111" i="4"/>
  <c r="V133" i="4"/>
  <c r="V142" i="4"/>
  <c r="V149" i="4"/>
  <c r="V155" i="4"/>
  <c r="V163" i="4"/>
  <c r="V170" i="4"/>
  <c r="V177" i="4"/>
  <c r="Z97" i="4"/>
  <c r="Z101" i="4"/>
  <c r="Z105" i="4"/>
  <c r="Z109" i="4"/>
  <c r="Z113" i="4"/>
  <c r="Z117" i="4"/>
  <c r="Z121" i="4"/>
  <c r="Z125" i="4"/>
  <c r="Z129" i="4"/>
  <c r="Z133" i="4"/>
  <c r="Z137" i="4"/>
  <c r="Z141" i="4"/>
  <c r="Z145" i="4"/>
  <c r="Z149" i="4"/>
  <c r="Z153" i="4"/>
  <c r="Z157" i="4"/>
  <c r="Z161" i="4"/>
  <c r="Z165" i="4"/>
  <c r="Z169" i="4"/>
  <c r="Z173" i="4"/>
  <c r="Z177" i="4"/>
  <c r="Z181" i="4"/>
  <c r="V95" i="4"/>
  <c r="V117" i="4"/>
  <c r="V134" i="4"/>
  <c r="V143" i="4"/>
  <c r="V150" i="4"/>
  <c r="V158" i="4"/>
  <c r="V165" i="4"/>
  <c r="V171" i="4"/>
  <c r="V179" i="4"/>
  <c r="Z98" i="4"/>
  <c r="Z102" i="4"/>
  <c r="Z106" i="4"/>
  <c r="Z110" i="4"/>
  <c r="Z114" i="4"/>
  <c r="Z118" i="4"/>
  <c r="Z122" i="4"/>
  <c r="Z126" i="4"/>
  <c r="Z130" i="4"/>
  <c r="Z134" i="4"/>
  <c r="Z138" i="4"/>
  <c r="Z142" i="4"/>
  <c r="Z146" i="4"/>
  <c r="Z150" i="4"/>
  <c r="Z154" i="4"/>
  <c r="Z158" i="4"/>
  <c r="Z162" i="4"/>
  <c r="Z166" i="4"/>
  <c r="Z170" i="4"/>
  <c r="Z174" i="4"/>
  <c r="Z178" i="4"/>
  <c r="V101" i="4"/>
  <c r="V122" i="4"/>
  <c r="V138" i="4"/>
  <c r="V145" i="4"/>
  <c r="V153" i="4"/>
  <c r="V159" i="4"/>
  <c r="V166" i="4"/>
  <c r="V174" i="4"/>
  <c r="V181" i="4"/>
  <c r="Z95" i="4"/>
  <c r="Z99" i="4"/>
  <c r="Z103" i="4"/>
  <c r="Z107" i="4"/>
  <c r="Z111" i="4"/>
  <c r="Z115" i="4"/>
  <c r="Z119" i="4"/>
  <c r="Z123" i="4"/>
  <c r="Z127" i="4"/>
  <c r="Z131" i="4"/>
  <c r="Z135" i="4"/>
  <c r="Z139" i="4"/>
  <c r="Z143" i="4"/>
  <c r="Z147" i="4"/>
  <c r="Z151" i="4"/>
  <c r="Z155" i="4"/>
  <c r="Z159" i="4"/>
  <c r="Z163" i="4"/>
  <c r="Z167" i="4"/>
  <c r="Z171" i="4"/>
  <c r="Z175" i="4"/>
  <c r="Z179" i="4"/>
  <c r="Z176" i="4"/>
  <c r="Z160" i="4"/>
  <c r="Z144" i="4"/>
  <c r="Z128" i="4"/>
  <c r="Z112" i="4"/>
  <c r="Z96" i="4"/>
  <c r="V175" i="4"/>
  <c r="V147" i="4"/>
  <c r="V180" i="4"/>
  <c r="V176" i="4"/>
  <c r="V172" i="4"/>
  <c r="V168" i="4"/>
  <c r="V164" i="4"/>
  <c r="V160" i="4"/>
  <c r="V156" i="4"/>
  <c r="V152" i="4"/>
  <c r="V148" i="4"/>
  <c r="V144" i="4"/>
  <c r="V140" i="4"/>
  <c r="V136" i="4"/>
  <c r="V132" i="4"/>
  <c r="V128" i="4"/>
  <c r="V124" i="4"/>
  <c r="V120" i="4"/>
  <c r="V116" i="4"/>
  <c r="V112" i="4"/>
  <c r="V108" i="4"/>
  <c r="V104" i="4"/>
  <c r="V100" i="4"/>
  <c r="V96" i="4"/>
  <c r="W86" i="4"/>
  <c r="W70" i="4"/>
  <c r="W54" i="4"/>
  <c r="W38" i="4"/>
  <c r="W22" i="4"/>
  <c r="U92" i="4"/>
  <c r="U82" i="4"/>
  <c r="U76" i="4"/>
  <c r="U66" i="4"/>
  <c r="U60" i="4"/>
  <c r="U50" i="4"/>
  <c r="U44" i="4"/>
  <c r="U34" i="4"/>
  <c r="U28" i="4"/>
  <c r="U18" i="4"/>
  <c r="U12" i="4"/>
  <c r="Z79" i="4"/>
  <c r="Z58" i="4"/>
  <c r="Z36" i="4"/>
  <c r="Z15" i="4"/>
  <c r="V83" i="4"/>
  <c r="V40" i="4"/>
  <c r="V93" i="4"/>
  <c r="Z93" i="4"/>
  <c r="V89" i="4"/>
  <c r="Z89" i="4"/>
  <c r="V85" i="4"/>
  <c r="Z85" i="4"/>
  <c r="V81" i="4"/>
  <c r="Z81" i="4"/>
  <c r="V77" i="4"/>
  <c r="Z77" i="4"/>
  <c r="V73" i="4"/>
  <c r="Z73" i="4"/>
  <c r="V69" i="4"/>
  <c r="Z69" i="4"/>
  <c r="V65" i="4"/>
  <c r="Z65" i="4"/>
  <c r="V61" i="4"/>
  <c r="Z61" i="4"/>
  <c r="V57" i="4"/>
  <c r="Z57" i="4"/>
  <c r="V53" i="4"/>
  <c r="Z53" i="4"/>
  <c r="V49" i="4"/>
  <c r="Z49" i="4"/>
  <c r="V45" i="4"/>
  <c r="Z45" i="4"/>
  <c r="V41" i="4"/>
  <c r="Z41" i="4"/>
  <c r="V37" i="4"/>
  <c r="Z37" i="4"/>
  <c r="V33" i="4"/>
  <c r="Z33" i="4"/>
  <c r="V29" i="4"/>
  <c r="Z29" i="4"/>
  <c r="V25" i="4"/>
  <c r="Z25" i="4"/>
  <c r="V21" i="4"/>
  <c r="Z21" i="4"/>
  <c r="V17" i="4"/>
  <c r="Z17" i="4"/>
  <c r="V13" i="4"/>
  <c r="Z13" i="4"/>
  <c r="V9" i="4"/>
  <c r="Z9" i="4"/>
  <c r="S93" i="4"/>
  <c r="W93" i="4"/>
  <c r="U93" i="4"/>
  <c r="S89" i="4"/>
  <c r="W89" i="4"/>
  <c r="U89" i="4"/>
  <c r="S85" i="4"/>
  <c r="W85" i="4"/>
  <c r="U85" i="4"/>
  <c r="S81" i="4"/>
  <c r="W81" i="4"/>
  <c r="U81" i="4"/>
  <c r="S77" i="4"/>
  <c r="W77" i="4"/>
  <c r="U77" i="4"/>
  <c r="S73" i="4"/>
  <c r="W73" i="4"/>
  <c r="U73" i="4"/>
  <c r="S69" i="4"/>
  <c r="W69" i="4"/>
  <c r="U69" i="4"/>
  <c r="S65" i="4"/>
  <c r="W65" i="4"/>
  <c r="U65" i="4"/>
  <c r="S61" i="4"/>
  <c r="W61" i="4"/>
  <c r="U61" i="4"/>
  <c r="S57" i="4"/>
  <c r="W57" i="4"/>
  <c r="U57" i="4"/>
  <c r="S53" i="4"/>
  <c r="W53" i="4"/>
  <c r="U53" i="4"/>
  <c r="S49" i="4"/>
  <c r="W49" i="4"/>
  <c r="U49" i="4"/>
  <c r="S45" i="4"/>
  <c r="W45" i="4"/>
  <c r="U45" i="4"/>
  <c r="S41" i="4"/>
  <c r="W41" i="4"/>
  <c r="U41" i="4"/>
  <c r="S37" i="4"/>
  <c r="W37" i="4"/>
  <c r="U37" i="4"/>
  <c r="S33" i="4"/>
  <c r="W33" i="4"/>
  <c r="U33" i="4"/>
  <c r="S29" i="4"/>
  <c r="W29" i="4"/>
  <c r="U29" i="4"/>
  <c r="S25" i="4"/>
  <c r="W25" i="4"/>
  <c r="U25" i="4"/>
  <c r="S21" i="4"/>
  <c r="W21" i="4"/>
  <c r="U21" i="4"/>
  <c r="S17" i="4"/>
  <c r="W17" i="4"/>
  <c r="U17" i="4"/>
  <c r="S13" i="4"/>
  <c r="W13" i="4"/>
  <c r="U13" i="4"/>
  <c r="S9" i="4"/>
  <c r="W9" i="4"/>
  <c r="U9" i="4"/>
  <c r="Z74" i="4"/>
  <c r="Z52" i="4"/>
  <c r="Z31" i="4"/>
  <c r="Z10" i="4"/>
  <c r="V72" i="4"/>
  <c r="V30" i="4"/>
  <c r="Z90" i="4"/>
  <c r="Z68" i="4"/>
  <c r="Z47" i="4"/>
  <c r="Z26" i="4"/>
  <c r="V62" i="4"/>
  <c r="V19" i="4"/>
  <c r="V10" i="4"/>
  <c r="V15" i="4"/>
  <c r="V20" i="4"/>
  <c r="V26" i="4"/>
  <c r="V31" i="4"/>
  <c r="V36" i="4"/>
  <c r="V42" i="4"/>
  <c r="V47" i="4"/>
  <c r="V52" i="4"/>
  <c r="V58" i="4"/>
  <c r="V63" i="4"/>
  <c r="V68" i="4"/>
  <c r="V79" i="4"/>
  <c r="V84" i="4"/>
  <c r="V88" i="4"/>
  <c r="V92" i="4"/>
  <c r="V11" i="4"/>
  <c r="V16" i="4"/>
  <c r="V27" i="4"/>
  <c r="V32" i="4"/>
  <c r="V43" i="4"/>
  <c r="V48" i="4"/>
  <c r="V59" i="4"/>
  <c r="V64" i="4"/>
  <c r="V75" i="4"/>
  <c r="V80" i="4"/>
  <c r="V12" i="4"/>
  <c r="V23" i="4"/>
  <c r="V34" i="4"/>
  <c r="V44" i="4"/>
  <c r="V55" i="4"/>
  <c r="V66" i="4"/>
  <c r="V76" i="4"/>
  <c r="V86" i="4"/>
  <c r="V94" i="4"/>
  <c r="Z11" i="4"/>
  <c r="Z16" i="4"/>
  <c r="Z22" i="4"/>
  <c r="Z27" i="4"/>
  <c r="Z32" i="4"/>
  <c r="Z38" i="4"/>
  <c r="Z43" i="4"/>
  <c r="Z48" i="4"/>
  <c r="Z54" i="4"/>
  <c r="Z59" i="4"/>
  <c r="Z64" i="4"/>
  <c r="Z70" i="4"/>
  <c r="Z75" i="4"/>
  <c r="Z80" i="4"/>
  <c r="Z86" i="4"/>
  <c r="Z91" i="4"/>
  <c r="V14" i="4"/>
  <c r="V24" i="4"/>
  <c r="V35" i="4"/>
  <c r="V46" i="4"/>
  <c r="V56" i="4"/>
  <c r="V67" i="4"/>
  <c r="V78" i="4"/>
  <c r="V87" i="4"/>
  <c r="Z12" i="4"/>
  <c r="Z18" i="4"/>
  <c r="Z23" i="4"/>
  <c r="Z28" i="4"/>
  <c r="Z34" i="4"/>
  <c r="Z39" i="4"/>
  <c r="Z44" i="4"/>
  <c r="Z50" i="4"/>
  <c r="Z55" i="4"/>
  <c r="Z60" i="4"/>
  <c r="Z66" i="4"/>
  <c r="Z71" i="4"/>
  <c r="Z76" i="4"/>
  <c r="Z82" i="4"/>
  <c r="Z87" i="4"/>
  <c r="Z92" i="4"/>
  <c r="V18" i="4"/>
  <c r="V28" i="4"/>
  <c r="V39" i="4"/>
  <c r="V50" i="4"/>
  <c r="V60" i="4"/>
  <c r="V71" i="4"/>
  <c r="V82" i="4"/>
  <c r="V90" i="4"/>
  <c r="Z14" i="4"/>
  <c r="Z19" i="4"/>
  <c r="Z24" i="4"/>
  <c r="Z30" i="4"/>
  <c r="Z35" i="4"/>
  <c r="Z40" i="4"/>
  <c r="Z46" i="4"/>
  <c r="Z51" i="4"/>
  <c r="Z56" i="4"/>
  <c r="Z62" i="4"/>
  <c r="Z67" i="4"/>
  <c r="Z72" i="4"/>
  <c r="Z78" i="4"/>
  <c r="Z83" i="4"/>
  <c r="Z88" i="4"/>
  <c r="Z94" i="4"/>
  <c r="Z84" i="4"/>
  <c r="Z63" i="4"/>
  <c r="Z42" i="4"/>
  <c r="Z20" i="4"/>
  <c r="V91" i="4"/>
  <c r="V51" i="4"/>
  <c r="V74" i="4"/>
  <c r="V70" i="4"/>
  <c r="V54" i="4"/>
  <c r="V38" i="4"/>
  <c r="V22" i="4"/>
  <c r="W7" i="4"/>
  <c r="AE36" i="5"/>
  <c r="CA106" i="5"/>
  <c r="S8" i="4"/>
  <c r="BF83" i="5"/>
  <c r="BF78" i="5"/>
  <c r="BF84" i="5"/>
  <c r="BF89" i="5"/>
  <c r="BF87" i="5"/>
  <c r="BF109" i="5"/>
  <c r="BF113" i="5"/>
  <c r="BF114" i="5"/>
  <c r="W8" i="4"/>
  <c r="BA78" i="5"/>
  <c r="BF85" i="5"/>
  <c r="BD42" i="5"/>
  <c r="BE84" i="5"/>
  <c r="CG33" i="5" a="1"/>
  <c r="CG33" i="5" s="1"/>
  <c r="BA45" i="5"/>
  <c r="BE49" i="5"/>
  <c r="BA61" i="5"/>
  <c r="BD83" i="5"/>
  <c r="BF88" i="5"/>
  <c r="BA92" i="5"/>
  <c r="BF92" i="5"/>
  <c r="BA88" i="5"/>
  <c r="BA83" i="5"/>
  <c r="BE87" i="5"/>
  <c r="BE62" i="5"/>
  <c r="BA102" i="5"/>
  <c r="BF105" i="5"/>
  <c r="BE105" i="5"/>
  <c r="BD108" i="5"/>
  <c r="BD78" i="5"/>
  <c r="BD87" i="5"/>
  <c r="BA87" i="5"/>
  <c r="BE109" i="5"/>
  <c r="BE119" i="5"/>
  <c r="BA95" i="5"/>
  <c r="BA96" i="5"/>
  <c r="BA105" i="5"/>
  <c r="BF106" i="5"/>
  <c r="BE106" i="5"/>
  <c r="BA109" i="5"/>
  <c r="BA110" i="5"/>
  <c r="BF110" i="5"/>
  <c r="BA91" i="5"/>
  <c r="BF93" i="5"/>
  <c r="BA97" i="5"/>
  <c r="BA114" i="5"/>
  <c r="BD114" i="5"/>
  <c r="CG121" i="5" a="1"/>
  <c r="CG121" i="5" s="1"/>
  <c r="AE33" i="5"/>
  <c r="CG34" i="5" a="1"/>
  <c r="CG34" i="5" s="1"/>
  <c r="AE37" i="5"/>
  <c r="BZ37" i="5"/>
  <c r="AE122" i="5"/>
  <c r="AE118" i="5"/>
  <c r="AE121" i="5"/>
  <c r="AE117" i="5"/>
  <c r="AE113" i="5"/>
  <c r="AE120" i="5"/>
  <c r="AE116" i="5"/>
  <c r="AE112" i="5"/>
  <c r="AE119" i="5"/>
  <c r="AE111" i="5"/>
  <c r="AE107" i="5"/>
  <c r="AE110" i="5"/>
  <c r="AE115" i="5"/>
  <c r="AE109" i="5"/>
  <c r="AE114" i="5"/>
  <c r="AE108" i="5"/>
  <c r="AE106" i="5"/>
  <c r="AE101" i="5"/>
  <c r="AE97" i="5"/>
  <c r="AE105" i="5"/>
  <c r="AE100" i="5"/>
  <c r="AE96" i="5"/>
  <c r="AE104" i="5"/>
  <c r="AE103" i="5"/>
  <c r="AE99" i="5"/>
  <c r="AE102" i="5"/>
  <c r="AE98" i="5"/>
  <c r="AE94" i="5"/>
  <c r="AE90" i="5"/>
  <c r="AE86" i="5"/>
  <c r="AE82" i="5"/>
  <c r="AE93" i="5"/>
  <c r="AE89" i="5"/>
  <c r="AE85" i="5"/>
  <c r="AE81" i="5"/>
  <c r="AE92" i="5"/>
  <c r="AE88" i="5"/>
  <c r="AE84" i="5"/>
  <c r="AE95" i="5"/>
  <c r="AE91" i="5"/>
  <c r="AE87" i="5"/>
  <c r="AE79" i="5"/>
  <c r="AE75" i="5"/>
  <c r="AE71" i="5"/>
  <c r="AE67" i="5"/>
  <c r="AE78" i="5"/>
  <c r="AE74" i="5"/>
  <c r="AE70" i="5"/>
  <c r="AE83" i="5"/>
  <c r="AE77" i="5"/>
  <c r="AE73" i="5"/>
  <c r="AE69" i="5"/>
  <c r="AE65" i="5"/>
  <c r="AE80" i="5"/>
  <c r="AE76" i="5"/>
  <c r="AE72" i="5"/>
  <c r="AE68" i="5"/>
  <c r="AE66" i="5"/>
  <c r="AE61" i="5"/>
  <c r="AE57" i="5"/>
  <c r="AE53" i="5"/>
  <c r="AE49" i="5"/>
  <c r="AE63" i="5"/>
  <c r="AE60" i="5"/>
  <c r="AE56" i="5"/>
  <c r="AE52" i="5"/>
  <c r="AE48" i="5"/>
  <c r="AE44" i="5"/>
  <c r="AE59" i="5"/>
  <c r="AE55" i="5"/>
  <c r="AE51" i="5"/>
  <c r="AE47" i="5"/>
  <c r="AE43" i="5"/>
  <c r="AE64" i="5"/>
  <c r="AE62" i="5"/>
  <c r="AE58" i="5"/>
  <c r="AE54" i="5"/>
  <c r="BB33" i="5"/>
  <c r="AE34" i="5"/>
  <c r="CR35" i="5"/>
  <c r="AE38" i="5"/>
  <c r="BZ38" i="5"/>
  <c r="CR39" i="5"/>
  <c r="BF41" i="5"/>
  <c r="AE42" i="5"/>
  <c r="BA42" i="5"/>
  <c r="BE42" i="5"/>
  <c r="BF43" i="5"/>
  <c r="AE45" i="5"/>
  <c r="BA46" i="5"/>
  <c r="BZ49" i="5"/>
  <c r="AE50" i="5"/>
  <c r="BS33" i="5"/>
  <c r="AE35" i="5"/>
  <c r="BZ35" i="5"/>
  <c r="AN38" i="5"/>
  <c r="AE39" i="5"/>
  <c r="BF42" i="5"/>
  <c r="CR42" i="5"/>
  <c r="CA43" i="5"/>
  <c r="AN44" i="5"/>
  <c r="AE46" i="5"/>
  <c r="AE40" i="5"/>
  <c r="BD41" i="5"/>
  <c r="CR44" i="5"/>
  <c r="CR48" i="5"/>
  <c r="AN48" i="5"/>
  <c r="CA49" i="5"/>
  <c r="AE41" i="5"/>
  <c r="BD43" i="5"/>
  <c r="BZ46" i="5"/>
  <c r="CA53" i="5"/>
  <c r="CA57" i="5"/>
  <c r="CR68" i="5"/>
  <c r="AN68" i="5"/>
  <c r="BE47" i="5"/>
  <c r="BZ47" i="5"/>
  <c r="BE51" i="5"/>
  <c r="BE55" i="5"/>
  <c r="BE59" i="5"/>
  <c r="BZ59" i="5"/>
  <c r="AN62" i="5"/>
  <c r="CA62" i="5"/>
  <c r="CA65" i="5"/>
  <c r="BE68" i="5"/>
  <c r="BE52" i="5"/>
  <c r="BZ52" i="5"/>
  <c r="BE56" i="5"/>
  <c r="BZ56" i="5"/>
  <c r="BE60" i="5"/>
  <c r="BZ60" i="5"/>
  <c r="BE64" i="5"/>
  <c r="AN66" i="5"/>
  <c r="CA63" i="5"/>
  <c r="CR66" i="5"/>
  <c r="CA67" i="5"/>
  <c r="CA71" i="5"/>
  <c r="BE72" i="5"/>
  <c r="BE76" i="5"/>
  <c r="CR77" i="5"/>
  <c r="BF79" i="5"/>
  <c r="BF80" i="5"/>
  <c r="BA81" i="5"/>
  <c r="BF81" i="5"/>
  <c r="CR81" i="5"/>
  <c r="CR82" i="5"/>
  <c r="CA83" i="5"/>
  <c r="BZ83" i="5"/>
  <c r="BZ69" i="5"/>
  <c r="AN72" i="5"/>
  <c r="BZ73" i="5"/>
  <c r="AN76" i="5"/>
  <c r="BZ77" i="5"/>
  <c r="BD80" i="5"/>
  <c r="BE82" i="5"/>
  <c r="BD82" i="5"/>
  <c r="CA77" i="5"/>
  <c r="BD79" i="5"/>
  <c r="AN82" i="5"/>
  <c r="BF82" i="5"/>
  <c r="BD81" i="5"/>
  <c r="BZ82" i="5"/>
  <c r="BD84" i="5"/>
  <c r="AN86" i="5"/>
  <c r="BF86" i="5"/>
  <c r="CA86" i="5"/>
  <c r="BD88" i="5"/>
  <c r="AN90" i="5"/>
  <c r="BD92" i="5"/>
  <c r="AN94" i="5"/>
  <c r="BD85" i="5"/>
  <c r="CA87" i="5"/>
  <c r="BD89" i="5"/>
  <c r="BD93" i="5"/>
  <c r="BZ81" i="5"/>
  <c r="BA85" i="5"/>
  <c r="BE85" i="5"/>
  <c r="BZ85" i="5"/>
  <c r="BD86" i="5"/>
  <c r="BA89" i="5"/>
  <c r="BE89" i="5"/>
  <c r="BZ89" i="5"/>
  <c r="BA93" i="5"/>
  <c r="BE93" i="5"/>
  <c r="BZ93" i="5"/>
  <c r="BZ95" i="5"/>
  <c r="AN96" i="5"/>
  <c r="CR96" i="5"/>
  <c r="CR104" i="5"/>
  <c r="BA107" i="5"/>
  <c r="CA98" i="5"/>
  <c r="BA99" i="5"/>
  <c r="BZ99" i="5"/>
  <c r="CA102" i="5"/>
  <c r="BA103" i="5"/>
  <c r="BZ103" i="5"/>
  <c r="AN104" i="5"/>
  <c r="BD105" i="5"/>
  <c r="BZ105" i="5"/>
  <c r="CR106" i="5"/>
  <c r="BD106" i="5"/>
  <c r="BA106" i="5"/>
  <c r="BD107" i="5"/>
  <c r="CA105" i="5"/>
  <c r="AN107" i="5"/>
  <c r="BF107" i="5"/>
  <c r="CA107" i="5"/>
  <c r="BE108" i="5"/>
  <c r="BD109" i="5"/>
  <c r="BF111" i="5"/>
  <c r="CA111" i="5"/>
  <c r="BF108" i="5"/>
  <c r="CA108" i="5"/>
  <c r="BZ109" i="5"/>
  <c r="BD110" i="5"/>
  <c r="BA112" i="5"/>
  <c r="BF112" i="5"/>
  <c r="BE112" i="5"/>
  <c r="BZ113" i="5"/>
  <c r="BD111" i="5"/>
  <c r="AN112" i="5"/>
  <c r="CR113" i="5"/>
  <c r="BE113" i="5"/>
  <c r="BD113" i="5"/>
  <c r="CA113" i="5"/>
  <c r="CR116" i="5"/>
  <c r="CA118" i="5"/>
  <c r="BE116" i="5"/>
  <c r="CA119" i="5"/>
  <c r="Y122" i="5"/>
  <c r="CG122" i="5" a="1"/>
  <c r="CG122" i="5" s="1"/>
  <c r="CR122" i="5"/>
  <c r="BE117" i="5"/>
  <c r="BH122" i="5"/>
  <c r="BJ122" i="5" s="1"/>
  <c r="C2" i="5"/>
  <c r="BZ33" i="5" l="1"/>
  <c r="CP33" i="5" l="1"/>
  <c r="CP121" i="5"/>
  <c r="CP117" i="5"/>
  <c r="CP120" i="5"/>
  <c r="CP118" i="5"/>
  <c r="CP115" i="5"/>
  <c r="CP114" i="5"/>
  <c r="CP113" i="5"/>
  <c r="CP111" i="5"/>
  <c r="CP107" i="5"/>
  <c r="CP97" i="5"/>
  <c r="CP122" i="5"/>
  <c r="CP103" i="5"/>
  <c r="CP101" i="5"/>
  <c r="CP96" i="5"/>
  <c r="CP94" i="5"/>
  <c r="CP108" i="5"/>
  <c r="CP105" i="5"/>
  <c r="CP104" i="5"/>
  <c r="CP100" i="5"/>
  <c r="CP95" i="5"/>
  <c r="CP93" i="5"/>
  <c r="CP92" i="5"/>
  <c r="CP86" i="5"/>
  <c r="CP80" i="5"/>
  <c r="CP79" i="5"/>
  <c r="CP119" i="5"/>
  <c r="CP112" i="5"/>
  <c r="CP110" i="5"/>
  <c r="CP109" i="5"/>
  <c r="CP116" i="5"/>
  <c r="CP106" i="5"/>
  <c r="CP102" i="5"/>
  <c r="CP90" i="5"/>
  <c r="CP89" i="5"/>
  <c r="CP77" i="5"/>
  <c r="CP71" i="5"/>
  <c r="CP69" i="5"/>
  <c r="CP60" i="5"/>
  <c r="CP58" i="5"/>
  <c r="CP99" i="5"/>
  <c r="CP98" i="5"/>
  <c r="CP91" i="5"/>
  <c r="CP88" i="5"/>
  <c r="CP83" i="5"/>
  <c r="CP82" i="5"/>
  <c r="CP67" i="5"/>
  <c r="CP65" i="5"/>
  <c r="CP64" i="5"/>
  <c r="CP62" i="5"/>
  <c r="CP87" i="5"/>
  <c r="CP81" i="5"/>
  <c r="CP78" i="5"/>
  <c r="CP72" i="5"/>
  <c r="CP85" i="5"/>
  <c r="CP84" i="5"/>
  <c r="CP76" i="5"/>
  <c r="CP75" i="5"/>
  <c r="CP74" i="5"/>
  <c r="CP73" i="5"/>
  <c r="CP70" i="5"/>
  <c r="CP68" i="5"/>
  <c r="CP66" i="5"/>
  <c r="CP63" i="5"/>
  <c r="CP61" i="5"/>
  <c r="CP59" i="5"/>
  <c r="CP54" i="5"/>
  <c r="CP51" i="5"/>
  <c r="CP50" i="5"/>
  <c r="CP47" i="5"/>
  <c r="CP43" i="5"/>
  <c r="CP56" i="5"/>
  <c r="CP52" i="5"/>
  <c r="CP46" i="5"/>
  <c r="CP44" i="5"/>
  <c r="CP39" i="5"/>
  <c r="CP38" i="5"/>
  <c r="CP35" i="5"/>
  <c r="CP55" i="5"/>
  <c r="CP53" i="5"/>
  <c r="CP49" i="5"/>
  <c r="CP45" i="5"/>
  <c r="CP41" i="5"/>
  <c r="CP36" i="5"/>
  <c r="CP34" i="5"/>
  <c r="CP57" i="5"/>
  <c r="CP48" i="5"/>
  <c r="CP42" i="5"/>
  <c r="CP40" i="5"/>
  <c r="CP37" i="5"/>
  <c r="AH181" i="4" l="1"/>
  <c r="AH8" i="4" l="1"/>
  <c r="AH7" i="4"/>
  <c r="AI7" i="4" s="1"/>
  <c r="CA46" i="5" l="1"/>
  <c r="CA36" i="5"/>
  <c r="CA34" i="5"/>
  <c r="CA48" i="5"/>
  <c r="CA45" i="5"/>
  <c r="CA39" i="5"/>
  <c r="CA37" i="5"/>
  <c r="CA44" i="5"/>
  <c r="CA40" i="5"/>
  <c r="CA35" i="5"/>
  <c r="CA38" i="5"/>
  <c r="CA122" i="5"/>
  <c r="CA121" i="5"/>
  <c r="CA33" i="5"/>
  <c r="BN34" i="5" l="1"/>
  <c r="BN33" i="5"/>
  <c r="BN122" i="5"/>
  <c r="AV121" i="5"/>
  <c r="AW121" i="5" s="1"/>
  <c r="AT121" i="5" s="1"/>
  <c r="AV33" i="5"/>
  <c r="AW33" i="5" s="1"/>
  <c r="AT33" i="5" s="1"/>
  <c r="AV34" i="5"/>
  <c r="AW34" i="5" s="1"/>
  <c r="AT34" i="5" s="1"/>
  <c r="AV122" i="5"/>
  <c r="AW122" i="5" s="1"/>
  <c r="AT122" i="5" s="1"/>
  <c r="CD120" i="5" l="1"/>
  <c r="BN120" i="5"/>
  <c r="CD113" i="5"/>
  <c r="BN113" i="5"/>
  <c r="BN80" i="5"/>
  <c r="CD80" i="5"/>
  <c r="BN111" i="5"/>
  <c r="CD111" i="5"/>
  <c r="CD85" i="5"/>
  <c r="BN85" i="5"/>
  <c r="CD86" i="5"/>
  <c r="BN86" i="5"/>
  <c r="BN83" i="5"/>
  <c r="CD83" i="5"/>
  <c r="BN75" i="5"/>
  <c r="CD75" i="5"/>
  <c r="CD73" i="5"/>
  <c r="BN73" i="5"/>
  <c r="BN70" i="5"/>
  <c r="CD70" i="5"/>
  <c r="CD41" i="5"/>
  <c r="BN41" i="5"/>
  <c r="BN36" i="5"/>
  <c r="CD36" i="5"/>
  <c r="BN45" i="5"/>
  <c r="CD45" i="5"/>
  <c r="BN48" i="5"/>
  <c r="CD48" i="5"/>
  <c r="CD90" i="5"/>
  <c r="BN90" i="5"/>
  <c r="BN58" i="5"/>
  <c r="CD58" i="5"/>
  <c r="BN55" i="5"/>
  <c r="CD55" i="5"/>
  <c r="CD69" i="5"/>
  <c r="BN69" i="5"/>
  <c r="CD56" i="5"/>
  <c r="BN56" i="5"/>
  <c r="BN53" i="5"/>
  <c r="CD53" i="5"/>
  <c r="BN67" i="5"/>
  <c r="CD67" i="5"/>
  <c r="CD62" i="5"/>
  <c r="BN62" i="5"/>
  <c r="CD54" i="5"/>
  <c r="BN54" i="5"/>
  <c r="BN50" i="5"/>
  <c r="CD50" i="5"/>
  <c r="CD35" i="5"/>
  <c r="BN35" i="5"/>
  <c r="BN101" i="5"/>
  <c r="CD101" i="5"/>
  <c r="BN61" i="5"/>
  <c r="CD61" i="5"/>
  <c r="BN46" i="5"/>
  <c r="CD46" i="5"/>
  <c r="BN118" i="5"/>
  <c r="CD118" i="5"/>
  <c r="BN116" i="5"/>
  <c r="CD116" i="5"/>
  <c r="CD115" i="5"/>
  <c r="BN115" i="5"/>
  <c r="BN79" i="5"/>
  <c r="CD79" i="5"/>
  <c r="BN81" i="5"/>
  <c r="CD81" i="5"/>
  <c r="BN109" i="5"/>
  <c r="CD109" i="5"/>
  <c r="CD107" i="5"/>
  <c r="BN107" i="5"/>
  <c r="CD92" i="5"/>
  <c r="BN92" i="5"/>
  <c r="BN38" i="5"/>
  <c r="CD38" i="5"/>
  <c r="CD40" i="5"/>
  <c r="BN40" i="5"/>
  <c r="CD96" i="5"/>
  <c r="BN96" i="5"/>
  <c r="BN98" i="5"/>
  <c r="CD98" i="5"/>
  <c r="BN100" i="5"/>
  <c r="CD100" i="5"/>
  <c r="BN102" i="5"/>
  <c r="CD102" i="5"/>
  <c r="BN104" i="5"/>
  <c r="CD104" i="5"/>
  <c r="CD66" i="5"/>
  <c r="BN66" i="5"/>
  <c r="BN65" i="5"/>
  <c r="CD65" i="5"/>
  <c r="BN64" i="5"/>
  <c r="CD64" i="5"/>
  <c r="BN51" i="5"/>
  <c r="CD51" i="5"/>
  <c r="BN114" i="5"/>
  <c r="CD114" i="5"/>
  <c r="CD78" i="5"/>
  <c r="BN78" i="5"/>
  <c r="CD108" i="5"/>
  <c r="BN108" i="5"/>
  <c r="BN84" i="5"/>
  <c r="CD84" i="5"/>
  <c r="CD89" i="5"/>
  <c r="BN89" i="5"/>
  <c r="BN87" i="5"/>
  <c r="CD87" i="5"/>
  <c r="CD77" i="5"/>
  <c r="BN77" i="5"/>
  <c r="BN76" i="5"/>
  <c r="CD76" i="5"/>
  <c r="BN74" i="5"/>
  <c r="CD74" i="5"/>
  <c r="BN72" i="5"/>
  <c r="CD72" i="5"/>
  <c r="BN42" i="5"/>
  <c r="CD42" i="5"/>
  <c r="BN39" i="5"/>
  <c r="CD39" i="5"/>
  <c r="BN44" i="5"/>
  <c r="CD44" i="5"/>
  <c r="BN91" i="5"/>
  <c r="CD91" i="5"/>
  <c r="BN97" i="5"/>
  <c r="CD97" i="5"/>
  <c r="BN103" i="5"/>
  <c r="CD103" i="5"/>
  <c r="CD59" i="5"/>
  <c r="BN59" i="5"/>
  <c r="BN68" i="5"/>
  <c r="CD68" i="5"/>
  <c r="BN60" i="5"/>
  <c r="CD60" i="5"/>
  <c r="BN49" i="5"/>
  <c r="CD49" i="5"/>
  <c r="CD95" i="5"/>
  <c r="BN95" i="5"/>
  <c r="BN47" i="5"/>
  <c r="CD47" i="5"/>
  <c r="BN119" i="5"/>
  <c r="CD119" i="5"/>
  <c r="CD117" i="5"/>
  <c r="BN117" i="5"/>
  <c r="CD112" i="5"/>
  <c r="BN112" i="5"/>
  <c r="BN110" i="5"/>
  <c r="CD110" i="5"/>
  <c r="CD106" i="5"/>
  <c r="BN106" i="5"/>
  <c r="CD105" i="5"/>
  <c r="BN105" i="5"/>
  <c r="BN93" i="5"/>
  <c r="CD93" i="5"/>
  <c r="BN88" i="5"/>
  <c r="CD88" i="5"/>
  <c r="CD82" i="5"/>
  <c r="BN82" i="5"/>
  <c r="CD71" i="5"/>
  <c r="BN71" i="5"/>
  <c r="BN43" i="5"/>
  <c r="CD43" i="5"/>
  <c r="BN37" i="5"/>
  <c r="CD37" i="5"/>
  <c r="BN99" i="5"/>
  <c r="CD99" i="5"/>
  <c r="CD57" i="5"/>
  <c r="BN57" i="5"/>
  <c r="BN63" i="5"/>
  <c r="CD63" i="5"/>
  <c r="BN52" i="5"/>
  <c r="CD52" i="5"/>
  <c r="BN94" i="5"/>
  <c r="CD94" i="5"/>
  <c r="AH119" i="5" l="1"/>
  <c r="U110" i="5"/>
  <c r="U106" i="5"/>
  <c r="AH120" i="5"/>
  <c r="AZ116" i="5"/>
  <c r="BS116" i="5" s="1"/>
  <c r="AZ111" i="5"/>
  <c r="BS111" i="5" s="1"/>
  <c r="U105" i="5"/>
  <c r="U100" i="5"/>
  <c r="U91" i="5"/>
  <c r="AZ112" i="5"/>
  <c r="BS112" i="5" s="1"/>
  <c r="U97" i="5"/>
  <c r="U112" i="5"/>
  <c r="AZ97" i="5"/>
  <c r="U92" i="5"/>
  <c r="U84" i="5"/>
  <c r="AZ106" i="5"/>
  <c r="BS106" i="5" s="1"/>
  <c r="AZ100" i="5"/>
  <c r="AZ85" i="5"/>
  <c r="BS85" i="5" s="1"/>
  <c r="U70" i="5"/>
  <c r="AH63" i="5"/>
  <c r="U88" i="5"/>
  <c r="U82" i="5"/>
  <c r="AZ77" i="5"/>
  <c r="BS77" i="5" s="1"/>
  <c r="AZ73" i="5"/>
  <c r="BS73" i="5" s="1"/>
  <c r="U64" i="5"/>
  <c r="AZ90" i="5"/>
  <c r="BS90" i="5" s="1"/>
  <c r="AZ78" i="5"/>
  <c r="BS78" i="5" s="1"/>
  <c r="AH73" i="5"/>
  <c r="AZ70" i="5"/>
  <c r="BS70" i="5" s="1"/>
  <c r="AZ66" i="5"/>
  <c r="BS66" i="5" s="1"/>
  <c r="U86" i="5"/>
  <c r="AH71" i="5"/>
  <c r="U65" i="5"/>
  <c r="AZ59" i="5"/>
  <c r="BS59" i="5" s="1"/>
  <c r="AH49" i="5"/>
  <c r="AZ42" i="5"/>
  <c r="BS42" i="5" s="1"/>
  <c r="AZ39" i="5"/>
  <c r="BS39" i="5" s="1"/>
  <c r="U58" i="5"/>
  <c r="AH53" i="5"/>
  <c r="U48" i="5"/>
  <c r="U37" i="5"/>
  <c r="AZ36" i="5"/>
  <c r="BS36" i="5" s="1"/>
  <c r="AZ58" i="5"/>
  <c r="BS58" i="5" s="1"/>
  <c r="AZ53" i="5"/>
  <c r="BS53" i="5" s="1"/>
  <c r="U46" i="5"/>
  <c r="AZ43" i="5"/>
  <c r="BS43" i="5" s="1"/>
  <c r="U38" i="5"/>
  <c r="AH55" i="5"/>
  <c r="AH51" i="5"/>
  <c r="U33" i="5"/>
  <c r="AH36" i="5"/>
  <c r="AH70" i="5"/>
  <c r="AH77" i="5"/>
  <c r="AH66" i="5"/>
  <c r="U90" i="5"/>
  <c r="AZ89" i="5"/>
  <c r="BS89" i="5" s="1"/>
  <c r="U78" i="5"/>
  <c r="U66" i="5"/>
  <c r="U85" i="5"/>
  <c r="U76" i="5"/>
  <c r="AZ68" i="5"/>
  <c r="BS68" i="5" s="1"/>
  <c r="AH75" i="5"/>
  <c r="AZ71" i="5"/>
  <c r="BS71" i="5" s="1"/>
  <c r="AZ40" i="5"/>
  <c r="BS40" i="5" s="1"/>
  <c r="AH54" i="5"/>
  <c r="U50" i="5"/>
  <c r="AZ41" i="5"/>
  <c r="BS41" i="5" s="1"/>
  <c r="U60" i="5"/>
  <c r="AZ56" i="5"/>
  <c r="BS56" i="5" s="1"/>
  <c r="U119" i="5"/>
  <c r="U109" i="5"/>
  <c r="U104" i="5"/>
  <c r="U120" i="5"/>
  <c r="AH115" i="5"/>
  <c r="AZ110" i="5"/>
  <c r="BS110" i="5" s="1"/>
  <c r="U102" i="5"/>
  <c r="AZ96" i="5"/>
  <c r="BS96" i="5" s="1"/>
  <c r="AZ118" i="5"/>
  <c r="BS118" i="5" s="1"/>
  <c r="AZ103" i="5"/>
  <c r="BS103" i="5" s="1"/>
  <c r="U94" i="5"/>
  <c r="AZ109" i="5"/>
  <c r="BS109" i="5" s="1"/>
  <c r="AZ95" i="5"/>
  <c r="BS95" i="5" s="1"/>
  <c r="AZ91" i="5"/>
  <c r="BS91" i="5" s="1"/>
  <c r="AZ83" i="5"/>
  <c r="BS83" i="5" s="1"/>
  <c r="U116" i="5"/>
  <c r="U95" i="5"/>
  <c r="U80" i="5"/>
  <c r="AH67" i="5"/>
  <c r="AZ61" i="5"/>
  <c r="BS61" i="5" s="1"/>
  <c r="AZ86" i="5"/>
  <c r="BS86" i="5" s="1"/>
  <c r="U81" i="5"/>
  <c r="AZ76" i="5"/>
  <c r="BS76" i="5" s="1"/>
  <c r="U73" i="5"/>
  <c r="AZ63" i="5"/>
  <c r="BS63" i="5" s="1"/>
  <c r="AZ84" i="5"/>
  <c r="BS84" i="5" s="1"/>
  <c r="AZ75" i="5"/>
  <c r="BS75" i="5" s="1"/>
  <c r="U72" i="5"/>
  <c r="AZ69" i="5"/>
  <c r="BS69" i="5" s="1"/>
  <c r="AZ98" i="5"/>
  <c r="AZ79" i="5"/>
  <c r="BS79" i="5" s="1"/>
  <c r="AH69" i="5"/>
  <c r="AZ64" i="5"/>
  <c r="BS64" i="5" s="1"/>
  <c r="AZ57" i="5"/>
  <c r="BS57" i="5" s="1"/>
  <c r="AZ48" i="5"/>
  <c r="BS48" i="5" s="1"/>
  <c r="U42" i="5"/>
  <c r="U39" i="5"/>
  <c r="U56" i="5"/>
  <c r="AH50" i="5"/>
  <c r="AZ46" i="5"/>
  <c r="BS46" i="5" s="1"/>
  <c r="U36" i="5"/>
  <c r="U61" i="5"/>
  <c r="AH57" i="5"/>
  <c r="AZ52" i="5"/>
  <c r="BS52" i="5" s="1"/>
  <c r="AZ45" i="5"/>
  <c r="BS45" i="5" s="1"/>
  <c r="U43" i="5"/>
  <c r="AH59" i="5"/>
  <c r="AZ54" i="5"/>
  <c r="BS54" i="5" s="1"/>
  <c r="AZ50" i="5"/>
  <c r="BS50" i="5" s="1"/>
  <c r="AH35" i="5"/>
  <c r="AH38" i="5"/>
  <c r="AH64" i="5"/>
  <c r="AH68" i="5"/>
  <c r="AH116" i="5"/>
  <c r="U118" i="5"/>
  <c r="AZ115" i="5"/>
  <c r="BS115" i="5" s="1"/>
  <c r="U98" i="5"/>
  <c r="AZ80" i="5"/>
  <c r="BS80" i="5" s="1"/>
  <c r="U62" i="5"/>
  <c r="AZ82" i="5"/>
  <c r="BS82" i="5" s="1"/>
  <c r="U69" i="5"/>
  <c r="U93" i="5"/>
  <c r="U77" i="5"/>
  <c r="U68" i="5"/>
  <c r="U63" i="5"/>
  <c r="U57" i="5"/>
  <c r="AZ47" i="5"/>
  <c r="BS47" i="5" s="1"/>
  <c r="AZ37" i="5"/>
  <c r="BS37" i="5" s="1"/>
  <c r="AZ35" i="5"/>
  <c r="BS35" i="5" s="1"/>
  <c r="U51" i="5"/>
  <c r="AZ44" i="5"/>
  <c r="BS44" i="5" s="1"/>
  <c r="U117" i="5"/>
  <c r="AZ108" i="5"/>
  <c r="BS108" i="5" s="1"/>
  <c r="U103" i="5"/>
  <c r="AZ119" i="5"/>
  <c r="BS119" i="5" s="1"/>
  <c r="U115" i="5"/>
  <c r="U108" i="5"/>
  <c r="AZ101" i="5"/>
  <c r="BS101" i="5" s="1"/>
  <c r="U96" i="5"/>
  <c r="AZ117" i="5"/>
  <c r="BS117" i="5" s="1"/>
  <c r="AZ102" i="5"/>
  <c r="BS102" i="5" s="1"/>
  <c r="U121" i="5"/>
  <c r="AZ105" i="5"/>
  <c r="BS105" i="5" s="1"/>
  <c r="AZ93" i="5"/>
  <c r="BS93" i="5" s="1"/>
  <c r="U111" i="5"/>
  <c r="U114" i="5"/>
  <c r="AZ114" i="5"/>
  <c r="BS114" i="5" s="1"/>
  <c r="AZ92" i="5"/>
  <c r="BS92" i="5" s="1"/>
  <c r="AZ87" i="5"/>
  <c r="BS87" i="5" s="1"/>
  <c r="U83" i="5"/>
  <c r="AZ60" i="5"/>
  <c r="BS60" i="5" s="1"/>
  <c r="U67" i="5"/>
  <c r="AZ62" i="5"/>
  <c r="BS62" i="5" s="1"/>
  <c r="U34" i="5"/>
  <c r="U35" i="5"/>
  <c r="U44" i="5"/>
  <c r="AZ55" i="5"/>
  <c r="BS55" i="5" s="1"/>
  <c r="U45" i="5"/>
  <c r="AH52" i="5"/>
  <c r="AH60" i="5"/>
  <c r="U107" i="5"/>
  <c r="AZ107" i="5"/>
  <c r="BS107" i="5" s="1"/>
  <c r="U99" i="5"/>
  <c r="U89" i="5"/>
  <c r="AZ72" i="5"/>
  <c r="BS72" i="5" s="1"/>
  <c r="U79" i="5"/>
  <c r="AZ81" i="5"/>
  <c r="BS81" i="5" s="1"/>
  <c r="U87" i="5"/>
  <c r="U53" i="5"/>
  <c r="U54" i="5"/>
  <c r="U59" i="5"/>
  <c r="U41" i="5"/>
  <c r="U52" i="5"/>
  <c r="AH39" i="5"/>
  <c r="AH62" i="5"/>
  <c r="AH117" i="5"/>
  <c r="AZ51" i="5"/>
  <c r="BS51" i="5" s="1"/>
  <c r="AH118" i="5"/>
  <c r="AZ99" i="5"/>
  <c r="AZ88" i="5"/>
  <c r="BS88" i="5" s="1"/>
  <c r="U71" i="5"/>
  <c r="AZ67" i="5"/>
  <c r="BS67" i="5" s="1"/>
  <c r="U49" i="5"/>
  <c r="AH58" i="5"/>
  <c r="AH56" i="5"/>
  <c r="AZ120" i="5"/>
  <c r="BS120" i="5" s="1"/>
  <c r="U101" i="5"/>
  <c r="AZ113" i="5"/>
  <c r="BS113" i="5" s="1"/>
  <c r="U113" i="5"/>
  <c r="AH65" i="5"/>
  <c r="AZ74" i="5"/>
  <c r="BS74" i="5" s="1"/>
  <c r="U75" i="5"/>
  <c r="U74" i="5"/>
  <c r="AH47" i="5"/>
  <c r="AZ49" i="5"/>
  <c r="BS49" i="5" s="1"/>
  <c r="U55" i="5"/>
  <c r="AZ38" i="5"/>
  <c r="BS38" i="5" s="1"/>
  <c r="AH74" i="5"/>
  <c r="AH76" i="5"/>
  <c r="U122" i="5"/>
  <c r="AZ94" i="5"/>
  <c r="BS94" i="5" s="1"/>
  <c r="AZ104" i="5"/>
  <c r="BS104" i="5" s="1"/>
  <c r="AZ65" i="5"/>
  <c r="BS65" i="5" s="1"/>
  <c r="U40" i="5"/>
  <c r="AH37" i="5"/>
  <c r="U47" i="5"/>
  <c r="AH72" i="5"/>
  <c r="AI109" i="5"/>
  <c r="AI106" i="5"/>
  <c r="AI114" i="5"/>
  <c r="AI88" i="5"/>
  <c r="AI98" i="5"/>
  <c r="AI46" i="5"/>
  <c r="AI85" i="5"/>
  <c r="AI44" i="5"/>
  <c r="AI93" i="5"/>
  <c r="AI107" i="5"/>
  <c r="AI80" i="5"/>
  <c r="AI108" i="5"/>
  <c r="AI78" i="5"/>
  <c r="AI99" i="5"/>
  <c r="AI104" i="5"/>
  <c r="AI86" i="5"/>
  <c r="AI102" i="5"/>
  <c r="AI97" i="5"/>
  <c r="AI105" i="5"/>
  <c r="AI84" i="5"/>
  <c r="AI41" i="5"/>
  <c r="AI111" i="5"/>
  <c r="AI82" i="5"/>
  <c r="AI112" i="5"/>
  <c r="AI110" i="5"/>
  <c r="AI79" i="5"/>
  <c r="AI45" i="5"/>
  <c r="AI100" i="5"/>
  <c r="AI94" i="5"/>
  <c r="AI42" i="5"/>
  <c r="AI101" i="5"/>
  <c r="AI103" i="5"/>
  <c r="AI92" i="5"/>
  <c r="AI95" i="5"/>
  <c r="AI40" i="5"/>
  <c r="AI81" i="5"/>
  <c r="AI96" i="5"/>
  <c r="AI83" i="5"/>
  <c r="AI89" i="5"/>
  <c r="AI61" i="5"/>
  <c r="AI113" i="5"/>
  <c r="AI91" i="5"/>
  <c r="AI43" i="5"/>
  <c r="AI48" i="5"/>
  <c r="AI87" i="5"/>
  <c r="AI90" i="5"/>
  <c r="CG99" i="5" l="1" a="1"/>
  <c r="CG99" i="5" s="1"/>
  <c r="BS99" i="5"/>
  <c r="CG98" i="5" a="1"/>
  <c r="CG98" i="5" s="1"/>
  <c r="BS98" i="5"/>
  <c r="CG100" i="5" a="1"/>
  <c r="CG100" i="5" s="1"/>
  <c r="BS100" i="5"/>
  <c r="CG97" i="5" a="1"/>
  <c r="CG97" i="5" s="1"/>
  <c r="BS97" i="5"/>
  <c r="BF72" i="5"/>
  <c r="BD72" i="5"/>
  <c r="BA72" i="5"/>
  <c r="BF76" i="5"/>
  <c r="BD76" i="5"/>
  <c r="BA76" i="5"/>
  <c r="CG76" i="5" s="1" a="1"/>
  <c r="CG76" i="5" s="1"/>
  <c r="BA62" i="5"/>
  <c r="CG62" i="5" s="1" a="1"/>
  <c r="CG62" i="5" s="1"/>
  <c r="BF62" i="5"/>
  <c r="BD62" i="5"/>
  <c r="CG81" i="5" a="1"/>
  <c r="CG81" i="5" s="1"/>
  <c r="BA52" i="5"/>
  <c r="CG52" i="5" s="1" a="1"/>
  <c r="CG52" i="5" s="1"/>
  <c r="BD52" i="5"/>
  <c r="BF52" i="5"/>
  <c r="CG114" i="5" a="1"/>
  <c r="CG114" i="5" s="1"/>
  <c r="CG105" i="5" a="1"/>
  <c r="CG105" i="5" s="1"/>
  <c r="CG44" i="5" a="1"/>
  <c r="CG44" i="5" s="1"/>
  <c r="BA38" i="5"/>
  <c r="CG38" i="5" s="1" a="1"/>
  <c r="CG38" i="5" s="1"/>
  <c r="BF59" i="5"/>
  <c r="BD59" i="5"/>
  <c r="BA59" i="5"/>
  <c r="CG59" i="5" s="1" a="1"/>
  <c r="CG59" i="5" s="1"/>
  <c r="BD57" i="5"/>
  <c r="BF57" i="5"/>
  <c r="BA57" i="5"/>
  <c r="CG57" i="5" s="1" a="1"/>
  <c r="CG57" i="5" s="1"/>
  <c r="BD50" i="5"/>
  <c r="BA50" i="5"/>
  <c r="CG50" i="5" s="1" a="1"/>
  <c r="CG50" i="5" s="1"/>
  <c r="BF50" i="5"/>
  <c r="CG48" i="5" a="1"/>
  <c r="CG48" i="5" s="1"/>
  <c r="CG79" i="5" a="1"/>
  <c r="CG79" i="5" s="1"/>
  <c r="BF67" i="5"/>
  <c r="BA67" i="5"/>
  <c r="CG67" i="5" s="1" a="1"/>
  <c r="CG67" i="5" s="1"/>
  <c r="BD67" i="5"/>
  <c r="CG83" i="5" a="1"/>
  <c r="CG83" i="5" s="1"/>
  <c r="CG40" i="5" a="1"/>
  <c r="CG40" i="5" s="1"/>
  <c r="CG89" i="5" a="1"/>
  <c r="CG89" i="5" s="1"/>
  <c r="BF70" i="5"/>
  <c r="BD70" i="5"/>
  <c r="BA70" i="5"/>
  <c r="CG70" i="5" s="1" a="1"/>
  <c r="CG70" i="5" s="1"/>
  <c r="BD55" i="5"/>
  <c r="BA55" i="5"/>
  <c r="CG55" i="5" s="1" a="1"/>
  <c r="CG55" i="5" s="1"/>
  <c r="BF55" i="5"/>
  <c r="CG42" i="5" a="1"/>
  <c r="CG42" i="5" s="1"/>
  <c r="BA71" i="5"/>
  <c r="CG71" i="5" s="1" a="1"/>
  <c r="CG71" i="5" s="1"/>
  <c r="BF71" i="5"/>
  <c r="BD71" i="5"/>
  <c r="BA73" i="5"/>
  <c r="CG73" i="5" s="1" a="1"/>
  <c r="CG73" i="5" s="1"/>
  <c r="BF73" i="5"/>
  <c r="BD73" i="5"/>
  <c r="BA63" i="5"/>
  <c r="CG63" i="5" s="1" a="1"/>
  <c r="CG63" i="5" s="1"/>
  <c r="BF63" i="5"/>
  <c r="BD63" i="5"/>
  <c r="CG106" i="5" a="1"/>
  <c r="CG106" i="5" s="1"/>
  <c r="BF120" i="5"/>
  <c r="BD120" i="5"/>
  <c r="BA120" i="5"/>
  <c r="CG120" i="5" s="1" a="1"/>
  <c r="CG120" i="5" s="1"/>
  <c r="CG104" i="5" a="1"/>
  <c r="CG104" i="5" s="1"/>
  <c r="BD74" i="5"/>
  <c r="BF74" i="5"/>
  <c r="BA74" i="5"/>
  <c r="CG74" i="5" s="1" a="1"/>
  <c r="CG74" i="5" s="1"/>
  <c r="BD47" i="5"/>
  <c r="BA47" i="5"/>
  <c r="CG47" i="5" s="1" a="1"/>
  <c r="CG47" i="5" s="1"/>
  <c r="BF47" i="5"/>
  <c r="BF65" i="5"/>
  <c r="BA65" i="5"/>
  <c r="CG65" i="5" s="1" a="1"/>
  <c r="CG65" i="5" s="1"/>
  <c r="BD65" i="5"/>
  <c r="BD118" i="5"/>
  <c r="BA118" i="5"/>
  <c r="CG118" i="5" s="1" a="1"/>
  <c r="CG118" i="5" s="1"/>
  <c r="BF118" i="5"/>
  <c r="BA39" i="5"/>
  <c r="CG39" i="5" s="1" a="1"/>
  <c r="CG39" i="5" s="1"/>
  <c r="CG107" i="5" a="1"/>
  <c r="CG107" i="5" s="1"/>
  <c r="CG101" i="5" a="1"/>
  <c r="CG101" i="5" s="1"/>
  <c r="CG80" i="5" a="1"/>
  <c r="CG80" i="5" s="1"/>
  <c r="BD116" i="5"/>
  <c r="BA116" i="5"/>
  <c r="CG116" i="5" s="1" a="1"/>
  <c r="CG116" i="5" s="1"/>
  <c r="BF116" i="5"/>
  <c r="BA35" i="5"/>
  <c r="CG35" i="5" s="1" a="1"/>
  <c r="CG35" i="5" s="1"/>
  <c r="CG84" i="5" a="1"/>
  <c r="CG84" i="5" s="1"/>
  <c r="CG91" i="5" a="1"/>
  <c r="CG91" i="5" s="1"/>
  <c r="CG103" i="5" a="1"/>
  <c r="CG103" i="5" s="1"/>
  <c r="CG110" i="5" a="1"/>
  <c r="CG110" i="5" s="1"/>
  <c r="CG41" i="5" a="1"/>
  <c r="CG41" i="5" s="1"/>
  <c r="BA36" i="5"/>
  <c r="CG36" i="5" s="1" a="1"/>
  <c r="CG36" i="5" s="1"/>
  <c r="BF53" i="5"/>
  <c r="BA53" i="5"/>
  <c r="CG53" i="5" s="1" a="1"/>
  <c r="CG53" i="5" s="1"/>
  <c r="BD53" i="5"/>
  <c r="BF49" i="5"/>
  <c r="BA49" i="5"/>
  <c r="CG49" i="5" s="1" a="1"/>
  <c r="CG49" i="5" s="1"/>
  <c r="BD49" i="5"/>
  <c r="CG78" i="5" a="1"/>
  <c r="CG78" i="5" s="1"/>
  <c r="BA37" i="5"/>
  <c r="CG37" i="5" s="1" a="1"/>
  <c r="CG37" i="5" s="1"/>
  <c r="CG94" i="5" a="1"/>
  <c r="CG94" i="5" s="1"/>
  <c r="BA56" i="5"/>
  <c r="CG56" i="5" s="1" a="1"/>
  <c r="CG56" i="5" s="1"/>
  <c r="BF56" i="5"/>
  <c r="BD56" i="5"/>
  <c r="CG87" i="5" a="1"/>
  <c r="CG87" i="5" s="1"/>
  <c r="CG102" i="5" a="1"/>
  <c r="CG102" i="5" s="1"/>
  <c r="CG108" i="5" a="1"/>
  <c r="CG108" i="5" s="1"/>
  <c r="BF68" i="5"/>
  <c r="BA68" i="5"/>
  <c r="CG68" i="5" s="1" a="1"/>
  <c r="CG68" i="5" s="1"/>
  <c r="BD68" i="5"/>
  <c r="CG45" i="5" a="1"/>
  <c r="CG45" i="5" s="1"/>
  <c r="CG86" i="5" a="1"/>
  <c r="CG86" i="5" s="1"/>
  <c r="CG95" i="5" a="1"/>
  <c r="CG95" i="5" s="1"/>
  <c r="BA115" i="5"/>
  <c r="CG115" i="5" s="1" a="1"/>
  <c r="CG115" i="5" s="1"/>
  <c r="BD115" i="5"/>
  <c r="BF115" i="5"/>
  <c r="BF75" i="5"/>
  <c r="BA75" i="5"/>
  <c r="CG75" i="5" s="1" a="1"/>
  <c r="CG75" i="5" s="1"/>
  <c r="BD75" i="5"/>
  <c r="BA66" i="5"/>
  <c r="CG66" i="5" s="1" a="1"/>
  <c r="CG66" i="5" s="1"/>
  <c r="BD66" i="5"/>
  <c r="BF66" i="5"/>
  <c r="CG43" i="5" a="1"/>
  <c r="CG43" i="5" s="1"/>
  <c r="CG90" i="5" a="1"/>
  <c r="CG90" i="5" s="1"/>
  <c r="CG85" i="5" a="1"/>
  <c r="CG85" i="5" s="1"/>
  <c r="CG112" i="5" a="1"/>
  <c r="CG112" i="5" s="1"/>
  <c r="CG111" i="5" a="1"/>
  <c r="CG111" i="5" s="1"/>
  <c r="CG113" i="5" a="1"/>
  <c r="CG113" i="5" s="1"/>
  <c r="BD58" i="5"/>
  <c r="BF58" i="5"/>
  <c r="BA58" i="5"/>
  <c r="CG58" i="5" s="1" a="1"/>
  <c r="CG58" i="5" s="1"/>
  <c r="CG88" i="5" a="1"/>
  <c r="CG88" i="5" s="1"/>
  <c r="BA117" i="5"/>
  <c r="BF117" i="5"/>
  <c r="BD117" i="5"/>
  <c r="BD60" i="5"/>
  <c r="BF60" i="5"/>
  <c r="BA60" i="5"/>
  <c r="CG60" i="5" s="1" a="1"/>
  <c r="CG60" i="5" s="1"/>
  <c r="CG92" i="5" a="1"/>
  <c r="CG92" i="5" s="1"/>
  <c r="CG93" i="5" a="1"/>
  <c r="CG93" i="5" s="1"/>
  <c r="CG82" i="5" a="1"/>
  <c r="CG82" i="5" s="1"/>
  <c r="BA64" i="5"/>
  <c r="CG64" i="5" s="1" a="1"/>
  <c r="CG64" i="5" s="1"/>
  <c r="BF64" i="5"/>
  <c r="BD64" i="5"/>
  <c r="CG46" i="5" a="1"/>
  <c r="CG46" i="5" s="1"/>
  <c r="BF69" i="5"/>
  <c r="BA69" i="5"/>
  <c r="CG69" i="5" s="1" a="1"/>
  <c r="CG69" i="5" s="1"/>
  <c r="BD69" i="5"/>
  <c r="CG61" i="5" a="1"/>
  <c r="CG61" i="5" s="1"/>
  <c r="CG109" i="5" a="1"/>
  <c r="CG109" i="5" s="1"/>
  <c r="CG96" i="5" a="1"/>
  <c r="CG96" i="5" s="1"/>
  <c r="BF54" i="5"/>
  <c r="BA54" i="5"/>
  <c r="CG54" i="5" s="1" a="1"/>
  <c r="CG54" i="5" s="1"/>
  <c r="BD54" i="5"/>
  <c r="BA77" i="5"/>
  <c r="CG77" i="5" s="1" a="1"/>
  <c r="CG77" i="5" s="1"/>
  <c r="BD77" i="5"/>
  <c r="BF77" i="5"/>
  <c r="BD51" i="5"/>
  <c r="BF51" i="5"/>
  <c r="BA51" i="5"/>
  <c r="CG51" i="5" s="1" a="1"/>
  <c r="CG51" i="5" s="1"/>
  <c r="BA119" i="5"/>
  <c r="CG119" i="5" s="1" a="1"/>
  <c r="CG119" i="5" s="1"/>
  <c r="BF119" i="5"/>
  <c r="BD119" i="5"/>
  <c r="K95" i="4" l="1"/>
  <c r="K99" i="4"/>
  <c r="K103" i="4"/>
  <c r="K107" i="4"/>
  <c r="K111" i="4"/>
  <c r="K115" i="4"/>
  <c r="K119" i="4"/>
  <c r="K123" i="4"/>
  <c r="K127" i="4"/>
  <c r="K131" i="4"/>
  <c r="K135" i="4"/>
  <c r="K139" i="4"/>
  <c r="K143" i="4"/>
  <c r="K147" i="4"/>
  <c r="K96" i="4"/>
  <c r="K100" i="4"/>
  <c r="K104" i="4"/>
  <c r="K108" i="4"/>
  <c r="K112" i="4"/>
  <c r="K116" i="4"/>
  <c r="K120" i="4"/>
  <c r="K124" i="4"/>
  <c r="K128" i="4"/>
  <c r="K132" i="4"/>
  <c r="K136" i="4"/>
  <c r="K140" i="4"/>
  <c r="K144" i="4"/>
  <c r="K148" i="4"/>
  <c r="K152" i="4"/>
  <c r="K156" i="4"/>
  <c r="K160" i="4"/>
  <c r="K164" i="4"/>
  <c r="K168" i="4"/>
  <c r="K172" i="4"/>
  <c r="K176" i="4"/>
  <c r="K180" i="4"/>
  <c r="K97" i="4"/>
  <c r="K101" i="4"/>
  <c r="K105" i="4"/>
  <c r="K109" i="4"/>
  <c r="K113" i="4"/>
  <c r="K117" i="4"/>
  <c r="K121" i="4"/>
  <c r="K125" i="4"/>
  <c r="K129" i="4"/>
  <c r="K133" i="4"/>
  <c r="K98" i="4"/>
  <c r="K102" i="4"/>
  <c r="K106" i="4"/>
  <c r="K110" i="4"/>
  <c r="K114" i="4"/>
  <c r="K118" i="4"/>
  <c r="K122" i="4"/>
  <c r="K126" i="4"/>
  <c r="K130" i="4"/>
  <c r="K134" i="4"/>
  <c r="K137" i="4"/>
  <c r="K145" i="4"/>
  <c r="K151" i="4"/>
  <c r="K157" i="4"/>
  <c r="K162" i="4"/>
  <c r="K167" i="4"/>
  <c r="K173" i="4"/>
  <c r="K178" i="4"/>
  <c r="K154" i="4"/>
  <c r="K175" i="4"/>
  <c r="K138" i="4"/>
  <c r="K146" i="4"/>
  <c r="K153" i="4"/>
  <c r="K158" i="4"/>
  <c r="K163" i="4"/>
  <c r="K169" i="4"/>
  <c r="K174" i="4"/>
  <c r="K179" i="4"/>
  <c r="K141" i="4"/>
  <c r="K159" i="4"/>
  <c r="K170" i="4"/>
  <c r="K142" i="4"/>
  <c r="K150" i="4"/>
  <c r="K155" i="4"/>
  <c r="K161" i="4"/>
  <c r="K166" i="4"/>
  <c r="K171" i="4"/>
  <c r="K177" i="4"/>
  <c r="K149" i="4"/>
  <c r="K165" i="4"/>
  <c r="K181" i="4"/>
  <c r="CX33" i="5"/>
  <c r="CX109" i="5"/>
  <c r="CX105" i="5"/>
  <c r="CX112" i="5"/>
  <c r="CX96" i="5"/>
  <c r="CX100" i="5"/>
  <c r="CX90" i="5"/>
  <c r="CX115" i="5"/>
  <c r="CX87" i="5"/>
  <c r="CX62" i="5"/>
  <c r="CX75" i="5"/>
  <c r="CX92" i="5"/>
  <c r="CX74" i="5"/>
  <c r="CX68" i="5"/>
  <c r="CX77" i="5"/>
  <c r="CX60" i="5"/>
  <c r="CX44" i="5"/>
  <c r="CX59" i="5"/>
  <c r="CX47" i="5"/>
  <c r="CX58" i="5"/>
  <c r="CX48" i="5"/>
  <c r="CX37" i="5"/>
  <c r="CX91" i="5"/>
  <c r="CX39" i="5"/>
  <c r="CX51" i="5"/>
  <c r="CX111" i="5"/>
  <c r="CX94" i="5"/>
  <c r="CX76" i="5"/>
  <c r="CX118" i="5"/>
  <c r="CX108" i="5"/>
  <c r="CX103" i="5"/>
  <c r="CX119" i="5"/>
  <c r="CX104" i="5"/>
  <c r="CX95" i="5"/>
  <c r="CX98" i="5"/>
  <c r="CX120" i="5"/>
  <c r="CX89" i="5"/>
  <c r="CX121" i="5"/>
  <c r="CX82" i="5"/>
  <c r="CX84" i="5"/>
  <c r="CX72" i="5"/>
  <c r="CX85" i="5"/>
  <c r="CX73" i="5"/>
  <c r="CX66" i="5"/>
  <c r="CX69" i="5"/>
  <c r="CX56" i="5"/>
  <c r="CX41" i="5"/>
  <c r="CX57" i="5"/>
  <c r="CX45" i="5"/>
  <c r="CX54" i="5"/>
  <c r="CX43" i="5"/>
  <c r="CX46" i="5"/>
  <c r="CX63" i="5"/>
  <c r="CX71" i="5"/>
  <c r="CX55" i="5"/>
  <c r="CX36" i="5"/>
  <c r="CX38" i="5"/>
  <c r="CX110" i="5"/>
  <c r="CX61" i="5"/>
  <c r="CX116" i="5"/>
  <c r="CX107" i="5"/>
  <c r="CX102" i="5"/>
  <c r="CX114" i="5"/>
  <c r="CX101" i="5"/>
  <c r="CX122" i="5"/>
  <c r="CX93" i="5"/>
  <c r="CX117" i="5"/>
  <c r="CX88" i="5"/>
  <c r="CX113" i="5"/>
  <c r="CX79" i="5"/>
  <c r="CX81" i="5"/>
  <c r="CX80" i="5"/>
  <c r="CX67" i="5"/>
  <c r="CX53" i="5"/>
  <c r="CX42" i="5"/>
  <c r="CX83" i="5"/>
  <c r="CX78" i="5"/>
  <c r="CX70" i="5"/>
  <c r="CX106" i="5"/>
  <c r="CX99" i="5"/>
  <c r="CX97" i="5"/>
  <c r="CX64" i="5"/>
  <c r="CX86" i="5"/>
  <c r="CX65" i="5"/>
  <c r="CX35" i="5"/>
  <c r="CX49" i="5"/>
  <c r="CX52" i="5"/>
  <c r="CX50" i="5"/>
  <c r="CX34" i="5"/>
  <c r="CX40" i="5"/>
  <c r="CG72" i="5" a="1"/>
  <c r="CG72" i="5" s="1"/>
  <c r="CG117" i="5" a="1"/>
  <c r="CG117" i="5" s="1"/>
  <c r="S177" i="4" l="1"/>
  <c r="U177" i="4"/>
  <c r="W177" i="4"/>
  <c r="S155" i="4"/>
  <c r="U155" i="4"/>
  <c r="W155" i="4"/>
  <c r="U159" i="4"/>
  <c r="W159" i="4"/>
  <c r="S159" i="4"/>
  <c r="S169" i="4"/>
  <c r="U169" i="4"/>
  <c r="W169" i="4"/>
  <c r="U146" i="4"/>
  <c r="W146" i="4"/>
  <c r="S146" i="4"/>
  <c r="U178" i="4"/>
  <c r="W178" i="4"/>
  <c r="S178" i="4"/>
  <c r="U157" i="4"/>
  <c r="W157" i="4"/>
  <c r="S157" i="4"/>
  <c r="U134" i="4"/>
  <c r="W134" i="4"/>
  <c r="S134" i="4"/>
  <c r="U118" i="4"/>
  <c r="W118" i="4"/>
  <c r="S118" i="4"/>
  <c r="U102" i="4"/>
  <c r="W102" i="4"/>
  <c r="S102" i="4"/>
  <c r="S125" i="4"/>
  <c r="U125" i="4"/>
  <c r="W125" i="4"/>
  <c r="S109" i="4"/>
  <c r="U109" i="4"/>
  <c r="W109" i="4"/>
  <c r="U180" i="4"/>
  <c r="W180" i="4"/>
  <c r="S180" i="4"/>
  <c r="U164" i="4"/>
  <c r="W164" i="4"/>
  <c r="S164" i="4"/>
  <c r="U148" i="4"/>
  <c r="W148" i="4"/>
  <c r="S148" i="4"/>
  <c r="U132" i="4"/>
  <c r="W132" i="4"/>
  <c r="S132" i="4"/>
  <c r="W116" i="4"/>
  <c r="U116" i="4"/>
  <c r="S116" i="4"/>
  <c r="U100" i="4"/>
  <c r="W100" i="4"/>
  <c r="S100" i="4"/>
  <c r="S139" i="4"/>
  <c r="U139" i="4"/>
  <c r="W139" i="4"/>
  <c r="S123" i="4"/>
  <c r="U123" i="4"/>
  <c r="W123" i="4"/>
  <c r="S107" i="4"/>
  <c r="U107" i="4"/>
  <c r="W107" i="4"/>
  <c r="S181" i="4"/>
  <c r="U181" i="4"/>
  <c r="W181" i="4"/>
  <c r="U171" i="4"/>
  <c r="W171" i="4"/>
  <c r="S171" i="4"/>
  <c r="U150" i="4"/>
  <c r="W150" i="4"/>
  <c r="S150" i="4"/>
  <c r="S141" i="4"/>
  <c r="U141" i="4"/>
  <c r="W141" i="4"/>
  <c r="S163" i="4"/>
  <c r="U163" i="4"/>
  <c r="W163" i="4"/>
  <c r="U138" i="4"/>
  <c r="W138" i="4"/>
  <c r="S138" i="4"/>
  <c r="U173" i="4"/>
  <c r="W173" i="4"/>
  <c r="S173" i="4"/>
  <c r="U151" i="4"/>
  <c r="W151" i="4"/>
  <c r="S151" i="4"/>
  <c r="U130" i="4"/>
  <c r="W130" i="4"/>
  <c r="S130" i="4"/>
  <c r="U114" i="4"/>
  <c r="W114" i="4"/>
  <c r="S114" i="4"/>
  <c r="U98" i="4"/>
  <c r="W98" i="4"/>
  <c r="S98" i="4"/>
  <c r="S121" i="4"/>
  <c r="U121" i="4"/>
  <c r="W121" i="4"/>
  <c r="S105" i="4"/>
  <c r="U105" i="4"/>
  <c r="W105" i="4"/>
  <c r="W176" i="4"/>
  <c r="S176" i="4"/>
  <c r="U176" i="4"/>
  <c r="W160" i="4"/>
  <c r="S160" i="4"/>
  <c r="U160" i="4"/>
  <c r="S144" i="4"/>
  <c r="U144" i="4"/>
  <c r="W144" i="4"/>
  <c r="S128" i="4"/>
  <c r="U128" i="4"/>
  <c r="W128" i="4"/>
  <c r="S112" i="4"/>
  <c r="U112" i="4"/>
  <c r="W112" i="4"/>
  <c r="S96" i="4"/>
  <c r="U96" i="4"/>
  <c r="W96" i="4"/>
  <c r="U135" i="4"/>
  <c r="W135" i="4"/>
  <c r="S135" i="4"/>
  <c r="U119" i="4"/>
  <c r="W119" i="4"/>
  <c r="S119" i="4"/>
  <c r="U103" i="4"/>
  <c r="W103" i="4"/>
  <c r="S103" i="4"/>
  <c r="U165" i="4"/>
  <c r="W165" i="4"/>
  <c r="S165" i="4"/>
  <c r="U166" i="4"/>
  <c r="W166" i="4"/>
  <c r="S166" i="4"/>
  <c r="U142" i="4"/>
  <c r="W142" i="4"/>
  <c r="S142" i="4"/>
  <c r="S179" i="4"/>
  <c r="U179" i="4"/>
  <c r="W179" i="4"/>
  <c r="S158" i="4"/>
  <c r="U158" i="4"/>
  <c r="W158" i="4"/>
  <c r="U175" i="4"/>
  <c r="W175" i="4"/>
  <c r="S175" i="4"/>
  <c r="U167" i="4"/>
  <c r="W167" i="4"/>
  <c r="S167" i="4"/>
  <c r="S145" i="4"/>
  <c r="U145" i="4"/>
  <c r="W145" i="4"/>
  <c r="U126" i="4"/>
  <c r="W126" i="4"/>
  <c r="S126" i="4"/>
  <c r="U110" i="4"/>
  <c r="W110" i="4"/>
  <c r="S110" i="4"/>
  <c r="S133" i="4"/>
  <c r="U133" i="4"/>
  <c r="W133" i="4"/>
  <c r="S117" i="4"/>
  <c r="U117" i="4"/>
  <c r="W117" i="4"/>
  <c r="S101" i="4"/>
  <c r="U101" i="4"/>
  <c r="W101" i="4"/>
  <c r="S172" i="4"/>
  <c r="U172" i="4"/>
  <c r="W172" i="4"/>
  <c r="S156" i="4"/>
  <c r="W156" i="4"/>
  <c r="U156" i="4"/>
  <c r="U140" i="4"/>
  <c r="W140" i="4"/>
  <c r="S140" i="4"/>
  <c r="U124" i="4"/>
  <c r="W124" i="4"/>
  <c r="S124" i="4"/>
  <c r="U108" i="4"/>
  <c r="W108" i="4"/>
  <c r="S108" i="4"/>
  <c r="U147" i="4"/>
  <c r="W147" i="4"/>
  <c r="S147" i="4"/>
  <c r="U131" i="4"/>
  <c r="W131" i="4"/>
  <c r="S131" i="4"/>
  <c r="U115" i="4"/>
  <c r="W115" i="4"/>
  <c r="S115" i="4"/>
  <c r="U99" i="4"/>
  <c r="W99" i="4"/>
  <c r="S99" i="4"/>
  <c r="S149" i="4"/>
  <c r="U149" i="4"/>
  <c r="W149" i="4"/>
  <c r="U161" i="4"/>
  <c r="W161" i="4"/>
  <c r="S161" i="4"/>
  <c r="U170" i="4"/>
  <c r="W170" i="4"/>
  <c r="S170" i="4"/>
  <c r="S174" i="4"/>
  <c r="W174" i="4"/>
  <c r="U174" i="4"/>
  <c r="S153" i="4"/>
  <c r="U153" i="4"/>
  <c r="W153" i="4"/>
  <c r="U154" i="4"/>
  <c r="W154" i="4"/>
  <c r="S154" i="4"/>
  <c r="S162" i="4"/>
  <c r="U162" i="4"/>
  <c r="W162" i="4"/>
  <c r="S137" i="4"/>
  <c r="U137" i="4"/>
  <c r="W137" i="4"/>
  <c r="U122" i="4"/>
  <c r="W122" i="4"/>
  <c r="S122" i="4"/>
  <c r="U106" i="4"/>
  <c r="W106" i="4"/>
  <c r="S106" i="4"/>
  <c r="S129" i="4"/>
  <c r="U129" i="4"/>
  <c r="W129" i="4"/>
  <c r="S113" i="4"/>
  <c r="U113" i="4"/>
  <c r="W113" i="4"/>
  <c r="S97" i="4"/>
  <c r="U97" i="4"/>
  <c r="W97" i="4"/>
  <c r="S168" i="4"/>
  <c r="U168" i="4"/>
  <c r="W168" i="4"/>
  <c r="U152" i="4"/>
  <c r="W152" i="4"/>
  <c r="S152" i="4"/>
  <c r="U136" i="4"/>
  <c r="W136" i="4"/>
  <c r="S136" i="4"/>
  <c r="U120" i="4"/>
  <c r="W120" i="4"/>
  <c r="S120" i="4"/>
  <c r="U104" i="4"/>
  <c r="W104" i="4"/>
  <c r="S104" i="4"/>
  <c r="U143" i="4"/>
  <c r="W143" i="4"/>
  <c r="S143" i="4"/>
  <c r="U127" i="4"/>
  <c r="W127" i="4"/>
  <c r="S127" i="4"/>
  <c r="U111" i="4"/>
  <c r="W111" i="4"/>
  <c r="S111" i="4"/>
  <c r="U95" i="4"/>
  <c r="W95" i="4"/>
  <c r="S95" i="4"/>
  <c r="N95" i="4" l="1"/>
  <c r="N99" i="4"/>
  <c r="N103" i="4"/>
  <c r="N107" i="4"/>
  <c r="N111" i="4"/>
  <c r="N115" i="4"/>
  <c r="N119" i="4"/>
  <c r="N123" i="4"/>
  <c r="N127" i="4"/>
  <c r="N131" i="4"/>
  <c r="N135" i="4"/>
  <c r="N139" i="4"/>
  <c r="N143" i="4"/>
  <c r="N147" i="4"/>
  <c r="N151" i="4"/>
  <c r="N155" i="4"/>
  <c r="N159" i="4"/>
  <c r="N163" i="4"/>
  <c r="N167" i="4"/>
  <c r="N171" i="4"/>
  <c r="N175" i="4"/>
  <c r="N179" i="4"/>
  <c r="N96" i="4"/>
  <c r="N100" i="4"/>
  <c r="N104" i="4"/>
  <c r="N108" i="4"/>
  <c r="N112" i="4"/>
  <c r="N116" i="4"/>
  <c r="N120" i="4"/>
  <c r="N124" i="4"/>
  <c r="N128" i="4"/>
  <c r="N132" i="4"/>
  <c r="N136" i="4"/>
  <c r="N140" i="4"/>
  <c r="N144" i="4"/>
  <c r="N148" i="4"/>
  <c r="N152" i="4"/>
  <c r="N156" i="4"/>
  <c r="N160" i="4"/>
  <c r="N164" i="4"/>
  <c r="N168" i="4"/>
  <c r="N172" i="4"/>
  <c r="N176" i="4"/>
  <c r="N180" i="4"/>
  <c r="N97" i="4"/>
  <c r="N101" i="4"/>
  <c r="N105" i="4"/>
  <c r="N109" i="4"/>
  <c r="N113" i="4"/>
  <c r="N117" i="4"/>
  <c r="N121" i="4"/>
  <c r="N125" i="4"/>
  <c r="N129" i="4"/>
  <c r="N133" i="4"/>
  <c r="N137" i="4"/>
  <c r="N141" i="4"/>
  <c r="N145" i="4"/>
  <c r="N149" i="4"/>
  <c r="N153" i="4"/>
  <c r="N157" i="4"/>
  <c r="N161" i="4"/>
  <c r="N165" i="4"/>
  <c r="N169" i="4"/>
  <c r="N173" i="4"/>
  <c r="N177" i="4"/>
  <c r="N181" i="4"/>
  <c r="N98" i="4"/>
  <c r="N114" i="4"/>
  <c r="N130" i="4"/>
  <c r="N146" i="4"/>
  <c r="N162" i="4"/>
  <c r="N178" i="4"/>
  <c r="N11" i="4"/>
  <c r="N15" i="4"/>
  <c r="N19" i="4"/>
  <c r="N23" i="4"/>
  <c r="N27" i="4"/>
  <c r="N31" i="4"/>
  <c r="N35" i="4"/>
  <c r="N39" i="4"/>
  <c r="N43" i="4"/>
  <c r="N47" i="4"/>
  <c r="N51" i="4"/>
  <c r="N55" i="4"/>
  <c r="N59" i="4"/>
  <c r="N63" i="4"/>
  <c r="N67" i="4"/>
  <c r="N71" i="4"/>
  <c r="N75" i="4"/>
  <c r="N79" i="4"/>
  <c r="N83" i="4"/>
  <c r="N87" i="4"/>
  <c r="N91" i="4"/>
  <c r="N7" i="4"/>
  <c r="N10" i="4"/>
  <c r="N18" i="4"/>
  <c r="N26" i="4"/>
  <c r="N34" i="4"/>
  <c r="N42" i="4"/>
  <c r="N50" i="4"/>
  <c r="N62" i="4"/>
  <c r="N70" i="4"/>
  <c r="N78" i="4"/>
  <c r="N86" i="4"/>
  <c r="N94" i="4"/>
  <c r="N102" i="4"/>
  <c r="N118" i="4"/>
  <c r="N134" i="4"/>
  <c r="N150" i="4"/>
  <c r="N166" i="4"/>
  <c r="N12" i="4"/>
  <c r="N16" i="4"/>
  <c r="N20" i="4"/>
  <c r="N24" i="4"/>
  <c r="N28" i="4"/>
  <c r="N32" i="4"/>
  <c r="N36" i="4"/>
  <c r="N40" i="4"/>
  <c r="N44" i="4"/>
  <c r="N48" i="4"/>
  <c r="N52" i="4"/>
  <c r="N56" i="4"/>
  <c r="N60" i="4"/>
  <c r="N64" i="4"/>
  <c r="N68" i="4"/>
  <c r="N72" i="4"/>
  <c r="N76" i="4"/>
  <c r="N80" i="4"/>
  <c r="N84" i="4"/>
  <c r="N88" i="4"/>
  <c r="N92" i="4"/>
  <c r="N54" i="4"/>
  <c r="N82" i="4"/>
  <c r="N106" i="4"/>
  <c r="N122" i="4"/>
  <c r="N138" i="4"/>
  <c r="N154" i="4"/>
  <c r="N170" i="4"/>
  <c r="N9" i="4"/>
  <c r="N13" i="4"/>
  <c r="N17" i="4"/>
  <c r="N21" i="4"/>
  <c r="N25" i="4"/>
  <c r="N29" i="4"/>
  <c r="N33" i="4"/>
  <c r="N37" i="4"/>
  <c r="N41" i="4"/>
  <c r="N45" i="4"/>
  <c r="N49" i="4"/>
  <c r="N53" i="4"/>
  <c r="N57" i="4"/>
  <c r="N61" i="4"/>
  <c r="N65" i="4"/>
  <c r="N69" i="4"/>
  <c r="N73" i="4"/>
  <c r="N77" i="4"/>
  <c r="N81" i="4"/>
  <c r="N85" i="4"/>
  <c r="N89" i="4"/>
  <c r="N93" i="4"/>
  <c r="N8" i="4"/>
  <c r="N110" i="4"/>
  <c r="N126" i="4"/>
  <c r="N142" i="4"/>
  <c r="N158" i="4"/>
  <c r="N174" i="4"/>
  <c r="N14" i="4"/>
  <c r="N22" i="4"/>
  <c r="N30" i="4"/>
  <c r="N38" i="4"/>
  <c r="N46" i="4"/>
  <c r="N58" i="4"/>
  <c r="N66" i="4"/>
  <c r="N74" i="4"/>
  <c r="N90" i="4"/>
  <c r="I144" i="4" l="1"/>
  <c r="I72" i="4"/>
  <c r="I66" i="4"/>
  <c r="I68" i="4"/>
  <c r="I60" i="4"/>
  <c r="I51" i="4"/>
  <c r="I118" i="4"/>
  <c r="I48" i="4"/>
  <c r="I47" i="4"/>
  <c r="I43" i="4"/>
  <c r="I41" i="4"/>
  <c r="I40" i="4"/>
  <c r="I33" i="4"/>
  <c r="I22" i="4"/>
  <c r="I23" i="4"/>
  <c r="I13" i="4"/>
  <c r="AA159" i="4"/>
  <c r="AB159" i="4" s="1"/>
  <c r="AA72" i="4"/>
  <c r="AB72" i="4" s="1"/>
  <c r="AA107" i="4"/>
  <c r="AB107" i="4" s="1"/>
  <c r="AA158" i="4"/>
  <c r="AB158" i="4" s="1"/>
  <c r="AA157" i="4"/>
  <c r="AB157" i="4" s="1"/>
  <c r="I9" i="4"/>
  <c r="I10" i="4"/>
  <c r="AA71" i="4"/>
  <c r="AB71" i="4" s="1"/>
  <c r="AA74" i="4"/>
  <c r="AB74" i="4" s="1"/>
  <c r="AA164" i="4"/>
  <c r="AB164" i="4" s="1"/>
  <c r="AA132" i="4"/>
  <c r="AB132" i="4" s="1"/>
  <c r="AA100" i="4"/>
  <c r="AB100" i="4" s="1"/>
  <c r="AA93" i="4"/>
  <c r="AB93" i="4" s="1"/>
  <c r="AA73" i="4"/>
  <c r="AB73" i="4" s="1"/>
  <c r="AA53" i="4"/>
  <c r="AB53" i="4" s="1"/>
  <c r="AA180" i="4"/>
  <c r="AB180" i="4" s="1"/>
  <c r="AA116" i="4"/>
  <c r="AB116" i="4" s="1"/>
  <c r="AA25" i="4"/>
  <c r="AB25" i="4" s="1"/>
  <c r="AA61" i="4"/>
  <c r="AB61" i="4" s="1"/>
  <c r="AA128" i="4"/>
  <c r="AB128" i="4" s="1"/>
  <c r="AA96" i="4"/>
  <c r="AB96" i="4" s="1"/>
  <c r="AA77" i="4"/>
  <c r="AB77" i="4" s="1"/>
  <c r="AA37" i="4"/>
  <c r="AB37" i="4" s="1"/>
  <c r="AA175" i="4"/>
  <c r="AB175" i="4" s="1"/>
  <c r="AA176" i="4"/>
  <c r="AB176" i="4" s="1"/>
  <c r="AA144" i="4"/>
  <c r="AB144" i="4" s="1"/>
  <c r="AA112" i="4"/>
  <c r="AB112" i="4" s="1"/>
  <c r="AA89" i="4"/>
  <c r="AB89" i="4" s="1"/>
  <c r="AA69" i="4"/>
  <c r="AB69" i="4" s="1"/>
  <c r="AA45" i="4"/>
  <c r="AB45" i="4" s="1"/>
  <c r="AA148" i="4"/>
  <c r="AB148" i="4" s="1"/>
  <c r="AA85" i="4"/>
  <c r="AB85" i="4" s="1"/>
  <c r="AA41" i="4"/>
  <c r="AB41" i="4" s="1"/>
  <c r="AA160" i="4"/>
  <c r="AB160" i="4" s="1"/>
  <c r="AA9" i="4"/>
  <c r="AB9" i="4" s="1"/>
  <c r="AA57" i="4"/>
  <c r="AB57" i="4" s="1"/>
  <c r="AA33" i="4"/>
  <c r="AB33" i="4" s="1"/>
  <c r="AA86" i="4"/>
  <c r="AB86" i="4" s="1"/>
  <c r="AA108" i="4"/>
  <c r="AB108" i="4" s="1"/>
  <c r="AA156" i="4"/>
  <c r="AB156" i="4" s="1"/>
  <c r="AA162" i="4"/>
  <c r="AB162" i="4" s="1"/>
  <c r="AA106" i="4"/>
  <c r="AB106" i="4" s="1"/>
  <c r="AA142" i="4"/>
  <c r="AB142" i="4" s="1"/>
  <c r="AA130" i="4"/>
  <c r="AB130" i="4" s="1"/>
  <c r="AA123" i="4"/>
  <c r="AB123" i="4" s="1"/>
  <c r="AA165" i="4"/>
  <c r="AB165" i="4" s="1"/>
  <c r="AA135" i="4"/>
  <c r="AB135" i="4" s="1"/>
  <c r="AA168" i="4"/>
  <c r="AB168" i="4" s="1"/>
  <c r="AA181" i="4"/>
  <c r="AB181" i="4" s="1"/>
  <c r="AA178" i="4"/>
  <c r="AB178" i="4" s="1"/>
  <c r="AA161" i="4"/>
  <c r="AB161" i="4" s="1"/>
  <c r="AA173" i="4"/>
  <c r="AB173" i="4" s="1"/>
  <c r="AA153" i="4"/>
  <c r="AB153" i="4" s="1"/>
  <c r="AA141" i="4"/>
  <c r="AB141" i="4" s="1"/>
  <c r="AA155" i="4"/>
  <c r="AB155" i="4" s="1"/>
  <c r="AA78" i="4"/>
  <c r="AB78" i="4" s="1"/>
  <c r="AA40" i="4"/>
  <c r="AB40" i="4" s="1"/>
  <c r="AA34" i="4"/>
  <c r="AB34" i="4" s="1"/>
  <c r="AA11" i="4"/>
  <c r="AB11" i="4" s="1"/>
  <c r="AA54" i="4"/>
  <c r="AB54" i="4" s="1"/>
  <c r="AA52" i="4"/>
  <c r="AB52" i="4" s="1"/>
  <c r="AA10" i="4"/>
  <c r="AB10" i="4" s="1"/>
  <c r="AA83" i="4"/>
  <c r="AB83" i="4" s="1"/>
  <c r="AA63" i="4"/>
  <c r="AB63" i="4" s="1"/>
  <c r="AA80" i="4"/>
  <c r="AB80" i="4" s="1"/>
  <c r="AA87" i="4"/>
  <c r="AB87" i="4" s="1"/>
  <c r="AA92" i="4"/>
  <c r="AB92" i="4" s="1"/>
  <c r="AA28" i="4"/>
  <c r="AB28" i="4" s="1"/>
  <c r="AA66" i="4"/>
  <c r="AB66" i="4" s="1"/>
  <c r="AA84" i="4"/>
  <c r="AB84" i="4" s="1"/>
  <c r="AA59" i="4"/>
  <c r="AB59" i="4" s="1"/>
  <c r="AA48" i="4"/>
  <c r="AB48" i="4" s="1"/>
  <c r="AA60" i="4"/>
  <c r="AB60" i="4" s="1"/>
  <c r="AA172" i="4"/>
  <c r="AB172" i="4" s="1"/>
  <c r="AA129" i="4"/>
  <c r="AB129" i="4" s="1"/>
  <c r="AA133" i="4"/>
  <c r="AB133" i="4" s="1"/>
  <c r="AA120" i="4"/>
  <c r="AB120" i="4" s="1"/>
  <c r="AA115" i="4"/>
  <c r="AB115" i="4" s="1"/>
  <c r="AA174" i="4"/>
  <c r="AB174" i="4" s="1"/>
  <c r="AA95" i="4"/>
  <c r="AB95" i="4" s="1"/>
  <c r="AA29" i="4"/>
  <c r="AB29" i="4" s="1"/>
  <c r="AA68" i="4"/>
  <c r="AB68" i="4" s="1"/>
  <c r="AA51" i="4"/>
  <c r="AB51" i="4" s="1"/>
  <c r="AA32" i="4"/>
  <c r="AB32" i="4" s="1"/>
  <c r="AA44" i="4"/>
  <c r="AB44" i="4" s="1"/>
  <c r="AA81" i="4"/>
  <c r="AB81" i="4" s="1"/>
  <c r="AA152" i="4"/>
  <c r="AB152" i="4" s="1"/>
  <c r="AA127" i="4"/>
  <c r="AB127" i="4" s="1"/>
  <c r="AA114" i="4"/>
  <c r="AB114" i="4" s="1"/>
  <c r="AA143" i="4"/>
  <c r="AB143" i="4" s="1"/>
  <c r="AA121" i="4"/>
  <c r="AB121" i="4" s="1"/>
  <c r="AA109" i="4"/>
  <c r="AB109" i="4" s="1"/>
  <c r="AA102" i="4"/>
  <c r="AB102" i="4" s="1"/>
  <c r="AA138" i="4"/>
  <c r="AB138" i="4" s="1"/>
  <c r="AA150" i="4"/>
  <c r="AB150" i="4" s="1"/>
  <c r="AA154" i="4"/>
  <c r="AB154" i="4" s="1"/>
  <c r="AA179" i="4"/>
  <c r="AB179" i="4" s="1"/>
  <c r="AA146" i="4"/>
  <c r="AB146" i="4" s="1"/>
  <c r="AA139" i="4"/>
  <c r="AB139" i="4" s="1"/>
  <c r="AA149" i="4"/>
  <c r="AB149" i="4" s="1"/>
  <c r="AA131" i="4"/>
  <c r="AB131" i="4" s="1"/>
  <c r="AA119" i="4"/>
  <c r="AB119" i="4" s="1"/>
  <c r="AA134" i="4"/>
  <c r="AB134" i="4" s="1"/>
  <c r="AA58" i="4"/>
  <c r="AB58" i="4" s="1"/>
  <c r="AA91" i="4"/>
  <c r="AB91" i="4" s="1"/>
  <c r="AA30" i="4"/>
  <c r="AB30" i="4" s="1"/>
  <c r="AA24" i="4"/>
  <c r="AB24" i="4" s="1"/>
  <c r="AA42" i="4"/>
  <c r="AB42" i="4" s="1"/>
  <c r="AA62" i="4"/>
  <c r="AB62" i="4" s="1"/>
  <c r="AA22" i="4"/>
  <c r="AB22" i="4" s="1"/>
  <c r="AA36" i="4"/>
  <c r="AB36" i="4" s="1"/>
  <c r="AA26" i="4"/>
  <c r="AB26" i="4" s="1"/>
  <c r="AA35" i="4"/>
  <c r="AB35" i="4" s="1"/>
  <c r="AA31" i="4"/>
  <c r="AB31" i="4" s="1"/>
  <c r="AA64" i="4"/>
  <c r="AB64" i="4" s="1"/>
  <c r="AA67" i="4"/>
  <c r="AB67" i="4" s="1"/>
  <c r="AA55" i="4"/>
  <c r="AB55" i="4" s="1"/>
  <c r="AA76" i="4"/>
  <c r="AB76" i="4" s="1"/>
  <c r="AA12" i="4"/>
  <c r="AB12" i="4" s="1"/>
  <c r="AA13" i="4"/>
  <c r="AB13" i="4" s="1"/>
  <c r="AA46" i="4"/>
  <c r="AB46" i="4" s="1"/>
  <c r="AA94" i="4"/>
  <c r="AB94" i="4" s="1"/>
  <c r="AA65" i="4"/>
  <c r="AB65" i="4" s="1"/>
  <c r="AA163" i="4"/>
  <c r="AB163" i="4" s="1"/>
  <c r="AA145" i="4"/>
  <c r="AB145" i="4" s="1"/>
  <c r="AA122" i="4"/>
  <c r="AB122" i="4" s="1"/>
  <c r="AA103" i="4"/>
  <c r="AB103" i="4" s="1"/>
  <c r="AA167" i="4"/>
  <c r="AB167" i="4" s="1"/>
  <c r="AA43" i="4"/>
  <c r="AB43" i="4" s="1"/>
  <c r="AA56" i="4"/>
  <c r="AB56" i="4" s="1"/>
  <c r="AA39" i="4"/>
  <c r="AB39" i="4" s="1"/>
  <c r="AA70" i="4"/>
  <c r="AB70" i="4" s="1"/>
  <c r="AA38" i="4"/>
  <c r="AB38" i="4" s="1"/>
  <c r="AA140" i="4"/>
  <c r="AB140" i="4" s="1"/>
  <c r="AA49" i="4"/>
  <c r="AB49" i="4" s="1"/>
  <c r="AA124" i="4"/>
  <c r="AB124" i="4" s="1"/>
  <c r="AA169" i="4"/>
  <c r="AB169" i="4" s="1"/>
  <c r="AA171" i="4"/>
  <c r="AB171" i="4" s="1"/>
  <c r="AA117" i="4"/>
  <c r="AB117" i="4" s="1"/>
  <c r="AA98" i="4"/>
  <c r="AB98" i="4" s="1"/>
  <c r="AA166" i="4"/>
  <c r="AB166" i="4" s="1"/>
  <c r="AA111" i="4"/>
  <c r="AB111" i="4" s="1"/>
  <c r="AA147" i="4"/>
  <c r="AB147" i="4" s="1"/>
  <c r="AA104" i="4"/>
  <c r="AB104" i="4" s="1"/>
  <c r="AA170" i="4"/>
  <c r="AB170" i="4" s="1"/>
  <c r="AA137" i="4"/>
  <c r="AB137" i="4" s="1"/>
  <c r="AA125" i="4"/>
  <c r="AB125" i="4" s="1"/>
  <c r="AA118" i="4"/>
  <c r="AB118" i="4" s="1"/>
  <c r="AA101" i="4"/>
  <c r="AB101" i="4" s="1"/>
  <c r="AA110" i="4"/>
  <c r="AB110" i="4" s="1"/>
  <c r="AA97" i="4"/>
  <c r="AB97" i="4" s="1"/>
  <c r="AA113" i="4"/>
  <c r="AB113" i="4" s="1"/>
  <c r="AA82" i="4"/>
  <c r="AB82" i="4" s="1"/>
  <c r="AA79" i="4"/>
  <c r="AB79" i="4" s="1"/>
  <c r="AA88" i="4"/>
  <c r="AB88" i="4" s="1"/>
  <c r="AA75" i="4"/>
  <c r="AB75" i="4" s="1"/>
  <c r="AA50" i="4"/>
  <c r="AB50" i="4" s="1"/>
  <c r="AA23" i="4"/>
  <c r="AB23" i="4" s="1"/>
  <c r="AA136" i="4"/>
  <c r="AB136" i="4" s="1"/>
  <c r="AA126" i="4"/>
  <c r="AB126" i="4" s="1"/>
  <c r="AA151" i="4"/>
  <c r="AB151" i="4" s="1"/>
  <c r="AA105" i="4"/>
  <c r="AB105" i="4" s="1"/>
  <c r="AA99" i="4"/>
  <c r="AB99" i="4" s="1"/>
  <c r="AA177" i="4"/>
  <c r="AB177" i="4" s="1"/>
  <c r="AA47" i="4"/>
  <c r="AB47" i="4" s="1"/>
  <c r="AA90" i="4"/>
  <c r="AB90" i="4" s="1"/>
  <c r="AA27" i="4"/>
  <c r="AB27" i="4" s="1"/>
  <c r="I175" i="4"/>
  <c r="I176" i="4"/>
  <c r="I159" i="4"/>
  <c r="I103" i="4"/>
  <c r="I150" i="4"/>
  <c r="I93" i="4"/>
  <c r="I137" i="4"/>
  <c r="I98" i="4"/>
  <c r="I156" i="4"/>
  <c r="I133" i="4"/>
  <c r="I124" i="4"/>
  <c r="I136" i="4"/>
  <c r="I75" i="4"/>
  <c r="I111" i="4"/>
  <c r="I101" i="4"/>
  <c r="I152" i="4"/>
  <c r="I88" i="4"/>
  <c r="I120" i="4"/>
  <c r="I105" i="4"/>
  <c r="I104" i="4"/>
  <c r="I135" i="4"/>
  <c r="I62" i="4"/>
  <c r="I58" i="4"/>
  <c r="I56" i="4"/>
  <c r="I53" i="4"/>
  <c r="I44" i="4"/>
  <c r="I35" i="4"/>
  <c r="I30" i="4"/>
  <c r="I29" i="4"/>
  <c r="I28" i="4"/>
  <c r="I25" i="4"/>
  <c r="I20" i="4"/>
  <c r="I17" i="4"/>
  <c r="I174" i="4"/>
  <c r="I108" i="4"/>
  <c r="I113" i="4"/>
  <c r="I164" i="4"/>
  <c r="I128" i="4"/>
  <c r="I86" i="4"/>
  <c r="I127" i="4"/>
  <c r="I117" i="4"/>
  <c r="I178" i="4"/>
  <c r="I132" i="4"/>
  <c r="I99" i="4"/>
  <c r="I179" i="4"/>
  <c r="I154" i="4"/>
  <c r="I163" i="4"/>
  <c r="I165" i="4"/>
  <c r="I153" i="4"/>
  <c r="I95" i="4"/>
  <c r="I91" i="4"/>
  <c r="I160" i="4"/>
  <c r="I158" i="4"/>
  <c r="I123" i="4"/>
  <c r="I115" i="4"/>
  <c r="I116" i="4"/>
  <c r="I170" i="4"/>
  <c r="I110" i="4"/>
  <c r="I149" i="4"/>
  <c r="I89" i="4"/>
  <c r="I125" i="4"/>
  <c r="I90" i="4"/>
  <c r="I119" i="4"/>
  <c r="I24" i="4"/>
  <c r="I69" i="4"/>
  <c r="I71" i="4"/>
  <c r="I70" i="4"/>
  <c r="I67" i="4"/>
  <c r="I64" i="4"/>
  <c r="I63" i="4"/>
  <c r="I61" i="4"/>
  <c r="I59" i="4"/>
  <c r="I54" i="4"/>
  <c r="I50" i="4"/>
  <c r="I49" i="4"/>
  <c r="I46" i="4"/>
  <c r="I146" i="4"/>
  <c r="I39" i="4"/>
  <c r="I37" i="4"/>
  <c r="I32" i="4"/>
  <c r="I26" i="4"/>
  <c r="I27" i="4"/>
  <c r="I18" i="4"/>
  <c r="I14" i="4"/>
  <c r="I161" i="4"/>
  <c r="I11" i="4"/>
  <c r="I121" i="4"/>
  <c r="I181" i="4"/>
  <c r="I77" i="4"/>
  <c r="I87" i="4"/>
  <c r="I109" i="4"/>
  <c r="I107" i="4"/>
  <c r="I171" i="4"/>
  <c r="I94" i="4"/>
  <c r="I102" i="4"/>
  <c r="I85" i="4"/>
  <c r="I134" i="4"/>
  <c r="I122" i="4"/>
  <c r="I162" i="4"/>
  <c r="I138" i="4"/>
  <c r="I151" i="4"/>
  <c r="I106" i="4"/>
  <c r="I141" i="4"/>
  <c r="I140" i="4"/>
  <c r="I157" i="4"/>
  <c r="I166" i="4"/>
  <c r="I96" i="4"/>
  <c r="I92" i="4"/>
  <c r="I83" i="4"/>
  <c r="I112" i="4"/>
  <c r="I84" i="4"/>
  <c r="I76" i="4"/>
  <c r="I74" i="4"/>
  <c r="I65" i="4"/>
  <c r="I57" i="4"/>
  <c r="I55" i="4"/>
  <c r="I52" i="4"/>
  <c r="I45" i="4"/>
  <c r="I42" i="4"/>
  <c r="I139" i="4"/>
  <c r="I38" i="4"/>
  <c r="I36" i="4"/>
  <c r="I34" i="4"/>
  <c r="I131" i="4"/>
  <c r="I31" i="4"/>
  <c r="I172" i="4"/>
  <c r="I19" i="4"/>
  <c r="I21" i="4"/>
  <c r="I16" i="4"/>
  <c r="I12" i="4"/>
  <c r="I177" i="4"/>
  <c r="I126" i="4"/>
  <c r="I97" i="4"/>
  <c r="I81" i="4"/>
  <c r="I80" i="4"/>
  <c r="I129" i="4"/>
  <c r="I155" i="4"/>
  <c r="I142" i="4"/>
  <c r="I100" i="4"/>
  <c r="I168" i="4"/>
  <c r="I173" i="4"/>
  <c r="I148" i="4"/>
  <c r="I114" i="4"/>
  <c r="I145" i="4"/>
  <c r="I180" i="4"/>
  <c r="I167" i="4"/>
  <c r="I130" i="4"/>
  <c r="I82" i="4"/>
  <c r="I147" i="4"/>
  <c r="I78" i="4"/>
  <c r="I73" i="4"/>
  <c r="I143" i="4"/>
  <c r="I169" i="4"/>
  <c r="I79" i="4"/>
  <c r="I15" i="4"/>
  <c r="AJ122" i="5"/>
  <c r="BL120" i="5"/>
  <c r="BP119" i="5"/>
  <c r="AQ118" i="5"/>
  <c r="AR118" i="5" s="1"/>
  <c r="AJ116" i="5"/>
  <c r="BH116" i="5" s="1"/>
  <c r="BJ116" i="5" s="1"/>
  <c r="BL115" i="5"/>
  <c r="BP114" i="5"/>
  <c r="BO113" i="5"/>
  <c r="AQ111" i="5"/>
  <c r="AR111" i="5" s="1"/>
  <c r="AB110" i="5"/>
  <c r="BU108" i="5"/>
  <c r="AJ107" i="5"/>
  <c r="BH107" i="5" s="1"/>
  <c r="BJ107" i="5" s="1"/>
  <c r="AJ105" i="5"/>
  <c r="BH105" i="5" s="1"/>
  <c r="BJ105" i="5" s="1"/>
  <c r="AB103" i="5"/>
  <c r="BL122" i="5"/>
  <c r="BO121" i="5"/>
  <c r="AJ119" i="5"/>
  <c r="BH119" i="5" s="1"/>
  <c r="BJ119" i="5" s="1"/>
  <c r="AL118" i="5"/>
  <c r="BT118" i="5" s="1"/>
  <c r="BP116" i="5"/>
  <c r="AL115" i="5"/>
  <c r="BT115" i="5" s="1"/>
  <c r="BU120" i="5"/>
  <c r="BU115" i="5"/>
  <c r="BV112" i="5"/>
  <c r="BV111" i="5"/>
  <c r="BP110" i="5"/>
  <c r="BV107" i="5"/>
  <c r="BU106" i="5"/>
  <c r="BL101" i="5"/>
  <c r="AJ99" i="5"/>
  <c r="BO96" i="5"/>
  <c r="AJ95" i="5"/>
  <c r="AJ93" i="5"/>
  <c r="BH93" i="5" s="1"/>
  <c r="BJ93" i="5" s="1"/>
  <c r="AB91" i="5"/>
  <c r="BV122" i="5"/>
  <c r="AQ119" i="5"/>
  <c r="AR119" i="5" s="1"/>
  <c r="AQ113" i="5"/>
  <c r="AR113" i="5" s="1"/>
  <c r="AQ110" i="5"/>
  <c r="AR110" i="5" s="1"/>
  <c r="BV106" i="5"/>
  <c r="CB102" i="5"/>
  <c r="AQ101" i="5"/>
  <c r="AL95" i="5"/>
  <c r="BT95" i="5" s="1"/>
  <c r="AQ121" i="5"/>
  <c r="BP117" i="5"/>
  <c r="CB113" i="5"/>
  <c r="AB111" i="5"/>
  <c r="AL109" i="5"/>
  <c r="BT109" i="5" s="1"/>
  <c r="BV105" i="5"/>
  <c r="AJ104" i="5"/>
  <c r="AB101" i="5"/>
  <c r="AL96" i="5"/>
  <c r="BT96" i="5" s="1"/>
  <c r="BP93" i="5"/>
  <c r="BU88" i="5"/>
  <c r="AL86" i="5"/>
  <c r="BT86" i="5" s="1"/>
  <c r="BO85" i="5"/>
  <c r="BL84" i="5"/>
  <c r="CB82" i="5"/>
  <c r="AJ79" i="5"/>
  <c r="BH79" i="5" s="1"/>
  <c r="BJ79" i="5" s="1"/>
  <c r="BL78" i="5"/>
  <c r="BO77" i="5"/>
  <c r="BP121" i="5"/>
  <c r="BV117" i="5"/>
  <c r="BU112" i="5"/>
  <c r="AB108" i="5"/>
  <c r="BU105" i="5"/>
  <c r="AJ102" i="5"/>
  <c r="AB114" i="5"/>
  <c r="AQ109" i="5"/>
  <c r="AR109" i="5" s="1"/>
  <c r="BV108" i="5"/>
  <c r="AQ104" i="5"/>
  <c r="AB100" i="5"/>
  <c r="AB96" i="5"/>
  <c r="CB94" i="5"/>
  <c r="BV89" i="5"/>
  <c r="AQ88" i="5"/>
  <c r="AR88" i="5" s="1"/>
  <c r="BV86" i="5"/>
  <c r="CB120" i="5"/>
  <c r="AJ120" i="5"/>
  <c r="BH120" i="5" s="1"/>
  <c r="BJ120" i="5" s="1"/>
  <c r="BL119" i="5"/>
  <c r="AJ118" i="5"/>
  <c r="BH118" i="5" s="1"/>
  <c r="BJ118" i="5" s="1"/>
  <c r="CB115" i="5"/>
  <c r="AJ115" i="5"/>
  <c r="BH115" i="5" s="1"/>
  <c r="BJ115" i="5" s="1"/>
  <c r="BL114" i="5"/>
  <c r="AL113" i="5"/>
  <c r="BT113" i="5" s="1"/>
  <c r="AJ111" i="5"/>
  <c r="BH111" i="5" s="1"/>
  <c r="BJ111" i="5" s="1"/>
  <c r="CB109" i="5"/>
  <c r="BO108" i="5"/>
  <c r="AL106" i="5"/>
  <c r="BT106" i="5" s="1"/>
  <c r="CB104" i="5"/>
  <c r="BO102" i="5"/>
  <c r="AQ122" i="5"/>
  <c r="AB121" i="5"/>
  <c r="CB118" i="5"/>
  <c r="AB118" i="5"/>
  <c r="BL116" i="5"/>
  <c r="AB115" i="5"/>
  <c r="AQ117" i="5"/>
  <c r="AR117" i="5" s="1"/>
  <c r="AQ115" i="5"/>
  <c r="AR115" i="5" s="1"/>
  <c r="BP112" i="5"/>
  <c r="BP111" i="5"/>
  <c r="BP109" i="5"/>
  <c r="BP107" i="5"/>
  <c r="BO106" i="5"/>
  <c r="AQ96" i="5"/>
  <c r="BL94" i="5"/>
  <c r="BU92" i="5"/>
  <c r="CB90" i="5"/>
  <c r="BO122" i="5"/>
  <c r="BL118" i="5"/>
  <c r="BO111" i="5"/>
  <c r="BL108" i="5"/>
  <c r="AJ106" i="5"/>
  <c r="BH106" i="5" s="1"/>
  <c r="BJ106" i="5" s="1"/>
  <c r="BL102" i="5"/>
  <c r="AJ101" i="5"/>
  <c r="AL94" i="5"/>
  <c r="BT94" i="5" s="1"/>
  <c r="AJ121" i="5"/>
  <c r="BH121" i="5" s="1"/>
  <c r="BJ121" i="5" s="1"/>
  <c r="AJ117" i="5"/>
  <c r="BH117" i="5" s="1"/>
  <c r="BJ117" i="5" s="1"/>
  <c r="BL113" i="5"/>
  <c r="BL110" i="5"/>
  <c r="BO107" i="5"/>
  <c r="BP105" i="5"/>
  <c r="CB103" i="5"/>
  <c r="AB99" i="5"/>
  <c r="BL95" i="5"/>
  <c r="BL93" i="5"/>
  <c r="BO88" i="5"/>
  <c r="AB86" i="5"/>
  <c r="CB84" i="5"/>
  <c r="AL84" i="5"/>
  <c r="BT84" i="5" s="1"/>
  <c r="BV82" i="5"/>
  <c r="CB78" i="5"/>
  <c r="AJ78" i="5"/>
  <c r="BH78" i="5" s="1"/>
  <c r="BJ78" i="5" s="1"/>
  <c r="I8" i="4"/>
  <c r="BU119" i="5"/>
  <c r="BO116" i="5"/>
  <c r="AQ112" i="5"/>
  <c r="AR112" i="5" s="1"/>
  <c r="BU107" i="5"/>
  <c r="BO105" i="5"/>
  <c r="AB102" i="5"/>
  <c r="AJ113" i="5"/>
  <c r="BH113" i="5" s="1"/>
  <c r="BJ113" i="5" s="1"/>
  <c r="AJ109" i="5"/>
  <c r="BH109" i="5" s="1"/>
  <c r="BJ109" i="5" s="1"/>
  <c r="CB107" i="5"/>
  <c r="AQ102" i="5"/>
  <c r="AB98" i="5"/>
  <c r="AB95" i="5"/>
  <c r="AQ93" i="5"/>
  <c r="AR93" i="5" s="1"/>
  <c r="BP89" i="5"/>
  <c r="AJ88" i="5"/>
  <c r="BH88" i="5" s="1"/>
  <c r="BJ88" i="5" s="1"/>
  <c r="BP86" i="5"/>
  <c r="AL85" i="5"/>
  <c r="BT85" i="5" s="1"/>
  <c r="BO82" i="5"/>
  <c r="BO80" i="5"/>
  <c r="AQ76" i="5"/>
  <c r="AR76" i="5" s="1"/>
  <c r="BL75" i="5"/>
  <c r="BP74" i="5"/>
  <c r="BL73" i="5"/>
  <c r="BV72" i="5"/>
  <c r="BV120" i="5"/>
  <c r="CB119" i="5"/>
  <c r="AL119" i="5"/>
  <c r="BT119" i="5" s="1"/>
  <c r="BU117" i="5"/>
  <c r="BV115" i="5"/>
  <c r="CB114" i="5"/>
  <c r="AJ114" i="5"/>
  <c r="BH114" i="5" s="1"/>
  <c r="BJ114" i="5" s="1"/>
  <c r="AB113" i="5"/>
  <c r="BU110" i="5"/>
  <c r="BU109" i="5"/>
  <c r="AQ108" i="5"/>
  <c r="AR108" i="5" s="1"/>
  <c r="AB106" i="5"/>
  <c r="BO104" i="5"/>
  <c r="BU122" i="5"/>
  <c r="AL122" i="5"/>
  <c r="AL120" i="5"/>
  <c r="BT120" i="5" s="1"/>
  <c r="BU118" i="5"/>
  <c r="CB116" i="5"/>
  <c r="AL116" i="5"/>
  <c r="BT116" i="5" s="1"/>
  <c r="AL114" i="5"/>
  <c r="BT114" i="5" s="1"/>
  <c r="AB117" i="5"/>
  <c r="BU114" i="5"/>
  <c r="BL112" i="5"/>
  <c r="BL111" i="5"/>
  <c r="BP108" i="5"/>
  <c r="BL107" i="5"/>
  <c r="AL104" i="5"/>
  <c r="BT104" i="5" s="1"/>
  <c r="AJ96" i="5"/>
  <c r="AQ94" i="5"/>
  <c r="BO92" i="5"/>
  <c r="BO90" i="5"/>
  <c r="BO120" i="5"/>
  <c r="BL117" i="5"/>
  <c r="CB110" i="5"/>
  <c r="AQ107" i="5"/>
  <c r="AR107" i="5" s="1"/>
  <c r="AB105" i="5"/>
  <c r="AL102" i="5"/>
  <c r="BT102" i="5" s="1"/>
  <c r="AJ97" i="5"/>
  <c r="AL93" i="5"/>
  <c r="BT93" i="5" s="1"/>
  <c r="BO119" i="5"/>
  <c r="BO115" i="5"/>
  <c r="BO112" i="5"/>
  <c r="AL110" i="5"/>
  <c r="BT110" i="5" s="1"/>
  <c r="AL107" i="5"/>
  <c r="BT107" i="5" s="1"/>
  <c r="BL105" i="5"/>
  <c r="BL103" i="5"/>
  <c r="AQ95" i="5"/>
  <c r="BP92" i="5"/>
  <c r="AL87" i="5"/>
  <c r="BT87" i="5" s="1"/>
  <c r="CB85" i="5"/>
  <c r="BV84" i="5"/>
  <c r="AB84" i="5"/>
  <c r="BP82" i="5"/>
  <c r="BV78" i="5"/>
  <c r="CB77" i="5"/>
  <c r="CB121" i="5"/>
  <c r="BV118" i="5"/>
  <c r="AQ114" i="5"/>
  <c r="AR114" i="5" s="1"/>
  <c r="CB111" i="5"/>
  <c r="BL106" i="5"/>
  <c r="AB104" i="5"/>
  <c r="AL117" i="5"/>
  <c r="BT117" i="5" s="1"/>
  <c r="AB112" i="5"/>
  <c r="AB109" i="5"/>
  <c r="BP106" i="5"/>
  <c r="BL100" i="5"/>
  <c r="BL99" i="5"/>
  <c r="BP120" i="5"/>
  <c r="BP115" i="5"/>
  <c r="BO110" i="5"/>
  <c r="AQ103" i="5"/>
  <c r="BO118" i="5"/>
  <c r="AQ116" i="5"/>
  <c r="AR116" i="5" s="1"/>
  <c r="AL108" i="5"/>
  <c r="BT108" i="5" s="1"/>
  <c r="CB96" i="5"/>
  <c r="I7" i="4"/>
  <c r="CB106" i="5"/>
  <c r="BL96" i="5"/>
  <c r="BU111" i="5"/>
  <c r="CB101" i="5"/>
  <c r="AB87" i="5"/>
  <c r="BL82" i="5"/>
  <c r="CB117" i="5"/>
  <c r="BO103" i="5"/>
  <c r="BL104" i="5"/>
  <c r="BL97" i="5"/>
  <c r="BL88" i="5"/>
  <c r="AQ86" i="5"/>
  <c r="AR86" i="5" s="1"/>
  <c r="BL83" i="5"/>
  <c r="AQ80" i="5"/>
  <c r="AR80" i="5" s="1"/>
  <c r="BV75" i="5"/>
  <c r="BV74" i="5"/>
  <c r="AQ73" i="5"/>
  <c r="AR73" i="5" s="1"/>
  <c r="BL72" i="5"/>
  <c r="BP71" i="5"/>
  <c r="AL67" i="5"/>
  <c r="BT67" i="5" s="1"/>
  <c r="AB65" i="5"/>
  <c r="AB63" i="5"/>
  <c r="CB59" i="5"/>
  <c r="BP57" i="5"/>
  <c r="BU56" i="5"/>
  <c r="BL91" i="5"/>
  <c r="BO89" i="5"/>
  <c r="BU86" i="5"/>
  <c r="BV83" i="5"/>
  <c r="AQ82" i="5"/>
  <c r="AR82" i="5" s="1"/>
  <c r="AQ79" i="5"/>
  <c r="AR79" i="5" s="1"/>
  <c r="AB78" i="5"/>
  <c r="BV76" i="5"/>
  <c r="AB76" i="5"/>
  <c r="BU74" i="5"/>
  <c r="CB73" i="5"/>
  <c r="BO72" i="5"/>
  <c r="AQ71" i="5"/>
  <c r="AR71" i="5" s="1"/>
  <c r="BP70" i="5"/>
  <c r="BL69" i="5"/>
  <c r="BV68" i="5"/>
  <c r="AJ68" i="5"/>
  <c r="BH68" i="5" s="1"/>
  <c r="BJ68" i="5" s="1"/>
  <c r="CB66" i="5"/>
  <c r="BV65" i="5"/>
  <c r="AB64" i="5"/>
  <c r="BL63" i="5"/>
  <c r="CB61" i="5"/>
  <c r="AB97" i="5"/>
  <c r="AB92" i="5"/>
  <c r="AJ91" i="5"/>
  <c r="AB89" i="5"/>
  <c r="AB88" i="5"/>
  <c r="CB83" i="5"/>
  <c r="BL81" i="5"/>
  <c r="BV79" i="5"/>
  <c r="BU78" i="5"/>
  <c r="BU76" i="5"/>
  <c r="AL73" i="5"/>
  <c r="BT73" i="5" s="1"/>
  <c r="BU70" i="5"/>
  <c r="CB69" i="5"/>
  <c r="BO68" i="5"/>
  <c r="AQ67" i="5"/>
  <c r="AR67" i="5" s="1"/>
  <c r="AQ66" i="5"/>
  <c r="AR66" i="5" s="1"/>
  <c r="BO65" i="5"/>
  <c r="AJ63" i="5"/>
  <c r="BH63" i="5" s="1"/>
  <c r="BJ63" i="5" s="1"/>
  <c r="AJ100" i="5"/>
  <c r="CB92" i="5"/>
  <c r="AL89" i="5"/>
  <c r="BT89" i="5" s="1"/>
  <c r="BL87" i="5"/>
  <c r="AQ85" i="5"/>
  <c r="AR85" i="5" s="1"/>
  <c r="AB83" i="5"/>
  <c r="BU81" i="5"/>
  <c r="BP80" i="5"/>
  <c r="BO79" i="5"/>
  <c r="AB74" i="5"/>
  <c r="BV119" i="5"/>
  <c r="BV114" i="5"/>
  <c r="BO109" i="5"/>
  <c r="BP122" i="5"/>
  <c r="BV116" i="5"/>
  <c r="CB112" i="5"/>
  <c r="AB107" i="5"/>
  <c r="BO95" i="5"/>
  <c r="AQ120" i="5"/>
  <c r="AR120" i="5" s="1"/>
  <c r="AJ103" i="5"/>
  <c r="BL121" i="5"/>
  <c r="BV109" i="5"/>
  <c r="AJ98" i="5"/>
  <c r="BU85" i="5"/>
  <c r="BP78" i="5"/>
  <c r="BP113" i="5"/>
  <c r="BU116" i="5"/>
  <c r="BL92" i="5"/>
  <c r="BU87" i="5"/>
  <c r="BL85" i="5"/>
  <c r="AQ81" i="5"/>
  <c r="AR81" i="5" s="1"/>
  <c r="AL77" i="5"/>
  <c r="BT77" i="5" s="1"/>
  <c r="BP75" i="5"/>
  <c r="BL74" i="5"/>
  <c r="AJ73" i="5"/>
  <c r="BH73" i="5" s="1"/>
  <c r="BJ73" i="5" s="1"/>
  <c r="AQ72" i="5"/>
  <c r="AR72" i="5" s="1"/>
  <c r="BL71" i="5"/>
  <c r="AL66" i="5"/>
  <c r="BT66" i="5" s="1"/>
  <c r="BU59" i="5"/>
  <c r="BL57" i="5"/>
  <c r="BO56" i="5"/>
  <c r="AJ90" i="5"/>
  <c r="AJ89" i="5"/>
  <c r="BH89" i="5" s="1"/>
  <c r="BJ89" i="5" s="1"/>
  <c r="BO86" i="5"/>
  <c r="BO83" i="5"/>
  <c r="AJ82" i="5"/>
  <c r="BH82" i="5" s="1"/>
  <c r="BJ82" i="5" s="1"/>
  <c r="AB79" i="5"/>
  <c r="BL77" i="5"/>
  <c r="BP76" i="5"/>
  <c r="BU75" i="5"/>
  <c r="BO74" i="5"/>
  <c r="BU73" i="5"/>
  <c r="CB71" i="5"/>
  <c r="AJ71" i="5"/>
  <c r="BH71" i="5" s="1"/>
  <c r="BJ71" i="5" s="1"/>
  <c r="BL70" i="5"/>
  <c r="AQ69" i="5"/>
  <c r="AR69" i="5" s="1"/>
  <c r="BP68" i="5"/>
  <c r="BV67" i="5"/>
  <c r="BV66" i="5"/>
  <c r="BP65" i="5"/>
  <c r="CB63" i="5"/>
  <c r="AQ63" i="5"/>
  <c r="AR63" i="5" s="1"/>
  <c r="BO61" i="5"/>
  <c r="BL60" i="5"/>
  <c r="CB95" i="5"/>
  <c r="CB91" i="5"/>
  <c r="BL90" i="5"/>
  <c r="CB88" i="5"/>
  <c r="BV85" i="5"/>
  <c r="BU83" i="5"/>
  <c r="AL81" i="5"/>
  <c r="BT81" i="5" s="1"/>
  <c r="BP79" i="5"/>
  <c r="AQ78" i="5"/>
  <c r="AR78" i="5" s="1"/>
  <c r="BO76" i="5"/>
  <c r="AB73" i="5"/>
  <c r="BO70" i="5"/>
  <c r="BU69" i="5"/>
  <c r="CB67" i="5"/>
  <c r="AJ67" i="5"/>
  <c r="BH67" i="5" s="1"/>
  <c r="BJ67" i="5" s="1"/>
  <c r="AJ66" i="5"/>
  <c r="BH66" i="5" s="1"/>
  <c r="BJ66" i="5" s="1"/>
  <c r="AJ65" i="5"/>
  <c r="BH65" i="5" s="1"/>
  <c r="BJ65" i="5" s="1"/>
  <c r="BO94" i="5"/>
  <c r="BV92" i="5"/>
  <c r="CB87" i="5"/>
  <c r="AQ87" i="5"/>
  <c r="AR87" i="5" s="1"/>
  <c r="AB85" i="5"/>
  <c r="AL82" i="5"/>
  <c r="BT82" i="5" s="1"/>
  <c r="BO81" i="5"/>
  <c r="BL80" i="5"/>
  <c r="BV77" i="5"/>
  <c r="AL71" i="5"/>
  <c r="BT71" i="5" s="1"/>
  <c r="AL68" i="5"/>
  <c r="BT68" i="5" s="1"/>
  <c r="AB61" i="5"/>
  <c r="BP59" i="5"/>
  <c r="AB119" i="5"/>
  <c r="AJ108" i="5"/>
  <c r="BH108" i="5" s="1"/>
  <c r="BJ108" i="5" s="1"/>
  <c r="AB116" i="5"/>
  <c r="AL103" i="5"/>
  <c r="BT103" i="5" s="1"/>
  <c r="BU113" i="5"/>
  <c r="BP118" i="5"/>
  <c r="BV93" i="5"/>
  <c r="BU77" i="5"/>
  <c r="AJ110" i="5"/>
  <c r="BH110" i="5" s="1"/>
  <c r="BJ110" i="5" s="1"/>
  <c r="AL92" i="5"/>
  <c r="BT92" i="5" s="1"/>
  <c r="AJ84" i="5"/>
  <c r="BH84" i="5" s="1"/>
  <c r="BJ84" i="5" s="1"/>
  <c r="AB77" i="5"/>
  <c r="BV73" i="5"/>
  <c r="AJ72" i="5"/>
  <c r="BH72" i="5" s="1"/>
  <c r="BJ72" i="5" s="1"/>
  <c r="AB66" i="5"/>
  <c r="BL61" i="5"/>
  <c r="AJ57" i="5"/>
  <c r="BH57" i="5" s="1"/>
  <c r="BJ57" i="5" s="1"/>
  <c r="CB89" i="5"/>
  <c r="BP85" i="5"/>
  <c r="AL80" i="5"/>
  <c r="BT80" i="5" s="1"/>
  <c r="AQ77" i="5"/>
  <c r="AR77" i="5" s="1"/>
  <c r="BO75" i="5"/>
  <c r="BO73" i="5"/>
  <c r="CB70" i="5"/>
  <c r="AJ69" i="5"/>
  <c r="BH69" i="5" s="1"/>
  <c r="BJ69" i="5" s="1"/>
  <c r="BP67" i="5"/>
  <c r="BL65" i="5"/>
  <c r="BO91" i="5"/>
  <c r="BV88" i="5"/>
  <c r="BV81" i="5"/>
  <c r="BL79" i="5"/>
  <c r="AL75" i="5"/>
  <c r="BT75" i="5" s="1"/>
  <c r="AQ70" i="5"/>
  <c r="AR70" i="5" s="1"/>
  <c r="BU67" i="5"/>
  <c r="CB65" i="5"/>
  <c r="BL62" i="5"/>
  <c r="AQ92" i="5"/>
  <c r="AR92" i="5" s="1"/>
  <c r="AJ87" i="5"/>
  <c r="BH87" i="5" s="1"/>
  <c r="BJ87" i="5" s="1"/>
  <c r="AB82" i="5"/>
  <c r="AJ80" i="5"/>
  <c r="BH80" i="5" s="1"/>
  <c r="BJ80" i="5" s="1"/>
  <c r="AB71" i="5"/>
  <c r="AB67" i="5"/>
  <c r="BL64" i="5"/>
  <c r="AB60" i="5"/>
  <c r="CB58" i="5"/>
  <c r="BU57" i="5"/>
  <c r="BO55" i="5"/>
  <c r="AJ48" i="5"/>
  <c r="AJ46" i="5"/>
  <c r="AJ43" i="5"/>
  <c r="BH43" i="5" s="1"/>
  <c r="BJ43" i="5" s="1"/>
  <c r="BP42" i="5"/>
  <c r="BU41" i="5"/>
  <c r="BL40" i="5"/>
  <c r="AJ38" i="5"/>
  <c r="BL34" i="5"/>
  <c r="BO58" i="5"/>
  <c r="AJ55" i="5"/>
  <c r="BH55" i="5" s="1"/>
  <c r="BJ55" i="5" s="1"/>
  <c r="BL54" i="5"/>
  <c r="AB53" i="5"/>
  <c r="BO48" i="5"/>
  <c r="AL45" i="5"/>
  <c r="BT45" i="5" s="1"/>
  <c r="CB40" i="5"/>
  <c r="AL39" i="5"/>
  <c r="BT39" i="5" s="1"/>
  <c r="BL37" i="5"/>
  <c r="AB36" i="5"/>
  <c r="BP33" i="5"/>
  <c r="AL35" i="5"/>
  <c r="BT35" i="5" s="1"/>
  <c r="AQ58" i="5"/>
  <c r="AR58" i="5" s="1"/>
  <c r="AQ56" i="5"/>
  <c r="AR56" i="5" s="1"/>
  <c r="BL52" i="5"/>
  <c r="AL48" i="5"/>
  <c r="BT48" i="5" s="1"/>
  <c r="BL46" i="5"/>
  <c r="AQ45" i="5"/>
  <c r="BV43" i="5"/>
  <c r="AJ42" i="5"/>
  <c r="BH42" i="5" s="1"/>
  <c r="BJ42" i="5" s="1"/>
  <c r="AL38" i="5"/>
  <c r="BT38" i="5" s="1"/>
  <c r="BP35" i="5"/>
  <c r="AL33" i="5"/>
  <c r="BO57" i="5"/>
  <c r="CB55" i="5"/>
  <c r="AL55" i="5"/>
  <c r="BT55" i="5" s="1"/>
  <c r="BV53" i="5"/>
  <c r="CB45" i="5"/>
  <c r="BO44" i="5"/>
  <c r="AQ42" i="5"/>
  <c r="AR42" i="5" s="1"/>
  <c r="BL41" i="5"/>
  <c r="AJ39" i="5"/>
  <c r="AJ37" i="5"/>
  <c r="BU35" i="5"/>
  <c r="AL34" i="5"/>
  <c r="BO36" i="5"/>
  <c r="BQ33" i="5"/>
  <c r="BO117" i="5"/>
  <c r="AQ105" i="5"/>
  <c r="AR105" i="5" s="1"/>
  <c r="AL121" i="5"/>
  <c r="BV110" i="5"/>
  <c r="BO114" i="5"/>
  <c r="AQ89" i="5"/>
  <c r="AR89" i="5" s="1"/>
  <c r="BU121" i="5"/>
  <c r="CB108" i="5"/>
  <c r="BL89" i="5"/>
  <c r="BP83" i="5"/>
  <c r="CB75" i="5"/>
  <c r="BP73" i="5"/>
  <c r="BV71" i="5"/>
  <c r="AL65" i="5"/>
  <c r="BT65" i="5" s="1"/>
  <c r="AQ61" i="5"/>
  <c r="CB56" i="5"/>
  <c r="BU89" i="5"/>
  <c r="AQ84" i="5"/>
  <c r="AR84" i="5" s="1"/>
  <c r="AB80" i="5"/>
  <c r="CB76" i="5"/>
  <c r="AQ75" i="5"/>
  <c r="AR75" i="5" s="1"/>
  <c r="BU72" i="5"/>
  <c r="BV70" i="5"/>
  <c r="CB68" i="5"/>
  <c r="BL67" i="5"/>
  <c r="AB62" i="5"/>
  <c r="AJ60" i="5"/>
  <c r="BH60" i="5" s="1"/>
  <c r="BJ60" i="5" s="1"/>
  <c r="AQ91" i="5"/>
  <c r="AL88" i="5"/>
  <c r="BT88" i="5" s="1"/>
  <c r="BP81" i="5"/>
  <c r="AL79" i="5"/>
  <c r="BT79" i="5" s="1"/>
  <c r="AB75" i="5"/>
  <c r="AJ70" i="5"/>
  <c r="BH70" i="5" s="1"/>
  <c r="BJ70" i="5" s="1"/>
  <c r="BO67" i="5"/>
  <c r="BU65" i="5"/>
  <c r="AL101" i="5"/>
  <c r="BT101" i="5" s="1"/>
  <c r="AL90" i="5"/>
  <c r="BT90" i="5" s="1"/>
  <c r="AJ86" i="5"/>
  <c r="BH86" i="5" s="1"/>
  <c r="BJ86" i="5" s="1"/>
  <c r="CB81" i="5"/>
  <c r="BU79" i="5"/>
  <c r="AL69" i="5"/>
  <c r="BT69" i="5" s="1"/>
  <c r="AQ65" i="5"/>
  <c r="AR65" i="5" s="1"/>
  <c r="AJ64" i="5"/>
  <c r="BH64" i="5" s="1"/>
  <c r="BJ64" i="5" s="1"/>
  <c r="AJ62" i="5"/>
  <c r="BH62" i="5" s="1"/>
  <c r="BJ62" i="5" s="1"/>
  <c r="BV59" i="5"/>
  <c r="BV58" i="5"/>
  <c r="AQ57" i="5"/>
  <c r="AR57" i="5" s="1"/>
  <c r="CB53" i="5"/>
  <c r="AB52" i="5"/>
  <c r="AB49" i="5"/>
  <c r="BL47" i="5"/>
  <c r="AL44" i="5"/>
  <c r="BT44" i="5" s="1"/>
  <c r="AB43" i="5"/>
  <c r="BL42" i="5"/>
  <c r="BO41" i="5"/>
  <c r="AQ40" i="5"/>
  <c r="CB36" i="5"/>
  <c r="AJ58" i="5"/>
  <c r="BH58" i="5" s="1"/>
  <c r="BJ58" i="5" s="1"/>
  <c r="AB50" i="5"/>
  <c r="AB45" i="5"/>
  <c r="BO40" i="5"/>
  <c r="AB39" i="5"/>
  <c r="AL37" i="5"/>
  <c r="BT37" i="5" s="1"/>
  <c r="CB34" i="5"/>
  <c r="BL33" i="5"/>
  <c r="AB33" i="5"/>
  <c r="AB58" i="5"/>
  <c r="AB56" i="5"/>
  <c r="AQ53" i="5"/>
  <c r="AR53" i="5" s="1"/>
  <c r="BL51" i="5"/>
  <c r="AB48" i="5"/>
  <c r="AL46" i="5"/>
  <c r="BT46" i="5" s="1"/>
  <c r="BL44" i="5"/>
  <c r="BP43" i="5"/>
  <c r="AL41" i="5"/>
  <c r="BT41" i="5" s="1"/>
  <c r="AB38" i="5"/>
  <c r="AB35" i="5"/>
  <c r="AL59" i="5"/>
  <c r="BT59" i="5" s="1"/>
  <c r="AL57" i="5"/>
  <c r="BT57" i="5" s="1"/>
  <c r="BV55" i="5"/>
  <c r="AB55" i="5"/>
  <c r="BP53" i="5"/>
  <c r="AB51" i="5"/>
  <c r="BO45" i="5"/>
  <c r="CB43" i="5"/>
  <c r="CB41" i="5"/>
  <c r="AL40" i="5"/>
  <c r="BT40" i="5" s="1"/>
  <c r="CB38" i="5"/>
  <c r="BL36" i="5"/>
  <c r="BO35" i="5"/>
  <c r="AB34" i="5"/>
  <c r="AQ35" i="5"/>
  <c r="BV113" i="5"/>
  <c r="AL112" i="5"/>
  <c r="BT112" i="5" s="1"/>
  <c r="BO101" i="5"/>
  <c r="BP84" i="5"/>
  <c r="BL98" i="5"/>
  <c r="AJ81" i="5"/>
  <c r="BH81" i="5" s="1"/>
  <c r="BJ81" i="5" s="1"/>
  <c r="CB72" i="5"/>
  <c r="BO93" i="5"/>
  <c r="AJ83" i="5"/>
  <c r="BH83" i="5" s="1"/>
  <c r="BJ83" i="5" s="1"/>
  <c r="BL76" i="5"/>
  <c r="BU71" i="5"/>
  <c r="BL68" i="5"/>
  <c r="BV63" i="5"/>
  <c r="BU93" i="5"/>
  <c r="AJ85" i="5"/>
  <c r="BH85" i="5" s="1"/>
  <c r="BJ85" i="5" s="1"/>
  <c r="BP77" i="5"/>
  <c r="BO69" i="5"/>
  <c r="BU63" i="5"/>
  <c r="BV87" i="5"/>
  <c r="CB80" i="5"/>
  <c r="AB69" i="5"/>
  <c r="BL59" i="5"/>
  <c r="BV56" i="5"/>
  <c r="CB42" i="5"/>
  <c r="AQ41" i="5"/>
  <c r="AR41" i="5" s="1"/>
  <c r="AJ35" i="5"/>
  <c r="CB57" i="5"/>
  <c r="AB54" i="5"/>
  <c r="AJ40" i="5"/>
  <c r="AB37" i="5"/>
  <c r="BV35" i="5"/>
  <c r="AB57" i="5"/>
  <c r="AJ47" i="5"/>
  <c r="BH47" i="5" s="1"/>
  <c r="BJ47" i="5" s="1"/>
  <c r="AQ44" i="5"/>
  <c r="AB41" i="5"/>
  <c r="BU34" i="5"/>
  <c r="BP56" i="5"/>
  <c r="BU43" i="5"/>
  <c r="CB39" i="5"/>
  <c r="AJ36" i="5"/>
  <c r="CB33" i="5"/>
  <c r="AJ112" i="5"/>
  <c r="BH112" i="5" s="1"/>
  <c r="BJ112" i="5" s="1"/>
  <c r="AL111" i="5"/>
  <c r="BT111" i="5" s="1"/>
  <c r="AQ83" i="5"/>
  <c r="AR83" i="5" s="1"/>
  <c r="BU80" i="5"/>
  <c r="BP72" i="5"/>
  <c r="AL63" i="5"/>
  <c r="BT63" i="5" s="1"/>
  <c r="AB93" i="5"/>
  <c r="BU82" i="5"/>
  <c r="AL76" i="5"/>
  <c r="BT76" i="5" s="1"/>
  <c r="BO71" i="5"/>
  <c r="AQ68" i="5"/>
  <c r="AR68" i="5" s="1"/>
  <c r="BP63" i="5"/>
  <c r="AJ92" i="5"/>
  <c r="BH92" i="5" s="1"/>
  <c r="BJ92" i="5" s="1"/>
  <c r="BO84" i="5"/>
  <c r="AJ77" i="5"/>
  <c r="BH77" i="5" s="1"/>
  <c r="BJ77" i="5" s="1"/>
  <c r="BU68" i="5"/>
  <c r="BO63" i="5"/>
  <c r="BP87" i="5"/>
  <c r="BV80" i="5"/>
  <c r="AB68" i="5"/>
  <c r="BU55" i="5"/>
  <c r="AB47" i="5"/>
  <c r="BV42" i="5"/>
  <c r="AJ41" i="5"/>
  <c r="BH41" i="5" s="1"/>
  <c r="BJ41" i="5" s="1"/>
  <c r="AJ33" i="5"/>
  <c r="AJ56" i="5"/>
  <c r="BH56" i="5" s="1"/>
  <c r="BJ56" i="5" s="1"/>
  <c r="AL53" i="5"/>
  <c r="BT53" i="5" s="1"/>
  <c r="BL50" i="5"/>
  <c r="AQ46" i="5"/>
  <c r="BL39" i="5"/>
  <c r="AL36" i="5"/>
  <c r="BT36" i="5" s="1"/>
  <c r="BL35" i="5"/>
  <c r="BL56" i="5"/>
  <c r="CB46" i="5"/>
  <c r="AJ44" i="5"/>
  <c r="BO39" i="5"/>
  <c r="BO33" i="5"/>
  <c r="AL56" i="5"/>
  <c r="BT56" i="5" s="1"/>
  <c r="AJ54" i="5"/>
  <c r="BH54" i="5" s="1"/>
  <c r="BJ54" i="5" s="1"/>
  <c r="BO46" i="5"/>
  <c r="BO43" i="5"/>
  <c r="AQ39" i="5"/>
  <c r="CB35" i="5"/>
  <c r="BU33" i="5"/>
  <c r="AB122" i="5"/>
  <c r="AJ94" i="5"/>
  <c r="AQ106" i="5"/>
  <c r="AR106" i="5" s="1"/>
  <c r="BL109" i="5"/>
  <c r="BO87" i="5"/>
  <c r="AJ75" i="5"/>
  <c r="BH75" i="5" s="1"/>
  <c r="BJ75" i="5" s="1"/>
  <c r="AL70" i="5"/>
  <c r="BT70" i="5" s="1"/>
  <c r="BO59" i="5"/>
  <c r="BP88" i="5"/>
  <c r="BO78" i="5"/>
  <c r="AQ74" i="5"/>
  <c r="AR74" i="5" s="1"/>
  <c r="BV69" i="5"/>
  <c r="BP66" i="5"/>
  <c r="AJ61" i="5"/>
  <c r="AQ90" i="5"/>
  <c r="AB81" i="5"/>
  <c r="AL72" i="5"/>
  <c r="BT72" i="5" s="1"/>
  <c r="BU66" i="5"/>
  <c r="AB94" i="5"/>
  <c r="BU84" i="5"/>
  <c r="AJ76" i="5"/>
  <c r="BH76" i="5" s="1"/>
  <c r="BJ76" i="5" s="1"/>
  <c r="AL61" i="5"/>
  <c r="BT61" i="5" s="1"/>
  <c r="BP58" i="5"/>
  <c r="BU53" i="5"/>
  <c r="BL48" i="5"/>
  <c r="AB44" i="5"/>
  <c r="AL42" i="5"/>
  <c r="BT42" i="5" s="1"/>
  <c r="AB40" i="5"/>
  <c r="AJ59" i="5"/>
  <c r="BH59" i="5" s="1"/>
  <c r="BJ59" i="5" s="1"/>
  <c r="BU42" i="5"/>
  <c r="AQ38" i="5"/>
  <c r="BV34" i="5"/>
  <c r="AQ55" i="5"/>
  <c r="AR55" i="5" s="1"/>
  <c r="AJ52" i="5"/>
  <c r="BH52" i="5" s="1"/>
  <c r="BJ52" i="5" s="1"/>
  <c r="BL49" i="5"/>
  <c r="AB46" i="5"/>
  <c r="BL43" i="5"/>
  <c r="BO37" i="5"/>
  <c r="AB59" i="5"/>
  <c r="BP55" i="5"/>
  <c r="BL53" i="5"/>
  <c r="AJ45" i="5"/>
  <c r="BV41" i="5"/>
  <c r="BL38" i="5"/>
  <c r="BO34" i="5"/>
  <c r="BP34" i="5"/>
  <c r="BQ34" i="5"/>
  <c r="AB120" i="5"/>
  <c r="BL86" i="5"/>
  <c r="CB86" i="5"/>
  <c r="BL66" i="5"/>
  <c r="AB72" i="5"/>
  <c r="AL74" i="5"/>
  <c r="BT74" i="5" s="1"/>
  <c r="BO53" i="5"/>
  <c r="BO38" i="5"/>
  <c r="CB48" i="5"/>
  <c r="AQ59" i="5"/>
  <c r="AR59" i="5" s="1"/>
  <c r="BL45" i="5"/>
  <c r="BL55" i="5"/>
  <c r="BP41" i="5"/>
  <c r="BV57" i="5"/>
  <c r="CB79" i="5"/>
  <c r="AB42" i="5"/>
  <c r="AJ49" i="5"/>
  <c r="BH49" i="5" s="1"/>
  <c r="BJ49" i="5" s="1"/>
  <c r="AL91" i="5"/>
  <c r="BT91" i="5" s="1"/>
  <c r="CB74" i="5"/>
  <c r="AL78" i="5"/>
  <c r="BT78" i="5" s="1"/>
  <c r="BO66" i="5"/>
  <c r="AQ48" i="5"/>
  <c r="BU58" i="5"/>
  <c r="BO42" i="5"/>
  <c r="AL43" i="5"/>
  <c r="BT43" i="5" s="1"/>
  <c r="AJ53" i="5"/>
  <c r="BH53" i="5" s="1"/>
  <c r="BJ53" i="5" s="1"/>
  <c r="AQ37" i="5"/>
  <c r="BQ122" i="5"/>
  <c r="CB105" i="5"/>
  <c r="AL83" i="5"/>
  <c r="BT83" i="5" s="1"/>
  <c r="AJ51" i="5"/>
  <c r="BH51" i="5" s="1"/>
  <c r="BJ51" i="5" s="1"/>
  <c r="AL58" i="5"/>
  <c r="BT58" i="5" s="1"/>
  <c r="BV33" i="5"/>
  <c r="AL105" i="5"/>
  <c r="BT105" i="5" s="1"/>
  <c r="AB70" i="5"/>
  <c r="AJ74" i="5"/>
  <c r="BH74" i="5" s="1"/>
  <c r="BJ74" i="5" s="1"/>
  <c r="AB90" i="5"/>
  <c r="CB93" i="5"/>
  <c r="AQ43" i="5"/>
  <c r="AR43" i="5" s="1"/>
  <c r="CB37" i="5"/>
  <c r="AQ36" i="5"/>
  <c r="AJ50" i="5"/>
  <c r="BH50" i="5" s="1"/>
  <c r="BJ50" i="5" s="1"/>
  <c r="AQ34" i="5"/>
  <c r="BP69" i="5"/>
  <c r="BL58" i="5"/>
  <c r="AJ34" i="5"/>
  <c r="CB44" i="5"/>
  <c r="BQ105" i="5"/>
  <c r="BQ106" i="5"/>
  <c r="BQ84" i="5"/>
  <c r="BQ110" i="5"/>
  <c r="BQ108" i="5"/>
  <c r="BQ85" i="5"/>
  <c r="BQ112" i="5"/>
  <c r="BQ107" i="5"/>
  <c r="BQ57" i="5"/>
  <c r="BQ86" i="5"/>
  <c r="BQ43" i="5"/>
  <c r="BQ114" i="5"/>
  <c r="BQ79" i="5"/>
  <c r="BQ83" i="5"/>
  <c r="BQ89" i="5"/>
  <c r="BQ42" i="5"/>
  <c r="BQ80" i="5"/>
  <c r="BQ41" i="5"/>
  <c r="BQ87" i="5"/>
  <c r="BQ35" i="5"/>
  <c r="BQ111" i="5"/>
  <c r="BQ81" i="5"/>
  <c r="BQ78" i="5"/>
  <c r="BQ92" i="5"/>
  <c r="BQ82" i="5"/>
  <c r="BQ109" i="5"/>
  <c r="BQ88" i="5"/>
  <c r="BQ115" i="5"/>
  <c r="BQ93" i="5"/>
  <c r="BQ113" i="5"/>
  <c r="BQ68" i="5"/>
  <c r="BQ116" i="5"/>
  <c r="BQ117" i="5"/>
  <c r="BQ56" i="5"/>
  <c r="BQ55" i="5"/>
  <c r="BQ70" i="5"/>
  <c r="BQ69" i="5"/>
  <c r="BQ72" i="5"/>
  <c r="BQ71" i="5"/>
  <c r="BQ118" i="5"/>
  <c r="BQ59" i="5"/>
  <c r="BQ58" i="5"/>
  <c r="BQ119" i="5"/>
  <c r="BQ73" i="5"/>
  <c r="BQ65" i="5"/>
  <c r="BQ63" i="5"/>
  <c r="BQ74" i="5"/>
  <c r="BQ77" i="5"/>
  <c r="BQ75" i="5"/>
  <c r="BQ120" i="5"/>
  <c r="BQ67" i="5"/>
  <c r="BQ76" i="5"/>
  <c r="BQ66" i="5"/>
  <c r="BQ53" i="5"/>
  <c r="AH93" i="4" l="1"/>
  <c r="AH179" i="4"/>
  <c r="AH61" i="4"/>
  <c r="AH147" i="4"/>
  <c r="AH46" i="4"/>
  <c r="AH132" i="4"/>
  <c r="AH17" i="4"/>
  <c r="AH103" i="4"/>
  <c r="AH43" i="4"/>
  <c r="AH129" i="4"/>
  <c r="AH37" i="4"/>
  <c r="AH123" i="4"/>
  <c r="AH94" i="4"/>
  <c r="AH180" i="4"/>
  <c r="AH91" i="4"/>
  <c r="AH177" i="4"/>
  <c r="AH89" i="4"/>
  <c r="AH175" i="4"/>
  <c r="AH83" i="4"/>
  <c r="AH169" i="4"/>
  <c r="AH78" i="4"/>
  <c r="AH164" i="4"/>
  <c r="AH41" i="4"/>
  <c r="AH127" i="4"/>
  <c r="AH75" i="4"/>
  <c r="AH161" i="4"/>
  <c r="AH90" i="4"/>
  <c r="AH176" i="4"/>
  <c r="AH92" i="4"/>
  <c r="AH178" i="4"/>
  <c r="AH51" i="4"/>
  <c r="AH137" i="4"/>
  <c r="AH36" i="4"/>
  <c r="AH122" i="4"/>
  <c r="AA90" i="5"/>
  <c r="X90" i="5"/>
  <c r="AR37" i="5"/>
  <c r="BC37" i="5"/>
  <c r="BB37" i="5" s="1"/>
  <c r="CN91" i="5"/>
  <c r="AC91" i="5"/>
  <c r="AD91" i="5"/>
  <c r="AS91" i="5"/>
  <c r="CL91" i="5"/>
  <c r="AY91" i="5"/>
  <c r="AO91" i="5" s="1"/>
  <c r="R91" i="5"/>
  <c r="BG91" i="5" s="1"/>
  <c r="BI91" i="5" s="1"/>
  <c r="CF91" i="5"/>
  <c r="CE91" i="5"/>
  <c r="AA42" i="5"/>
  <c r="X42" i="5"/>
  <c r="AA59" i="5"/>
  <c r="X59" i="5"/>
  <c r="AD42" i="5"/>
  <c r="CN42" i="5"/>
  <c r="AC42" i="5"/>
  <c r="CL42" i="5"/>
  <c r="AS42" i="5"/>
  <c r="AY42" i="5"/>
  <c r="AO42" i="5" s="1"/>
  <c r="R42" i="5"/>
  <c r="BG42" i="5" s="1"/>
  <c r="BI42" i="5" s="1"/>
  <c r="CE42" i="5"/>
  <c r="CF42" i="5"/>
  <c r="AA81" i="5"/>
  <c r="X81" i="5"/>
  <c r="AA47" i="5"/>
  <c r="X47" i="5"/>
  <c r="CL76" i="5"/>
  <c r="AD76" i="5"/>
  <c r="CN76" i="5"/>
  <c r="AS76" i="5"/>
  <c r="AC76" i="5"/>
  <c r="AY76" i="5"/>
  <c r="AO76" i="5" s="1"/>
  <c r="CF76" i="5"/>
  <c r="R76" i="5"/>
  <c r="BG76" i="5" s="1"/>
  <c r="BI76" i="5" s="1"/>
  <c r="CE76" i="5"/>
  <c r="AA41" i="5"/>
  <c r="X41" i="5"/>
  <c r="AS57" i="5"/>
  <c r="CL57" i="5"/>
  <c r="CN57" i="5"/>
  <c r="AC57" i="5"/>
  <c r="AD57" i="5"/>
  <c r="AY57" i="5"/>
  <c r="AO57" i="5" s="1"/>
  <c r="CF57" i="5"/>
  <c r="R57" i="5"/>
  <c r="BG57" i="5" s="1"/>
  <c r="BI57" i="5" s="1"/>
  <c r="CE57" i="5"/>
  <c r="AD41" i="5"/>
  <c r="CL41" i="5"/>
  <c r="AC41" i="5"/>
  <c r="CN41" i="5"/>
  <c r="AS41" i="5"/>
  <c r="AY41" i="5"/>
  <c r="AO41" i="5" s="1"/>
  <c r="R41" i="5"/>
  <c r="BG41" i="5" s="1"/>
  <c r="BI41" i="5" s="1"/>
  <c r="CF41" i="5"/>
  <c r="CE41" i="5"/>
  <c r="AA48" i="5"/>
  <c r="X48" i="5"/>
  <c r="AD79" i="5"/>
  <c r="CL79" i="5"/>
  <c r="AC79" i="5"/>
  <c r="CN79" i="5"/>
  <c r="AS79" i="5"/>
  <c r="AY79" i="5"/>
  <c r="AO79" i="5" s="1"/>
  <c r="CF79" i="5"/>
  <c r="R79" i="5"/>
  <c r="BG79" i="5" s="1"/>
  <c r="BI79" i="5" s="1"/>
  <c r="CE79" i="5"/>
  <c r="CL48" i="5"/>
  <c r="AC48" i="5"/>
  <c r="AD48" i="5"/>
  <c r="CN48" i="5"/>
  <c r="AS48" i="5"/>
  <c r="AY48" i="5"/>
  <c r="AO48" i="5" s="1"/>
  <c r="CE48" i="5"/>
  <c r="R48" i="5"/>
  <c r="BG48" i="5" s="1"/>
  <c r="BI48" i="5" s="1"/>
  <c r="CF48" i="5"/>
  <c r="AA82" i="5"/>
  <c r="X82" i="5"/>
  <c r="AA119" i="5"/>
  <c r="X119" i="5"/>
  <c r="AA85" i="5"/>
  <c r="X85" i="5"/>
  <c r="AA73" i="5"/>
  <c r="X73" i="5"/>
  <c r="CN81" i="5"/>
  <c r="AD81" i="5"/>
  <c r="AS81" i="5"/>
  <c r="CL81" i="5"/>
  <c r="AC81" i="5"/>
  <c r="AY81" i="5"/>
  <c r="AO81" i="5" s="1"/>
  <c r="CE81" i="5"/>
  <c r="CF81" i="5"/>
  <c r="R81" i="5"/>
  <c r="BG81" i="5" s="1"/>
  <c r="BI81" i="5" s="1"/>
  <c r="AA79" i="5"/>
  <c r="X79" i="5"/>
  <c r="AA74" i="5"/>
  <c r="X74" i="5"/>
  <c r="AA83" i="5"/>
  <c r="X83" i="5"/>
  <c r="AA89" i="5"/>
  <c r="X89" i="5"/>
  <c r="AA78" i="5"/>
  <c r="X78" i="5"/>
  <c r="CN67" i="5"/>
  <c r="CL67" i="5"/>
  <c r="AD67" i="5"/>
  <c r="AC67" i="5"/>
  <c r="AS67" i="5"/>
  <c r="AY67" i="5"/>
  <c r="AO67" i="5" s="1"/>
  <c r="CF67" i="5"/>
  <c r="CE67" i="5"/>
  <c r="R67" i="5"/>
  <c r="BG67" i="5" s="1"/>
  <c r="BI67" i="5" s="1"/>
  <c r="AD117" i="5"/>
  <c r="CN117" i="5"/>
  <c r="AS117" i="5"/>
  <c r="CL117" i="5"/>
  <c r="AC117" i="5"/>
  <c r="AY117" i="5"/>
  <c r="AO117" i="5" s="1"/>
  <c r="CE117" i="5"/>
  <c r="R117" i="5"/>
  <c r="BG117" i="5" s="1"/>
  <c r="BI117" i="5" s="1"/>
  <c r="CF117" i="5"/>
  <c r="AC110" i="5"/>
  <c r="AS110" i="5"/>
  <c r="CN110" i="5"/>
  <c r="AD110" i="5"/>
  <c r="CL110" i="5"/>
  <c r="AY110" i="5"/>
  <c r="AO110" i="5" s="1"/>
  <c r="CE110" i="5"/>
  <c r="R110" i="5"/>
  <c r="BG110" i="5" s="1"/>
  <c r="BI110" i="5" s="1"/>
  <c r="CF110" i="5"/>
  <c r="AC93" i="5"/>
  <c r="CL93" i="5"/>
  <c r="AS93" i="5"/>
  <c r="CN93" i="5"/>
  <c r="AD93" i="5"/>
  <c r="AY93" i="5"/>
  <c r="AO93" i="5" s="1"/>
  <c r="CE93" i="5"/>
  <c r="CF93" i="5"/>
  <c r="R93" i="5"/>
  <c r="BG93" i="5" s="1"/>
  <c r="BI93" i="5" s="1"/>
  <c r="AA105" i="5"/>
  <c r="X105" i="5"/>
  <c r="AA108" i="5"/>
  <c r="X108" i="5"/>
  <c r="AR101" i="5"/>
  <c r="BC101" i="5"/>
  <c r="BB101" i="5" s="1"/>
  <c r="AD115" i="5"/>
  <c r="CL115" i="5"/>
  <c r="CN115" i="5"/>
  <c r="AS115" i="5"/>
  <c r="AC115" i="5"/>
  <c r="AY115" i="5"/>
  <c r="AO115" i="5" s="1"/>
  <c r="R115" i="5"/>
  <c r="BG115" i="5" s="1"/>
  <c r="BI115" i="5" s="1"/>
  <c r="CF115" i="5"/>
  <c r="CE115" i="5"/>
  <c r="AR36" i="5"/>
  <c r="BC36" i="5"/>
  <c r="BB36" i="5" s="1"/>
  <c r="AD58" i="5"/>
  <c r="AS58" i="5"/>
  <c r="CN58" i="5"/>
  <c r="AC58" i="5"/>
  <c r="CL58" i="5"/>
  <c r="AY58" i="5"/>
  <c r="AO58" i="5" s="1"/>
  <c r="R58" i="5"/>
  <c r="BG58" i="5" s="1"/>
  <c r="BI58" i="5" s="1"/>
  <c r="CE58" i="5"/>
  <c r="CF58" i="5"/>
  <c r="AS74" i="5"/>
  <c r="AC74" i="5"/>
  <c r="CN74" i="5"/>
  <c r="CL74" i="5"/>
  <c r="AD74" i="5"/>
  <c r="AY74" i="5"/>
  <c r="AO74" i="5" s="1"/>
  <c r="CF74" i="5"/>
  <c r="R74" i="5"/>
  <c r="BG74" i="5" s="1"/>
  <c r="BI74" i="5" s="1"/>
  <c r="CE74" i="5"/>
  <c r="AR38" i="5"/>
  <c r="BC38" i="5"/>
  <c r="BB38" i="5" s="1"/>
  <c r="AA44" i="5"/>
  <c r="X44" i="5"/>
  <c r="AS61" i="5"/>
  <c r="AD61" i="5"/>
  <c r="AC61" i="5"/>
  <c r="CL61" i="5"/>
  <c r="CN61" i="5"/>
  <c r="AY61" i="5"/>
  <c r="AO61" i="5" s="1"/>
  <c r="R61" i="5"/>
  <c r="BG61" i="5" s="1"/>
  <c r="BI61" i="5" s="1"/>
  <c r="CE61" i="5"/>
  <c r="CF61" i="5"/>
  <c r="AA94" i="5"/>
  <c r="X94" i="5"/>
  <c r="AR90" i="5"/>
  <c r="BC90" i="5"/>
  <c r="BB90" i="5" s="1"/>
  <c r="CN70" i="5"/>
  <c r="AC70" i="5"/>
  <c r="AD70" i="5"/>
  <c r="AS70" i="5"/>
  <c r="CL70" i="5"/>
  <c r="AY70" i="5"/>
  <c r="AO70" i="5" s="1"/>
  <c r="CE70" i="5"/>
  <c r="R70" i="5"/>
  <c r="BG70" i="5" s="1"/>
  <c r="BI70" i="5" s="1"/>
  <c r="CF70" i="5"/>
  <c r="AR39" i="5"/>
  <c r="BC39" i="5"/>
  <c r="BB39" i="5" s="1"/>
  <c r="AR46" i="5"/>
  <c r="BC46" i="5"/>
  <c r="BB46" i="5" s="1"/>
  <c r="AA68" i="5"/>
  <c r="X68" i="5"/>
  <c r="AD111" i="5"/>
  <c r="AC111" i="5"/>
  <c r="AS111" i="5"/>
  <c r="CN111" i="5"/>
  <c r="CL111" i="5"/>
  <c r="AY111" i="5"/>
  <c r="AO111" i="5" s="1"/>
  <c r="CE111" i="5"/>
  <c r="CF111" i="5"/>
  <c r="R111" i="5"/>
  <c r="BG111" i="5" s="1"/>
  <c r="BI111" i="5" s="1"/>
  <c r="AR44" i="5"/>
  <c r="BC44" i="5"/>
  <c r="BB44" i="5" s="1"/>
  <c r="AA57" i="5"/>
  <c r="X57" i="5"/>
  <c r="AA69" i="5"/>
  <c r="X69" i="5"/>
  <c r="AC112" i="5"/>
  <c r="AD112" i="5"/>
  <c r="CL112" i="5"/>
  <c r="CN112" i="5"/>
  <c r="AS112" i="5"/>
  <c r="AY112" i="5"/>
  <c r="AO112" i="5" s="1"/>
  <c r="R112" i="5"/>
  <c r="BG112" i="5" s="1"/>
  <c r="BI112" i="5" s="1"/>
  <c r="CE112" i="5"/>
  <c r="CF112" i="5"/>
  <c r="AR35" i="5"/>
  <c r="BC35" i="5"/>
  <c r="BB35" i="5" s="1"/>
  <c r="AD59" i="5"/>
  <c r="CN59" i="5"/>
  <c r="AS59" i="5"/>
  <c r="CL59" i="5"/>
  <c r="AC59" i="5"/>
  <c r="AY59" i="5"/>
  <c r="AO59" i="5" s="1"/>
  <c r="R59" i="5"/>
  <c r="BG59" i="5" s="1"/>
  <c r="BI59" i="5" s="1"/>
  <c r="CF59" i="5"/>
  <c r="CE59" i="5"/>
  <c r="AA56" i="5"/>
  <c r="X56" i="5"/>
  <c r="AA45" i="5"/>
  <c r="X45" i="5"/>
  <c r="AA49" i="5"/>
  <c r="X49" i="5"/>
  <c r="AA62" i="5"/>
  <c r="X62" i="5"/>
  <c r="AA80" i="5"/>
  <c r="X80" i="5"/>
  <c r="AR61" i="5"/>
  <c r="BC61" i="5"/>
  <c r="BB61" i="5" s="1"/>
  <c r="CE33" i="5"/>
  <c r="AC33" i="5"/>
  <c r="R33" i="5"/>
  <c r="BG33" i="5" s="1"/>
  <c r="BI33" i="5" s="1"/>
  <c r="AD33" i="5"/>
  <c r="CF33" i="5"/>
  <c r="AS33" i="5"/>
  <c r="AA36" i="5"/>
  <c r="X36" i="5"/>
  <c r="AS45" i="5"/>
  <c r="AD45" i="5"/>
  <c r="CL45" i="5"/>
  <c r="AC45" i="5"/>
  <c r="CN45" i="5"/>
  <c r="AY45" i="5"/>
  <c r="AO45" i="5" s="1"/>
  <c r="CE45" i="5"/>
  <c r="R45" i="5"/>
  <c r="BG45" i="5" s="1"/>
  <c r="BI45" i="5" s="1"/>
  <c r="CF45" i="5"/>
  <c r="AA53" i="5"/>
  <c r="X53" i="5"/>
  <c r="AA67" i="5"/>
  <c r="X67" i="5"/>
  <c r="CL80" i="5"/>
  <c r="AS80" i="5"/>
  <c r="CN80" i="5"/>
  <c r="AC80" i="5"/>
  <c r="AD80" i="5"/>
  <c r="AY80" i="5"/>
  <c r="AO80" i="5" s="1"/>
  <c r="CE80" i="5"/>
  <c r="CF80" i="5"/>
  <c r="R80" i="5"/>
  <c r="BG80" i="5" s="1"/>
  <c r="BI80" i="5" s="1"/>
  <c r="AA77" i="5"/>
  <c r="X77" i="5"/>
  <c r="AS103" i="5"/>
  <c r="CL103" i="5"/>
  <c r="AC103" i="5"/>
  <c r="AD103" i="5"/>
  <c r="CN103" i="5"/>
  <c r="AY103" i="5"/>
  <c r="AO103" i="5" s="1"/>
  <c r="R103" i="5"/>
  <c r="BG103" i="5" s="1"/>
  <c r="BI103" i="5" s="1"/>
  <c r="CE103" i="5"/>
  <c r="CF103" i="5"/>
  <c r="CN77" i="5"/>
  <c r="AC77" i="5"/>
  <c r="CL77" i="5"/>
  <c r="AD77" i="5"/>
  <c r="AS77" i="5"/>
  <c r="AY77" i="5"/>
  <c r="AO77" i="5" s="1"/>
  <c r="CF77" i="5"/>
  <c r="R77" i="5"/>
  <c r="BG77" i="5" s="1"/>
  <c r="BI77" i="5" s="1"/>
  <c r="CE77" i="5"/>
  <c r="AA107" i="5"/>
  <c r="X107" i="5"/>
  <c r="CL73" i="5"/>
  <c r="CN73" i="5"/>
  <c r="AD73" i="5"/>
  <c r="AS73" i="5"/>
  <c r="AC73" i="5"/>
  <c r="AY73" i="5"/>
  <c r="AO73" i="5" s="1"/>
  <c r="R73" i="5"/>
  <c r="BG73" i="5" s="1"/>
  <c r="BI73" i="5" s="1"/>
  <c r="CF73" i="5"/>
  <c r="CE73" i="5"/>
  <c r="AR103" i="5"/>
  <c r="BC103" i="5"/>
  <c r="BB103" i="5" s="1"/>
  <c r="AA104" i="5"/>
  <c r="X104" i="5"/>
  <c r="CL87" i="5"/>
  <c r="CN87" i="5"/>
  <c r="AC87" i="5"/>
  <c r="AD87" i="5"/>
  <c r="AS87" i="5"/>
  <c r="AY87" i="5"/>
  <c r="AO87" i="5" s="1"/>
  <c r="R87" i="5"/>
  <c r="BG87" i="5" s="1"/>
  <c r="BI87" i="5" s="1"/>
  <c r="CF87" i="5"/>
  <c r="CE87" i="5"/>
  <c r="AA117" i="5"/>
  <c r="X117" i="5"/>
  <c r="AC85" i="5"/>
  <c r="AS85" i="5"/>
  <c r="CN85" i="5"/>
  <c r="CL85" i="5"/>
  <c r="AD85" i="5"/>
  <c r="AY85" i="5"/>
  <c r="AO85" i="5" s="1"/>
  <c r="CF85" i="5"/>
  <c r="CE85" i="5"/>
  <c r="R85" i="5"/>
  <c r="BG85" i="5" s="1"/>
  <c r="BI85" i="5" s="1"/>
  <c r="AR102" i="5"/>
  <c r="BC102" i="5"/>
  <c r="BB102" i="5" s="1"/>
  <c r="AA102" i="5"/>
  <c r="X102" i="5"/>
  <c r="AA86" i="5"/>
  <c r="X86" i="5"/>
  <c r="X99" i="5"/>
  <c r="AA99" i="5"/>
  <c r="AD94" i="5"/>
  <c r="AS94" i="5"/>
  <c r="CL94" i="5"/>
  <c r="AC94" i="5"/>
  <c r="CN94" i="5"/>
  <c r="AY94" i="5"/>
  <c r="AO94" i="5" s="1"/>
  <c r="CF94" i="5"/>
  <c r="CE94" i="5"/>
  <c r="R94" i="5"/>
  <c r="BG94" i="5" s="1"/>
  <c r="BI94" i="5" s="1"/>
  <c r="AR96" i="5"/>
  <c r="BC96" i="5"/>
  <c r="BB96" i="5" s="1"/>
  <c r="AA118" i="5"/>
  <c r="X118" i="5"/>
  <c r="X100" i="5"/>
  <c r="AA100" i="5"/>
  <c r="AA114" i="5"/>
  <c r="X114" i="5"/>
  <c r="CL96" i="5"/>
  <c r="AS96" i="5"/>
  <c r="AD96" i="5"/>
  <c r="CN96" i="5"/>
  <c r="AC96" i="5"/>
  <c r="AY96" i="5"/>
  <c r="AO96" i="5" s="1"/>
  <c r="CF96" i="5"/>
  <c r="R96" i="5"/>
  <c r="BG96" i="5" s="1"/>
  <c r="BI96" i="5" s="1"/>
  <c r="CE96" i="5"/>
  <c r="CL109" i="5"/>
  <c r="AC109" i="5"/>
  <c r="AS109" i="5"/>
  <c r="AD109" i="5"/>
  <c r="CN109" i="5"/>
  <c r="AY109" i="5"/>
  <c r="AO109" i="5" s="1"/>
  <c r="R109" i="5"/>
  <c r="BG109" i="5" s="1"/>
  <c r="BI109" i="5" s="1"/>
  <c r="CF109" i="5"/>
  <c r="CE109" i="5"/>
  <c r="AA70" i="5"/>
  <c r="X70" i="5"/>
  <c r="CN43" i="5"/>
  <c r="AC43" i="5"/>
  <c r="CL43" i="5"/>
  <c r="AD43" i="5"/>
  <c r="AS43" i="5"/>
  <c r="AY43" i="5"/>
  <c r="AO43" i="5" s="1"/>
  <c r="CF43" i="5"/>
  <c r="CE43" i="5"/>
  <c r="R43" i="5"/>
  <c r="BG43" i="5" s="1"/>
  <c r="BI43" i="5" s="1"/>
  <c r="AR48" i="5"/>
  <c r="BC48" i="5"/>
  <c r="BB48" i="5" s="1"/>
  <c r="AS78" i="5"/>
  <c r="AC78" i="5"/>
  <c r="AD78" i="5"/>
  <c r="CN78" i="5"/>
  <c r="CL78" i="5"/>
  <c r="AY78" i="5"/>
  <c r="AO78" i="5" s="1"/>
  <c r="CF78" i="5"/>
  <c r="CE78" i="5"/>
  <c r="R78" i="5"/>
  <c r="BG78" i="5" s="1"/>
  <c r="BI78" i="5" s="1"/>
  <c r="AA72" i="5"/>
  <c r="X72" i="5"/>
  <c r="AA120" i="5"/>
  <c r="X120" i="5"/>
  <c r="AC56" i="5"/>
  <c r="AS56" i="5"/>
  <c r="CN56" i="5"/>
  <c r="AD56" i="5"/>
  <c r="CL56" i="5"/>
  <c r="AY56" i="5"/>
  <c r="AO56" i="5" s="1"/>
  <c r="CE56" i="5"/>
  <c r="R56" i="5"/>
  <c r="BG56" i="5" s="1"/>
  <c r="BI56" i="5" s="1"/>
  <c r="CF56" i="5"/>
  <c r="AA93" i="5"/>
  <c r="X93" i="5"/>
  <c r="AA34" i="5"/>
  <c r="AD40" i="5"/>
  <c r="CN40" i="5"/>
  <c r="AC40" i="5"/>
  <c r="AS40" i="5"/>
  <c r="CL40" i="5"/>
  <c r="AY40" i="5"/>
  <c r="AO40" i="5" s="1"/>
  <c r="CF40" i="5"/>
  <c r="R40" i="5"/>
  <c r="BG40" i="5" s="1"/>
  <c r="BI40" i="5" s="1"/>
  <c r="CE40" i="5"/>
  <c r="AA55" i="5"/>
  <c r="X55" i="5"/>
  <c r="AA35" i="5"/>
  <c r="X35" i="5"/>
  <c r="AA58" i="5"/>
  <c r="X58" i="5"/>
  <c r="AD37" i="5"/>
  <c r="AS37" i="5"/>
  <c r="CL37" i="5"/>
  <c r="CN37" i="5"/>
  <c r="AC37" i="5"/>
  <c r="AY37" i="5"/>
  <c r="AO37" i="5" s="1"/>
  <c r="CE37" i="5"/>
  <c r="R37" i="5"/>
  <c r="BG37" i="5" s="1"/>
  <c r="BI37" i="5" s="1"/>
  <c r="CF37" i="5"/>
  <c r="AA43" i="5"/>
  <c r="X43" i="5"/>
  <c r="AA52" i="5"/>
  <c r="X52" i="5"/>
  <c r="CL69" i="5"/>
  <c r="CN69" i="5"/>
  <c r="AS69" i="5"/>
  <c r="AC69" i="5"/>
  <c r="AD69" i="5"/>
  <c r="AY69" i="5"/>
  <c r="AO69" i="5" s="1"/>
  <c r="R69" i="5"/>
  <c r="BG69" i="5" s="1"/>
  <c r="BI69" i="5" s="1"/>
  <c r="CE69" i="5"/>
  <c r="CF69" i="5"/>
  <c r="CL90" i="5"/>
  <c r="AD90" i="5"/>
  <c r="AC90" i="5"/>
  <c r="CN90" i="5"/>
  <c r="AS90" i="5"/>
  <c r="AY90" i="5"/>
  <c r="AO90" i="5" s="1"/>
  <c r="CF90" i="5"/>
  <c r="CE90" i="5"/>
  <c r="R90" i="5"/>
  <c r="BG90" i="5" s="1"/>
  <c r="BI90" i="5" s="1"/>
  <c r="AC88" i="5"/>
  <c r="CL88" i="5"/>
  <c r="AS88" i="5"/>
  <c r="AD88" i="5"/>
  <c r="CN88" i="5"/>
  <c r="AY88" i="5"/>
  <c r="AO88" i="5" s="1"/>
  <c r="CE88" i="5"/>
  <c r="R88" i="5"/>
  <c r="BG88" i="5" s="1"/>
  <c r="BI88" i="5" s="1"/>
  <c r="CF88" i="5"/>
  <c r="AS65" i="5"/>
  <c r="AC65" i="5"/>
  <c r="CN65" i="5"/>
  <c r="CL65" i="5"/>
  <c r="AD65" i="5"/>
  <c r="AY65" i="5"/>
  <c r="AO65" i="5" s="1"/>
  <c r="CF65" i="5"/>
  <c r="R65" i="5"/>
  <c r="BG65" i="5" s="1"/>
  <c r="BI65" i="5" s="1"/>
  <c r="CE65" i="5"/>
  <c r="AC121" i="5"/>
  <c r="R121" i="5"/>
  <c r="BG121" i="5" s="1"/>
  <c r="BI121" i="5" s="1"/>
  <c r="AS121" i="5"/>
  <c r="CE121" i="5"/>
  <c r="AD121" i="5"/>
  <c r="CF121" i="5"/>
  <c r="CF34" i="5"/>
  <c r="CE34" i="5"/>
  <c r="R34" i="5"/>
  <c r="BG34" i="5" s="1"/>
  <c r="BI34" i="5" s="1"/>
  <c r="AC34" i="5"/>
  <c r="AS34" i="5"/>
  <c r="AD34" i="5"/>
  <c r="CL55" i="5"/>
  <c r="CN55" i="5"/>
  <c r="AD55" i="5"/>
  <c r="AS55" i="5"/>
  <c r="AC55" i="5"/>
  <c r="AY55" i="5"/>
  <c r="AO55" i="5" s="1"/>
  <c r="R55" i="5"/>
  <c r="BG55" i="5" s="1"/>
  <c r="BI55" i="5" s="1"/>
  <c r="CE55" i="5"/>
  <c r="CF55" i="5"/>
  <c r="AR45" i="5"/>
  <c r="BC45" i="5"/>
  <c r="BB45" i="5" s="1"/>
  <c r="AA60" i="5"/>
  <c r="X60" i="5"/>
  <c r="AA71" i="5"/>
  <c r="X71" i="5"/>
  <c r="AA66" i="5"/>
  <c r="X66" i="5"/>
  <c r="AA116" i="5"/>
  <c r="X116" i="5"/>
  <c r="AA61" i="5"/>
  <c r="X61" i="5"/>
  <c r="CL68" i="5"/>
  <c r="AD68" i="5"/>
  <c r="AC68" i="5"/>
  <c r="AS68" i="5"/>
  <c r="CN68" i="5"/>
  <c r="AY68" i="5"/>
  <c r="AO68" i="5" s="1"/>
  <c r="CE68" i="5"/>
  <c r="R68" i="5"/>
  <c r="BG68" i="5" s="1"/>
  <c r="BI68" i="5" s="1"/>
  <c r="CF68" i="5"/>
  <c r="AA92" i="5"/>
  <c r="X92" i="5"/>
  <c r="AA76" i="5"/>
  <c r="X76" i="5"/>
  <c r="AA63" i="5"/>
  <c r="X63" i="5"/>
  <c r="AD108" i="5"/>
  <c r="AC108" i="5"/>
  <c r="AS108" i="5"/>
  <c r="CN108" i="5"/>
  <c r="CL108" i="5"/>
  <c r="AY108" i="5"/>
  <c r="AO108" i="5" s="1"/>
  <c r="R108" i="5"/>
  <c r="BG108" i="5" s="1"/>
  <c r="BI108" i="5" s="1"/>
  <c r="CF108" i="5"/>
  <c r="CE108" i="5"/>
  <c r="AA109" i="5"/>
  <c r="X109" i="5"/>
  <c r="AA84" i="5"/>
  <c r="X84" i="5"/>
  <c r="CN114" i="5"/>
  <c r="CL114" i="5"/>
  <c r="AC114" i="5"/>
  <c r="AS114" i="5"/>
  <c r="AD114" i="5"/>
  <c r="AY114" i="5"/>
  <c r="AO114" i="5" s="1"/>
  <c r="CF114" i="5"/>
  <c r="R114" i="5"/>
  <c r="BG114" i="5" s="1"/>
  <c r="BI114" i="5" s="1"/>
  <c r="CE114" i="5"/>
  <c r="AS120" i="5"/>
  <c r="AC120" i="5"/>
  <c r="AD120" i="5"/>
  <c r="CL120" i="5"/>
  <c r="CN120" i="5"/>
  <c r="AY120" i="5"/>
  <c r="AO120" i="5" s="1"/>
  <c r="CE120" i="5"/>
  <c r="CF120" i="5"/>
  <c r="R120" i="5"/>
  <c r="BG120" i="5" s="1"/>
  <c r="BI120" i="5" s="1"/>
  <c r="AA106" i="5"/>
  <c r="X106" i="5"/>
  <c r="AA113" i="5"/>
  <c r="X113" i="5"/>
  <c r="AA95" i="5"/>
  <c r="X95" i="5"/>
  <c r="AR104" i="5"/>
  <c r="BC104" i="5"/>
  <c r="BB104" i="5" s="1"/>
  <c r="CL86" i="5"/>
  <c r="AC86" i="5"/>
  <c r="CN86" i="5"/>
  <c r="AD86" i="5"/>
  <c r="AS86" i="5"/>
  <c r="AY86" i="5"/>
  <c r="AO86" i="5" s="1"/>
  <c r="CE86" i="5"/>
  <c r="R86" i="5"/>
  <c r="BG86" i="5" s="1"/>
  <c r="BI86" i="5" s="1"/>
  <c r="CF86" i="5"/>
  <c r="AA101" i="5"/>
  <c r="X101" i="5"/>
  <c r="AA111" i="5"/>
  <c r="X111" i="5"/>
  <c r="CL95" i="5"/>
  <c r="CN95" i="5"/>
  <c r="AD95" i="5"/>
  <c r="AS95" i="5"/>
  <c r="AC95" i="5"/>
  <c r="AY95" i="5"/>
  <c r="AO95" i="5" s="1"/>
  <c r="R95" i="5"/>
  <c r="BG95" i="5" s="1"/>
  <c r="BI95" i="5" s="1"/>
  <c r="CF95" i="5"/>
  <c r="CE95" i="5"/>
  <c r="AC118" i="5"/>
  <c r="AD118" i="5"/>
  <c r="CN118" i="5"/>
  <c r="AS118" i="5"/>
  <c r="CL118" i="5"/>
  <c r="AY118" i="5"/>
  <c r="AO118" i="5" s="1"/>
  <c r="CF118" i="5"/>
  <c r="R118" i="5"/>
  <c r="BG118" i="5" s="1"/>
  <c r="BI118" i="5" s="1"/>
  <c r="CE118" i="5"/>
  <c r="AA103" i="5"/>
  <c r="X103" i="5"/>
  <c r="AA110" i="5"/>
  <c r="X110" i="5"/>
  <c r="AS105" i="5"/>
  <c r="AD105" i="5"/>
  <c r="CN105" i="5"/>
  <c r="AC105" i="5"/>
  <c r="CL105" i="5"/>
  <c r="AY105" i="5"/>
  <c r="AO105" i="5" s="1"/>
  <c r="R105" i="5"/>
  <c r="BG105" i="5" s="1"/>
  <c r="BI105" i="5" s="1"/>
  <c r="CF105" i="5"/>
  <c r="CE105" i="5"/>
  <c r="AS83" i="5"/>
  <c r="CL83" i="5"/>
  <c r="CN83" i="5"/>
  <c r="AC83" i="5"/>
  <c r="AD83" i="5"/>
  <c r="AY83" i="5"/>
  <c r="AO83" i="5" s="1"/>
  <c r="CF83" i="5"/>
  <c r="CE83" i="5"/>
  <c r="R83" i="5"/>
  <c r="BG83" i="5" s="1"/>
  <c r="BI83" i="5" s="1"/>
  <c r="AA46" i="5"/>
  <c r="X46" i="5"/>
  <c r="AA40" i="5"/>
  <c r="X40" i="5"/>
  <c r="CN72" i="5"/>
  <c r="AS72" i="5"/>
  <c r="CL72" i="5"/>
  <c r="AD72" i="5"/>
  <c r="AC72" i="5"/>
  <c r="AY72" i="5"/>
  <c r="AO72" i="5" s="1"/>
  <c r="CF72" i="5"/>
  <c r="CE72" i="5"/>
  <c r="R72" i="5"/>
  <c r="BG72" i="5" s="1"/>
  <c r="BI72" i="5" s="1"/>
  <c r="AA122" i="5"/>
  <c r="AS36" i="5"/>
  <c r="CN36" i="5"/>
  <c r="AC36" i="5"/>
  <c r="AD36" i="5"/>
  <c r="CL36" i="5"/>
  <c r="AY36" i="5"/>
  <c r="AO36" i="5" s="1"/>
  <c r="CE36" i="5"/>
  <c r="R36" i="5"/>
  <c r="BG36" i="5" s="1"/>
  <c r="BI36" i="5" s="1"/>
  <c r="CF36" i="5"/>
  <c r="CN53" i="5"/>
  <c r="CL53" i="5"/>
  <c r="AS53" i="5"/>
  <c r="AD53" i="5"/>
  <c r="AC53" i="5"/>
  <c r="AY53" i="5"/>
  <c r="AO53" i="5" s="1"/>
  <c r="CF53" i="5"/>
  <c r="R53" i="5"/>
  <c r="BG53" i="5" s="1"/>
  <c r="BI53" i="5" s="1"/>
  <c r="CE53" i="5"/>
  <c r="AS63" i="5"/>
  <c r="AC63" i="5"/>
  <c r="CN63" i="5"/>
  <c r="AD63" i="5"/>
  <c r="CL63" i="5"/>
  <c r="AY63" i="5"/>
  <c r="AO63" i="5" s="1"/>
  <c r="R63" i="5"/>
  <c r="BG63" i="5" s="1"/>
  <c r="BI63" i="5" s="1"/>
  <c r="CF63" i="5"/>
  <c r="CE63" i="5"/>
  <c r="AA37" i="5"/>
  <c r="X37" i="5"/>
  <c r="AA54" i="5"/>
  <c r="X54" i="5"/>
  <c r="AA51" i="5"/>
  <c r="X51" i="5"/>
  <c r="AA38" i="5"/>
  <c r="X38" i="5"/>
  <c r="AS46" i="5"/>
  <c r="AD46" i="5"/>
  <c r="AC46" i="5"/>
  <c r="CN46" i="5"/>
  <c r="CL46" i="5"/>
  <c r="AY46" i="5"/>
  <c r="AO46" i="5" s="1"/>
  <c r="R46" i="5"/>
  <c r="BG46" i="5" s="1"/>
  <c r="BI46" i="5" s="1"/>
  <c r="CF46" i="5"/>
  <c r="CE46" i="5"/>
  <c r="AA33" i="5"/>
  <c r="AA39" i="5"/>
  <c r="X39" i="5"/>
  <c r="AA50" i="5"/>
  <c r="X50" i="5"/>
  <c r="AR40" i="5"/>
  <c r="BC40" i="5"/>
  <c r="BB40" i="5" s="1"/>
  <c r="CN44" i="5"/>
  <c r="AC44" i="5"/>
  <c r="AS44" i="5"/>
  <c r="AD44" i="5"/>
  <c r="CL44" i="5"/>
  <c r="AY44" i="5"/>
  <c r="AO44" i="5" s="1"/>
  <c r="R44" i="5"/>
  <c r="BG44" i="5" s="1"/>
  <c r="BI44" i="5" s="1"/>
  <c r="CF44" i="5"/>
  <c r="CE44" i="5"/>
  <c r="AD101" i="5"/>
  <c r="CN101" i="5"/>
  <c r="CL101" i="5"/>
  <c r="AS101" i="5"/>
  <c r="AC101" i="5"/>
  <c r="AY101" i="5"/>
  <c r="AO101" i="5" s="1"/>
  <c r="CE101" i="5"/>
  <c r="CF101" i="5"/>
  <c r="R101" i="5"/>
  <c r="BG101" i="5" s="1"/>
  <c r="BI101" i="5" s="1"/>
  <c r="AA75" i="5"/>
  <c r="X75" i="5"/>
  <c r="AR91" i="5"/>
  <c r="BC91" i="5"/>
  <c r="BB91" i="5" s="1"/>
  <c r="AD38" i="5"/>
  <c r="AC38" i="5"/>
  <c r="CL38" i="5"/>
  <c r="AS38" i="5"/>
  <c r="CN38" i="5"/>
  <c r="AY38" i="5"/>
  <c r="AO38" i="5" s="1"/>
  <c r="R38" i="5"/>
  <c r="BG38" i="5" s="1"/>
  <c r="BI38" i="5" s="1"/>
  <c r="CF38" i="5"/>
  <c r="CE38" i="5"/>
  <c r="CL35" i="5"/>
  <c r="AC35" i="5"/>
  <c r="CN35" i="5"/>
  <c r="AD35" i="5"/>
  <c r="AS35" i="5"/>
  <c r="AY35" i="5"/>
  <c r="AO35" i="5" s="1"/>
  <c r="CF35" i="5"/>
  <c r="CE35" i="5"/>
  <c r="R35" i="5"/>
  <c r="BG35" i="5" s="1"/>
  <c r="BI35" i="5" s="1"/>
  <c r="AD39" i="5"/>
  <c r="AC39" i="5"/>
  <c r="AS39" i="5"/>
  <c r="CN39" i="5"/>
  <c r="CL39" i="5"/>
  <c r="AY39" i="5"/>
  <c r="AO39" i="5" s="1"/>
  <c r="CF39" i="5"/>
  <c r="CE39" i="5"/>
  <c r="R39" i="5"/>
  <c r="BG39" i="5" s="1"/>
  <c r="BI39" i="5" s="1"/>
  <c r="CN75" i="5"/>
  <c r="AD75" i="5"/>
  <c r="CL75" i="5"/>
  <c r="AS75" i="5"/>
  <c r="AC75" i="5"/>
  <c r="AY75" i="5"/>
  <c r="AO75" i="5" s="1"/>
  <c r="CE75" i="5"/>
  <c r="CF75" i="5"/>
  <c r="R75" i="5"/>
  <c r="BG75" i="5" s="1"/>
  <c r="BI75" i="5" s="1"/>
  <c r="AS92" i="5"/>
  <c r="CL92" i="5"/>
  <c r="AC92" i="5"/>
  <c r="AD92" i="5"/>
  <c r="CN92" i="5"/>
  <c r="AY92" i="5"/>
  <c r="AO92" i="5" s="1"/>
  <c r="CE92" i="5"/>
  <c r="R92" i="5"/>
  <c r="BG92" i="5" s="1"/>
  <c r="BI92" i="5" s="1"/>
  <c r="CF92" i="5"/>
  <c r="AD71" i="5"/>
  <c r="AC71" i="5"/>
  <c r="CL71" i="5"/>
  <c r="CN71" i="5"/>
  <c r="AS71" i="5"/>
  <c r="AY71" i="5"/>
  <c r="AO71" i="5" s="1"/>
  <c r="CF71" i="5"/>
  <c r="CE71" i="5"/>
  <c r="R71" i="5"/>
  <c r="BG71" i="5" s="1"/>
  <c r="BI71" i="5" s="1"/>
  <c r="AC82" i="5"/>
  <c r="CN82" i="5"/>
  <c r="CL82" i="5"/>
  <c r="AS82" i="5"/>
  <c r="AD82" i="5"/>
  <c r="AY82" i="5"/>
  <c r="AO82" i="5" s="1"/>
  <c r="CF82" i="5"/>
  <c r="R82" i="5"/>
  <c r="BG82" i="5" s="1"/>
  <c r="BI82" i="5" s="1"/>
  <c r="CE82" i="5"/>
  <c r="AD66" i="5"/>
  <c r="CN66" i="5"/>
  <c r="AC66" i="5"/>
  <c r="CL66" i="5"/>
  <c r="AS66" i="5"/>
  <c r="AY66" i="5"/>
  <c r="AO66" i="5" s="1"/>
  <c r="CF66" i="5"/>
  <c r="CE66" i="5"/>
  <c r="R66" i="5"/>
  <c r="BG66" i="5" s="1"/>
  <c r="BI66" i="5" s="1"/>
  <c r="AC89" i="5"/>
  <c r="AD89" i="5"/>
  <c r="AS89" i="5"/>
  <c r="CN89" i="5"/>
  <c r="CL89" i="5"/>
  <c r="AY89" i="5"/>
  <c r="AO89" i="5" s="1"/>
  <c r="CF89" i="5"/>
  <c r="CE89" i="5"/>
  <c r="R89" i="5"/>
  <c r="BG89" i="5" s="1"/>
  <c r="BI89" i="5" s="1"/>
  <c r="AA88" i="5"/>
  <c r="X88" i="5"/>
  <c r="X97" i="5"/>
  <c r="AA97" i="5"/>
  <c r="AA64" i="5"/>
  <c r="X64" i="5"/>
  <c r="AA65" i="5"/>
  <c r="X65" i="5"/>
  <c r="AA87" i="5"/>
  <c r="X87" i="5"/>
  <c r="AA112" i="5"/>
  <c r="X112" i="5"/>
  <c r="AR95" i="5"/>
  <c r="BC95" i="5"/>
  <c r="BB95" i="5" s="1"/>
  <c r="CN107" i="5"/>
  <c r="AS107" i="5"/>
  <c r="AD107" i="5"/>
  <c r="AC107" i="5"/>
  <c r="CL107" i="5"/>
  <c r="AY107" i="5"/>
  <c r="AO107" i="5" s="1"/>
  <c r="R107" i="5"/>
  <c r="BG107" i="5" s="1"/>
  <c r="BI107" i="5" s="1"/>
  <c r="CF107" i="5"/>
  <c r="CE107" i="5"/>
  <c r="AS102" i="5"/>
  <c r="CL102" i="5"/>
  <c r="CN102" i="5"/>
  <c r="AC102" i="5"/>
  <c r="AD102" i="5"/>
  <c r="AY102" i="5"/>
  <c r="AO102" i="5" s="1"/>
  <c r="CF102" i="5"/>
  <c r="CE102" i="5"/>
  <c r="R102" i="5"/>
  <c r="BG102" i="5" s="1"/>
  <c r="BI102" i="5" s="1"/>
  <c r="AR94" i="5"/>
  <c r="BC94" i="5"/>
  <c r="BB94" i="5" s="1"/>
  <c r="AC104" i="5"/>
  <c r="AS104" i="5"/>
  <c r="CL104" i="5"/>
  <c r="CN104" i="5"/>
  <c r="AD104" i="5"/>
  <c r="AY104" i="5"/>
  <c r="AO104" i="5" s="1"/>
  <c r="CE104" i="5"/>
  <c r="R104" i="5"/>
  <c r="BG104" i="5" s="1"/>
  <c r="BI104" i="5" s="1"/>
  <c r="CF104" i="5"/>
  <c r="CN116" i="5"/>
  <c r="AC116" i="5"/>
  <c r="CL116" i="5"/>
  <c r="AS116" i="5"/>
  <c r="AD116" i="5"/>
  <c r="AY116" i="5"/>
  <c r="AO116" i="5" s="1"/>
  <c r="R116" i="5"/>
  <c r="BG116" i="5" s="1"/>
  <c r="BI116" i="5" s="1"/>
  <c r="CF116" i="5"/>
  <c r="CE116" i="5"/>
  <c r="AS122" i="5"/>
  <c r="R122" i="5"/>
  <c r="BG122" i="5" s="1"/>
  <c r="BI122" i="5" s="1"/>
  <c r="AD122" i="5"/>
  <c r="CE122" i="5"/>
  <c r="AC122" i="5"/>
  <c r="CF122" i="5"/>
  <c r="AS119" i="5"/>
  <c r="CN119" i="5"/>
  <c r="CL119" i="5"/>
  <c r="AD119" i="5"/>
  <c r="AC119" i="5"/>
  <c r="AY119" i="5"/>
  <c r="AO119" i="5" s="1"/>
  <c r="CF119" i="5"/>
  <c r="CE119" i="5"/>
  <c r="R119" i="5"/>
  <c r="BG119" i="5" s="1"/>
  <c r="BI119" i="5" s="1"/>
  <c r="AA98" i="5"/>
  <c r="X98" i="5"/>
  <c r="AD84" i="5"/>
  <c r="AC84" i="5"/>
  <c r="CL84" i="5"/>
  <c r="CN84" i="5"/>
  <c r="AS84" i="5"/>
  <c r="AY84" i="5"/>
  <c r="AO84" i="5" s="1"/>
  <c r="CE84" i="5"/>
  <c r="R84" i="5"/>
  <c r="BG84" i="5" s="1"/>
  <c r="BI84" i="5" s="1"/>
  <c r="CF84" i="5"/>
  <c r="AA115" i="5"/>
  <c r="X115" i="5"/>
  <c r="AA121" i="5"/>
  <c r="AC106" i="5"/>
  <c r="AS106" i="5"/>
  <c r="AD106" i="5"/>
  <c r="CL106" i="5"/>
  <c r="CN106" i="5"/>
  <c r="AY106" i="5"/>
  <c r="AO106" i="5" s="1"/>
  <c r="CF106" i="5"/>
  <c r="R106" i="5"/>
  <c r="BG106" i="5" s="1"/>
  <c r="BI106" i="5" s="1"/>
  <c r="CE106" i="5"/>
  <c r="AC113" i="5"/>
  <c r="CL113" i="5"/>
  <c r="AS113" i="5"/>
  <c r="AD113" i="5"/>
  <c r="CN113" i="5"/>
  <c r="AY113" i="5"/>
  <c r="AO113" i="5" s="1"/>
  <c r="R113" i="5"/>
  <c r="BG113" i="5" s="1"/>
  <c r="BI113" i="5" s="1"/>
  <c r="CF113" i="5"/>
  <c r="CE113" i="5"/>
  <c r="AA96" i="5"/>
  <c r="X96" i="5"/>
  <c r="AA91" i="5"/>
  <c r="X91" i="5"/>
  <c r="CB64" i="5"/>
  <c r="AL100" i="5"/>
  <c r="CB100" i="5"/>
  <c r="AL62" i="5" l="1"/>
  <c r="AC62" i="5" s="1"/>
  <c r="CB62" i="5"/>
  <c r="CB50" i="5"/>
  <c r="AL64" i="5"/>
  <c r="CN64" i="5" s="1"/>
  <c r="AL49" i="5"/>
  <c r="AM49" i="5" s="1"/>
  <c r="AQ60" i="5"/>
  <c r="AR60" i="5" s="1"/>
  <c r="BO60" i="5"/>
  <c r="AL50" i="5"/>
  <c r="AD50" i="5" s="1"/>
  <c r="CB49" i="5"/>
  <c r="AQ62" i="5"/>
  <c r="AR62" i="5" s="1"/>
  <c r="BO62" i="5"/>
  <c r="AL60" i="5"/>
  <c r="AM60" i="5" s="1"/>
  <c r="CB60" i="5"/>
  <c r="BO54" i="5"/>
  <c r="AQ54" i="5"/>
  <c r="AR54" i="5" s="1"/>
  <c r="AL54" i="5"/>
  <c r="AM54" i="5" s="1"/>
  <c r="CB54" i="5"/>
  <c r="Z67" i="5"/>
  <c r="CB52" i="5"/>
  <c r="BO52" i="5"/>
  <c r="AQ52" i="5"/>
  <c r="AR52" i="5" s="1"/>
  <c r="AL52" i="5"/>
  <c r="AQ50" i="5"/>
  <c r="AR50" i="5" s="1"/>
  <c r="BO50" i="5"/>
  <c r="BO49" i="5"/>
  <c r="AQ49" i="5"/>
  <c r="AR49" i="5" s="1"/>
  <c r="AL51" i="5"/>
  <c r="AD51" i="5" s="1"/>
  <c r="CB51" i="5"/>
  <c r="AQ64" i="5"/>
  <c r="AR64" i="5" s="1"/>
  <c r="BO64" i="5"/>
  <c r="CB98" i="5"/>
  <c r="AL98" i="5"/>
  <c r="AC98" i="5" s="1"/>
  <c r="AQ51" i="5"/>
  <c r="AR51" i="5" s="1"/>
  <c r="BO51" i="5"/>
  <c r="CB99" i="5"/>
  <c r="AL99" i="5"/>
  <c r="AD99" i="5" s="1"/>
  <c r="Z110" i="5"/>
  <c r="AH87" i="4"/>
  <c r="AH173" i="4"/>
  <c r="AH80" i="4"/>
  <c r="AH166" i="4"/>
  <c r="AH86" i="4"/>
  <c r="AH172" i="4"/>
  <c r="AH62" i="4"/>
  <c r="AH148" i="4"/>
  <c r="AH57" i="4"/>
  <c r="AH143" i="4"/>
  <c r="AH63" i="4"/>
  <c r="AH149" i="4"/>
  <c r="AH50" i="4"/>
  <c r="AH136" i="4"/>
  <c r="AH16" i="4"/>
  <c r="AH102" i="4"/>
  <c r="AH18" i="4"/>
  <c r="AH104" i="4"/>
  <c r="AH77" i="4"/>
  <c r="AH163" i="4"/>
  <c r="AH30" i="4"/>
  <c r="AH116" i="4"/>
  <c r="AH14" i="4"/>
  <c r="AH100" i="4"/>
  <c r="AH69" i="4"/>
  <c r="AH155" i="4"/>
  <c r="AH68" i="4"/>
  <c r="AH154" i="4"/>
  <c r="AH88" i="4"/>
  <c r="AH174" i="4"/>
  <c r="AH81" i="4"/>
  <c r="AH167" i="4"/>
  <c r="AH82" i="4"/>
  <c r="AH168" i="4"/>
  <c r="AH67" i="4"/>
  <c r="AH153" i="4"/>
  <c r="AH58" i="4"/>
  <c r="AH144" i="4"/>
  <c r="AH55" i="4"/>
  <c r="AH141" i="4"/>
  <c r="AH48" i="4"/>
  <c r="AH134" i="4"/>
  <c r="AH44" i="4"/>
  <c r="AH130" i="4"/>
  <c r="AH49" i="4"/>
  <c r="AH135" i="4"/>
  <c r="AH64" i="4"/>
  <c r="AH150" i="4"/>
  <c r="AH19" i="4"/>
  <c r="AH105" i="4"/>
  <c r="AH76" i="4"/>
  <c r="AH162" i="4"/>
  <c r="AH24" i="4"/>
  <c r="AH110" i="4"/>
  <c r="AH35" i="4"/>
  <c r="AH121" i="4"/>
  <c r="AH20" i="4"/>
  <c r="AH106" i="4"/>
  <c r="AH79" i="4"/>
  <c r="AH165" i="4"/>
  <c r="AH59" i="4"/>
  <c r="AH145" i="4"/>
  <c r="AH53" i="4"/>
  <c r="AH139" i="4"/>
  <c r="AH47" i="4"/>
  <c r="AH133" i="4"/>
  <c r="AH15" i="4"/>
  <c r="AH101" i="4"/>
  <c r="AH65" i="4"/>
  <c r="AH151" i="4"/>
  <c r="AH70" i="4"/>
  <c r="AH156" i="4"/>
  <c r="AH42" i="4"/>
  <c r="AH128" i="4"/>
  <c r="AH84" i="4"/>
  <c r="AH170" i="4"/>
  <c r="AH85" i="4"/>
  <c r="AH171" i="4"/>
  <c r="AH66" i="4"/>
  <c r="AH152" i="4"/>
  <c r="AH56" i="4"/>
  <c r="AH142" i="4"/>
  <c r="AH52" i="4"/>
  <c r="AH138" i="4"/>
  <c r="AH54" i="4"/>
  <c r="AH140" i="4"/>
  <c r="AH45" i="4"/>
  <c r="AH131" i="4"/>
  <c r="AH22" i="4"/>
  <c r="AH108" i="4"/>
  <c r="AH27" i="4"/>
  <c r="AH113" i="4"/>
  <c r="Z88" i="5"/>
  <c r="Z115" i="5"/>
  <c r="Z112" i="5"/>
  <c r="Z96" i="5"/>
  <c r="Z65" i="5"/>
  <c r="AL97" i="5"/>
  <c r="AS97" i="5" s="1"/>
  <c r="Z93" i="5"/>
  <c r="Z57" i="5"/>
  <c r="Z37" i="5"/>
  <c r="Z111" i="5"/>
  <c r="Z44" i="5"/>
  <c r="Z120" i="5"/>
  <c r="Z82" i="5"/>
  <c r="Z70" i="5"/>
  <c r="Z92" i="5"/>
  <c r="Z55" i="5"/>
  <c r="Z108" i="5"/>
  <c r="Z87" i="5"/>
  <c r="Z75" i="5"/>
  <c r="Z46" i="5"/>
  <c r="Z76" i="5"/>
  <c r="Z114" i="5"/>
  <c r="Z83" i="5"/>
  <c r="CB97" i="5"/>
  <c r="Z91" i="5"/>
  <c r="Z121" i="5"/>
  <c r="Z39" i="5"/>
  <c r="Z113" i="5"/>
  <c r="Z43" i="5"/>
  <c r="Z79" i="5"/>
  <c r="Z103" i="5"/>
  <c r="Z109" i="5"/>
  <c r="Z58" i="5"/>
  <c r="Z86" i="5"/>
  <c r="Z117" i="5"/>
  <c r="AM113" i="5"/>
  <c r="AM104" i="5"/>
  <c r="AM102" i="5"/>
  <c r="BF95" i="5"/>
  <c r="BE95" i="5"/>
  <c r="BH95" i="5" s="1"/>
  <c r="BJ95" i="5" s="1"/>
  <c r="BD95" i="5"/>
  <c r="AM89" i="5"/>
  <c r="AM82" i="5"/>
  <c r="AM92" i="5"/>
  <c r="AM35" i="5"/>
  <c r="AM114" i="5"/>
  <c r="AM108" i="5"/>
  <c r="Z116" i="5"/>
  <c r="AM55" i="5"/>
  <c r="AM90" i="5"/>
  <c r="AM37" i="5"/>
  <c r="BD48" i="5"/>
  <c r="BF48" i="5"/>
  <c r="BE48" i="5"/>
  <c r="BH48" i="5" s="1"/>
  <c r="BJ48" i="5" s="1"/>
  <c r="AM109" i="5"/>
  <c r="AM85" i="5"/>
  <c r="AM73" i="5"/>
  <c r="AM80" i="5"/>
  <c r="AM45" i="5"/>
  <c r="AM59" i="5"/>
  <c r="AM112" i="5"/>
  <c r="BE44" i="5"/>
  <c r="BH44" i="5" s="1"/>
  <c r="BJ44" i="5" s="1"/>
  <c r="BD44" i="5"/>
  <c r="BF44" i="5"/>
  <c r="Z68" i="5"/>
  <c r="AM115" i="5"/>
  <c r="AM110" i="5"/>
  <c r="AM67" i="5"/>
  <c r="AM57" i="5"/>
  <c r="AS100" i="5"/>
  <c r="CN100" i="5"/>
  <c r="AD100" i="5"/>
  <c r="CL100" i="5"/>
  <c r="AC100" i="5"/>
  <c r="AM100" i="5"/>
  <c r="AY100" i="5"/>
  <c r="AO100" i="5" s="1"/>
  <c r="CF100" i="5"/>
  <c r="CE100" i="5"/>
  <c r="R100" i="5"/>
  <c r="AQ99" i="5"/>
  <c r="BO99" i="5"/>
  <c r="BO98" i="5"/>
  <c r="AQ98" i="5"/>
  <c r="AM84" i="5"/>
  <c r="AM44" i="5"/>
  <c r="AM46" i="5"/>
  <c r="AM53" i="5"/>
  <c r="Z122" i="5"/>
  <c r="Z40" i="5"/>
  <c r="AM105" i="5"/>
  <c r="AM95" i="5"/>
  <c r="AM86" i="5"/>
  <c r="Z95" i="5"/>
  <c r="Z61" i="5"/>
  <c r="Z35" i="5"/>
  <c r="Z34" i="5"/>
  <c r="BE96" i="5"/>
  <c r="BH96" i="5" s="1"/>
  <c r="BJ96" i="5" s="1"/>
  <c r="BD96" i="5"/>
  <c r="BF96" i="5"/>
  <c r="AM87" i="5"/>
  <c r="AM77" i="5"/>
  <c r="Z77" i="5"/>
  <c r="Z53" i="5"/>
  <c r="Z80" i="5"/>
  <c r="Z56" i="5"/>
  <c r="BE39" i="5"/>
  <c r="BH39" i="5" s="1"/>
  <c r="BJ39" i="5" s="1"/>
  <c r="BF39" i="5"/>
  <c r="BD39" i="5"/>
  <c r="BF90" i="5"/>
  <c r="BE90" i="5"/>
  <c r="BH90" i="5" s="1"/>
  <c r="BJ90" i="5" s="1"/>
  <c r="BD90" i="5"/>
  <c r="AM74" i="5"/>
  <c r="BD36" i="5"/>
  <c r="BF36" i="5"/>
  <c r="BE36" i="5"/>
  <c r="BH36" i="5" s="1"/>
  <c r="BJ36" i="5" s="1"/>
  <c r="Z89" i="5"/>
  <c r="AM81" i="5"/>
  <c r="Z119" i="5"/>
  <c r="AM79" i="5"/>
  <c r="AM76" i="5"/>
  <c r="AM42" i="5"/>
  <c r="AM91" i="5"/>
  <c r="Z90" i="5"/>
  <c r="AQ97" i="5"/>
  <c r="BO97" i="5"/>
  <c r="CB47" i="5"/>
  <c r="AL47" i="5"/>
  <c r="AM106" i="5"/>
  <c r="AM119" i="5"/>
  <c r="AM116" i="5"/>
  <c r="BF94" i="5"/>
  <c r="BD94" i="5"/>
  <c r="BE94" i="5"/>
  <c r="BH94" i="5" s="1"/>
  <c r="BJ94" i="5" s="1"/>
  <c r="AM107" i="5"/>
  <c r="AM66" i="5"/>
  <c r="AM71" i="5"/>
  <c r="AM75" i="5"/>
  <c r="AM39" i="5"/>
  <c r="AM38" i="5"/>
  <c r="BD91" i="5"/>
  <c r="BF91" i="5"/>
  <c r="BE91" i="5"/>
  <c r="BH91" i="5" s="1"/>
  <c r="BJ91" i="5" s="1"/>
  <c r="Z101" i="5"/>
  <c r="AM120" i="5"/>
  <c r="Z84" i="5"/>
  <c r="Z63" i="5"/>
  <c r="Z71" i="5"/>
  <c r="BE45" i="5"/>
  <c r="BH45" i="5" s="1"/>
  <c r="BJ45" i="5" s="1"/>
  <c r="BF45" i="5"/>
  <c r="BD45" i="5"/>
  <c r="AM65" i="5"/>
  <c r="AM88" i="5"/>
  <c r="AM69" i="5"/>
  <c r="AM56" i="5"/>
  <c r="AM78" i="5"/>
  <c r="AM43" i="5"/>
  <c r="AM96" i="5"/>
  <c r="Z118" i="5"/>
  <c r="BE102" i="5"/>
  <c r="BH102" i="5" s="1"/>
  <c r="BJ102" i="5" s="1"/>
  <c r="BD102" i="5"/>
  <c r="BF102" i="5"/>
  <c r="BE103" i="5"/>
  <c r="BH103" i="5" s="1"/>
  <c r="BJ103" i="5" s="1"/>
  <c r="BD103" i="5"/>
  <c r="BF103" i="5"/>
  <c r="Z107" i="5"/>
  <c r="Z36" i="5"/>
  <c r="Z45" i="5"/>
  <c r="BE35" i="5"/>
  <c r="BH35" i="5" s="1"/>
  <c r="BJ35" i="5" s="1"/>
  <c r="BD35" i="5"/>
  <c r="BF35" i="5"/>
  <c r="Z69" i="5"/>
  <c r="AM111" i="5"/>
  <c r="AM61" i="5"/>
  <c r="BF101" i="5"/>
  <c r="BE101" i="5"/>
  <c r="BH101" i="5" s="1"/>
  <c r="BJ101" i="5" s="1"/>
  <c r="BD101" i="5"/>
  <c r="AM93" i="5"/>
  <c r="AM117" i="5"/>
  <c r="Z78" i="5"/>
  <c r="Z85" i="5"/>
  <c r="AM41" i="5"/>
  <c r="Z41" i="5"/>
  <c r="Z81" i="5"/>
  <c r="Z42" i="5"/>
  <c r="AQ47" i="5"/>
  <c r="AR47" i="5" s="1"/>
  <c r="BO47" i="5"/>
  <c r="BO100" i="5"/>
  <c r="AQ100" i="5"/>
  <c r="AM101" i="5"/>
  <c r="BF40" i="5"/>
  <c r="BE40" i="5"/>
  <c r="BH40" i="5" s="1"/>
  <c r="BJ40" i="5" s="1"/>
  <c r="BD40" i="5"/>
  <c r="Z33" i="5"/>
  <c r="Z38" i="5"/>
  <c r="AM63" i="5"/>
  <c r="AM36" i="5"/>
  <c r="AM72" i="5"/>
  <c r="AM83" i="5"/>
  <c r="AM118" i="5"/>
  <c r="BE104" i="5"/>
  <c r="BH104" i="5" s="1"/>
  <c r="BJ104" i="5" s="1"/>
  <c r="BD104" i="5"/>
  <c r="BF104" i="5"/>
  <c r="Z106" i="5"/>
  <c r="AM68" i="5"/>
  <c r="Z66" i="5"/>
  <c r="AM40" i="5"/>
  <c r="Z72" i="5"/>
  <c r="AM94" i="5"/>
  <c r="Z102" i="5"/>
  <c r="Z104" i="5"/>
  <c r="AM103" i="5"/>
  <c r="BF61" i="5"/>
  <c r="BE61" i="5"/>
  <c r="BH61" i="5" s="1"/>
  <c r="BJ61" i="5" s="1"/>
  <c r="BD61" i="5"/>
  <c r="BE46" i="5"/>
  <c r="BH46" i="5" s="1"/>
  <c r="BJ46" i="5" s="1"/>
  <c r="BF46" i="5"/>
  <c r="BD46" i="5"/>
  <c r="AM70" i="5"/>
  <c r="Z94" i="5"/>
  <c r="BE38" i="5"/>
  <c r="BH38" i="5" s="1"/>
  <c r="BJ38" i="5" s="1"/>
  <c r="BD38" i="5"/>
  <c r="BF38" i="5"/>
  <c r="AM58" i="5"/>
  <c r="Z105" i="5"/>
  <c r="Z74" i="5"/>
  <c r="Z73" i="5"/>
  <c r="AM48" i="5"/>
  <c r="Z48" i="5"/>
  <c r="Z59" i="5"/>
  <c r="BE37" i="5"/>
  <c r="BH37" i="5" s="1"/>
  <c r="BJ37" i="5" s="1"/>
  <c r="BD37" i="5"/>
  <c r="BF37" i="5"/>
  <c r="AY98" i="5" l="1"/>
  <c r="AO98" i="5" s="1"/>
  <c r="AS49" i="5"/>
  <c r="CN98" i="5"/>
  <c r="AY50" i="5"/>
  <c r="AO50" i="5" s="1"/>
  <c r="CF64" i="5"/>
  <c r="CE64" i="5"/>
  <c r="CL50" i="5"/>
  <c r="CN62" i="5"/>
  <c r="CF62" i="5"/>
  <c r="AM62" i="5"/>
  <c r="CE50" i="5"/>
  <c r="AD62" i="5"/>
  <c r="CL62" i="5"/>
  <c r="AS62" i="5"/>
  <c r="AC50" i="5"/>
  <c r="AM64" i="5"/>
  <c r="AY99" i="5"/>
  <c r="AO99" i="5" s="1"/>
  <c r="AM50" i="5"/>
  <c r="CF50" i="5"/>
  <c r="R50" i="5"/>
  <c r="R62" i="5"/>
  <c r="CE62" i="5"/>
  <c r="AS50" i="5"/>
  <c r="CN50" i="5"/>
  <c r="AY62" i="5"/>
  <c r="AO62" i="5" s="1"/>
  <c r="R64" i="5"/>
  <c r="CL64" i="5"/>
  <c r="AS64" i="5"/>
  <c r="AY64" i="5"/>
  <c r="AC64" i="5"/>
  <c r="AD64" i="5"/>
  <c r="CN49" i="5"/>
  <c r="AY49" i="5"/>
  <c r="AO49" i="5" s="1"/>
  <c r="CL49" i="5"/>
  <c r="CF49" i="5"/>
  <c r="AD49" i="5"/>
  <c r="R49" i="5"/>
  <c r="AC49" i="5"/>
  <c r="CE49" i="5"/>
  <c r="CE51" i="5"/>
  <c r="AS51" i="5"/>
  <c r="AC60" i="5"/>
  <c r="AS60" i="5"/>
  <c r="CE60" i="5"/>
  <c r="CN60" i="5"/>
  <c r="AY60" i="5"/>
  <c r="AO60" i="5" s="1"/>
  <c r="CL60" i="5"/>
  <c r="R60" i="5"/>
  <c r="AD60" i="5"/>
  <c r="CF60" i="5"/>
  <c r="CL51" i="5"/>
  <c r="AM51" i="5"/>
  <c r="CN51" i="5"/>
  <c r="CN54" i="5"/>
  <c r="AY54" i="5"/>
  <c r="AO54" i="5" s="1"/>
  <c r="AC54" i="5"/>
  <c r="CE54" i="5"/>
  <c r="AD54" i="5"/>
  <c r="R54" i="5"/>
  <c r="CL54" i="5"/>
  <c r="AS54" i="5"/>
  <c r="CF54" i="5"/>
  <c r="AC52" i="5"/>
  <c r="CF52" i="5"/>
  <c r="AS52" i="5"/>
  <c r="CE52" i="5"/>
  <c r="CL52" i="5"/>
  <c r="AD52" i="5"/>
  <c r="R52" i="5"/>
  <c r="CN52" i="5"/>
  <c r="AY52" i="5"/>
  <c r="AO52" i="5" s="1"/>
  <c r="CF51" i="5"/>
  <c r="R51" i="5"/>
  <c r="AY51" i="5"/>
  <c r="AO51" i="5" s="1"/>
  <c r="AM52" i="5"/>
  <c r="AC51" i="5"/>
  <c r="R98" i="5"/>
  <c r="BG98" i="5" s="1"/>
  <c r="BI98" i="5" s="1"/>
  <c r="AM98" i="5"/>
  <c r="CL98" i="5"/>
  <c r="CL99" i="5"/>
  <c r="CE98" i="5"/>
  <c r="AD98" i="5"/>
  <c r="AS98" i="5"/>
  <c r="CN99" i="5"/>
  <c r="CF98" i="5"/>
  <c r="CF99" i="5"/>
  <c r="CF97" i="5"/>
  <c r="CE99" i="5"/>
  <c r="AM99" i="5"/>
  <c r="AS99" i="5"/>
  <c r="AC97" i="5"/>
  <c r="R99" i="5"/>
  <c r="Z99" i="5" s="1"/>
  <c r="AC99" i="5"/>
  <c r="AY97" i="5"/>
  <c r="AO97" i="5" s="1"/>
  <c r="CL97" i="5"/>
  <c r="R97" i="5"/>
  <c r="Z97" i="5" s="1"/>
  <c r="AM97" i="5"/>
  <c r="CN97" i="5"/>
  <c r="CE97" i="5"/>
  <c r="AD97" i="5"/>
  <c r="BG100" i="5"/>
  <c r="BI100" i="5" s="1"/>
  <c r="Z100" i="5"/>
  <c r="AR98" i="5"/>
  <c r="BC98" i="5"/>
  <c r="BB98" i="5" s="1"/>
  <c r="AR99" i="5"/>
  <c r="BC99" i="5"/>
  <c r="BB99" i="5" s="1"/>
  <c r="AD47" i="5"/>
  <c r="AS47" i="5"/>
  <c r="CN47" i="5"/>
  <c r="AC47" i="5"/>
  <c r="CL47" i="5"/>
  <c r="AM47" i="5"/>
  <c r="AY47" i="5"/>
  <c r="AO47" i="5" s="1"/>
  <c r="CF47" i="5"/>
  <c r="R47" i="5"/>
  <c r="CE47" i="5"/>
  <c r="AR100" i="5"/>
  <c r="BC100" i="5"/>
  <c r="BB100" i="5" s="1"/>
  <c r="AR97" i="5"/>
  <c r="BC97" i="5"/>
  <c r="BB97" i="5" s="1"/>
  <c r="BG64" i="5" l="1"/>
  <c r="BI64" i="5" s="1"/>
  <c r="Z64" i="5"/>
  <c r="BG60" i="5"/>
  <c r="BI60" i="5" s="1"/>
  <c r="Z60" i="5"/>
  <c r="BG62" i="5"/>
  <c r="BI62" i="5" s="1"/>
  <c r="Z62" i="5"/>
  <c r="BG54" i="5"/>
  <c r="BI54" i="5" s="1"/>
  <c r="Z54" i="5"/>
  <c r="BG49" i="5"/>
  <c r="BI49" i="5" s="1"/>
  <c r="Z49" i="5"/>
  <c r="BG50" i="5"/>
  <c r="BI50" i="5" s="1"/>
  <c r="Z50" i="5"/>
  <c r="BG52" i="5"/>
  <c r="BI52" i="5" s="1"/>
  <c r="Z52" i="5"/>
  <c r="BG51" i="5"/>
  <c r="BI51" i="5" s="1"/>
  <c r="Z51" i="5"/>
  <c r="BG99" i="5"/>
  <c r="BI99" i="5" s="1"/>
  <c r="Z98" i="5"/>
  <c r="BG97" i="5"/>
  <c r="BI97" i="5" s="1"/>
  <c r="BG47" i="5"/>
  <c r="BI47" i="5" s="1"/>
  <c r="Z47" i="5"/>
  <c r="BF97" i="5"/>
  <c r="BE97" i="5"/>
  <c r="BH97" i="5" s="1"/>
  <c r="BJ97" i="5" s="1"/>
  <c r="BD97" i="5"/>
  <c r="BD98" i="5"/>
  <c r="BF98" i="5"/>
  <c r="BE98" i="5"/>
  <c r="BH98" i="5" s="1"/>
  <c r="BJ98" i="5" s="1"/>
  <c r="BD100" i="5"/>
  <c r="BF100" i="5"/>
  <c r="BE100" i="5"/>
  <c r="BH100" i="5" s="1"/>
  <c r="BJ100" i="5" s="1"/>
  <c r="BE99" i="5"/>
  <c r="BH99" i="5" s="1"/>
  <c r="BJ99" i="5" s="1"/>
  <c r="BD99" i="5"/>
  <c r="BF99" i="5"/>
  <c r="AD95" i="4" l="1"/>
  <c r="AD111" i="4"/>
  <c r="AD127" i="4"/>
  <c r="AD143" i="4"/>
  <c r="AD159" i="4"/>
  <c r="AD175" i="4"/>
  <c r="AD104" i="4"/>
  <c r="AD120" i="4"/>
  <c r="AD136" i="4"/>
  <c r="AD152" i="4"/>
  <c r="AD168" i="4"/>
  <c r="AD97" i="4"/>
  <c r="AD113" i="4"/>
  <c r="AD129" i="4"/>
  <c r="AD145" i="4"/>
  <c r="AD161" i="4"/>
  <c r="AD177" i="4"/>
  <c r="AD146" i="4"/>
  <c r="AD178" i="4"/>
  <c r="AD110" i="4"/>
  <c r="AD130" i="4"/>
  <c r="AD158" i="4"/>
  <c r="AD99" i="4"/>
  <c r="AD115" i="4"/>
  <c r="AD131" i="4"/>
  <c r="AD147" i="4"/>
  <c r="AD163" i="4"/>
  <c r="AD179" i="4"/>
  <c r="AD108" i="4"/>
  <c r="AD124" i="4"/>
  <c r="AD140" i="4"/>
  <c r="AD156" i="4"/>
  <c r="AD172" i="4"/>
  <c r="AD101" i="4"/>
  <c r="AD117" i="4"/>
  <c r="AD133" i="4"/>
  <c r="AD149" i="4"/>
  <c r="AD165" i="4"/>
  <c r="AD181" i="4"/>
  <c r="AD154" i="4"/>
  <c r="AD98" i="4"/>
  <c r="AD114" i="4"/>
  <c r="AD134" i="4"/>
  <c r="AD166" i="4"/>
  <c r="AD103" i="4"/>
  <c r="AD119" i="4"/>
  <c r="AD135" i="4"/>
  <c r="AD151" i="4"/>
  <c r="AD167" i="4"/>
  <c r="AD96" i="4"/>
  <c r="AD112" i="4"/>
  <c r="AD128" i="4"/>
  <c r="AD144" i="4"/>
  <c r="AD160" i="4"/>
  <c r="AD176" i="4"/>
  <c r="AD105" i="4"/>
  <c r="AD121" i="4"/>
  <c r="AD137" i="4"/>
  <c r="AD153" i="4"/>
  <c r="AD169" i="4"/>
  <c r="AD126" i="4"/>
  <c r="AD162" i="4"/>
  <c r="AD102" i="4"/>
  <c r="AD118" i="4"/>
  <c r="AD142" i="4"/>
  <c r="AD174" i="4"/>
  <c r="AD107" i="4"/>
  <c r="AD123" i="4"/>
  <c r="AD139" i="4"/>
  <c r="AD155" i="4"/>
  <c r="AD171" i="4"/>
  <c r="AD100" i="4"/>
  <c r="AD116" i="4"/>
  <c r="AD132" i="4"/>
  <c r="AD148" i="4"/>
  <c r="AD164" i="4"/>
  <c r="AD180" i="4"/>
  <c r="AD109" i="4"/>
  <c r="AD125" i="4"/>
  <c r="AD141" i="4"/>
  <c r="AD157" i="4"/>
  <c r="AD173" i="4"/>
  <c r="AD138" i="4"/>
  <c r="AD170" i="4"/>
  <c r="AD106" i="4"/>
  <c r="AD122" i="4"/>
  <c r="AD150" i="4"/>
  <c r="AD11" i="4"/>
  <c r="AD27" i="4"/>
  <c r="AD43" i="4"/>
  <c r="AD59" i="4"/>
  <c r="AD75" i="4"/>
  <c r="AD91" i="4"/>
  <c r="AD22" i="4"/>
  <c r="AD42" i="4"/>
  <c r="AD58" i="4"/>
  <c r="AD74" i="4"/>
  <c r="AD90" i="4"/>
  <c r="AD20" i="4"/>
  <c r="AD36" i="4"/>
  <c r="AD52" i="4"/>
  <c r="AD68" i="4"/>
  <c r="AD84" i="4"/>
  <c r="AD13" i="4"/>
  <c r="AD29" i="4"/>
  <c r="AD45" i="4"/>
  <c r="AD61" i="4"/>
  <c r="AD77" i="4"/>
  <c r="AD93" i="4"/>
  <c r="AD15" i="4"/>
  <c r="AD31" i="4"/>
  <c r="AD47" i="4"/>
  <c r="AD63" i="4"/>
  <c r="AD79" i="4"/>
  <c r="AD26" i="4"/>
  <c r="AD46" i="4"/>
  <c r="AD62" i="4"/>
  <c r="AD78" i="4"/>
  <c r="AD94" i="4"/>
  <c r="AD24" i="4"/>
  <c r="AD40" i="4"/>
  <c r="AD56" i="4"/>
  <c r="AD72" i="4"/>
  <c r="AD88" i="4"/>
  <c r="AD17" i="4"/>
  <c r="AD33" i="4"/>
  <c r="AD49" i="4"/>
  <c r="AD65" i="4"/>
  <c r="AD81" i="4"/>
  <c r="AD18" i="4"/>
  <c r="AD19" i="4"/>
  <c r="AD35" i="4"/>
  <c r="AD51" i="4"/>
  <c r="AD67" i="4"/>
  <c r="AD83" i="4"/>
  <c r="AD10" i="4"/>
  <c r="AD30" i="4"/>
  <c r="AD50" i="4"/>
  <c r="AD66" i="4"/>
  <c r="AD82" i="4"/>
  <c r="AD12" i="4"/>
  <c r="AD28" i="4"/>
  <c r="AD44" i="4"/>
  <c r="AD60" i="4"/>
  <c r="AD76" i="4"/>
  <c r="AD92" i="4"/>
  <c r="AD21" i="4"/>
  <c r="AD37" i="4"/>
  <c r="AD53" i="4"/>
  <c r="AD69" i="4"/>
  <c r="AD85" i="4"/>
  <c r="AD38" i="4"/>
  <c r="AD23" i="4"/>
  <c r="AD39" i="4"/>
  <c r="AD55" i="4"/>
  <c r="AD71" i="4"/>
  <c r="AD87" i="4"/>
  <c r="AD14" i="4"/>
  <c r="AD34" i="4"/>
  <c r="AD54" i="4"/>
  <c r="AD70" i="4"/>
  <c r="AD86" i="4"/>
  <c r="AD16" i="4"/>
  <c r="AD32" i="4"/>
  <c r="AD48" i="4"/>
  <c r="AD64" i="4"/>
  <c r="AD80" i="4"/>
  <c r="AD9" i="4"/>
  <c r="AD25" i="4"/>
  <c r="AD41" i="4"/>
  <c r="AD57" i="4"/>
  <c r="AD73" i="4"/>
  <c r="AD89" i="4"/>
  <c r="AD8" i="4"/>
  <c r="AD7" i="4"/>
  <c r="T175" i="4" l="1"/>
  <c r="AN175" i="4" s="1"/>
  <c r="X175" i="4"/>
  <c r="Y175" i="4"/>
  <c r="T120" i="4"/>
  <c r="AN120" i="4" s="1"/>
  <c r="X127" i="4"/>
  <c r="X169" i="4"/>
  <c r="X126" i="4"/>
  <c r="X162" i="4"/>
  <c r="X114" i="4"/>
  <c r="X171" i="4"/>
  <c r="X129" i="4"/>
  <c r="X107" i="4"/>
  <c r="X100" i="4"/>
  <c r="T132" i="4"/>
  <c r="AN132" i="4" s="1"/>
  <c r="Y148" i="4"/>
  <c r="X164" i="4"/>
  <c r="T106" i="4"/>
  <c r="AN106" i="4" s="1"/>
  <c r="T143" i="4"/>
  <c r="AN143" i="4" s="1"/>
  <c r="T117" i="4"/>
  <c r="AN117" i="4" s="1"/>
  <c r="T163" i="4"/>
  <c r="AN163" i="4" s="1"/>
  <c r="T142" i="4"/>
  <c r="AN142" i="4" s="1"/>
  <c r="T121" i="4"/>
  <c r="AN121" i="4" s="1"/>
  <c r="T98" i="4"/>
  <c r="AN98" i="4" s="1"/>
  <c r="T151" i="4"/>
  <c r="AN151" i="4" s="1"/>
  <c r="T130" i="4"/>
  <c r="AN130" i="4" s="1"/>
  <c r="T109" i="4"/>
  <c r="AN109" i="4" s="1"/>
  <c r="T166" i="4"/>
  <c r="AN166" i="4" s="1"/>
  <c r="T145" i="4"/>
  <c r="AN145" i="4" s="1"/>
  <c r="T123" i="4"/>
  <c r="AN123" i="4" s="1"/>
  <c r="T102" i="4"/>
  <c r="AN102" i="4" s="1"/>
  <c r="T111" i="4"/>
  <c r="AN111" i="4" s="1"/>
  <c r="X133" i="4"/>
  <c r="T104" i="4"/>
  <c r="AN104" i="4" s="1"/>
  <c r="X168" i="4"/>
  <c r="Y138" i="4"/>
  <c r="Y147" i="4"/>
  <c r="Y105" i="4"/>
  <c r="Y135" i="4"/>
  <c r="Y150" i="4"/>
  <c r="X157" i="4"/>
  <c r="Y144" i="4"/>
  <c r="X160" i="4"/>
  <c r="Y176" i="4"/>
  <c r="Y154" i="4"/>
  <c r="Y170" i="4"/>
  <c r="X181" i="4"/>
  <c r="Y179" i="4"/>
  <c r="Y158" i="4"/>
  <c r="Y115" i="4"/>
  <c r="Y103" i="4"/>
  <c r="Y118" i="4"/>
  <c r="Y99" i="4"/>
  <c r="T152" i="4"/>
  <c r="AN152" i="4" s="1"/>
  <c r="Y173" i="4"/>
  <c r="X108" i="4"/>
  <c r="Y124" i="4"/>
  <c r="T156" i="4"/>
  <c r="AN156" i="4" s="1"/>
  <c r="X172" i="4"/>
  <c r="X149" i="4"/>
  <c r="X101" i="4"/>
  <c r="Y159" i="4"/>
  <c r="Y131" i="4"/>
  <c r="Y110" i="4"/>
  <c r="Y119" i="4"/>
  <c r="T155" i="4"/>
  <c r="AN155" i="4" s="1"/>
  <c r="Y95" i="4"/>
  <c r="Y127" i="4"/>
  <c r="Y114" i="4"/>
  <c r="T100" i="4"/>
  <c r="AN100" i="4" s="1"/>
  <c r="Y132" i="4"/>
  <c r="Y180" i="4"/>
  <c r="Y163" i="4"/>
  <c r="X121" i="4"/>
  <c r="Y151" i="4"/>
  <c r="Y145" i="4"/>
  <c r="T165" i="4"/>
  <c r="AN165" i="4" s="1"/>
  <c r="T138" i="4"/>
  <c r="AN138" i="4" s="1"/>
  <c r="T105" i="4"/>
  <c r="AN105" i="4" s="1"/>
  <c r="T157" i="4"/>
  <c r="AN157" i="4" s="1"/>
  <c r="X112" i="4"/>
  <c r="T128" i="4"/>
  <c r="AN128" i="4" s="1"/>
  <c r="T154" i="4"/>
  <c r="AN154" i="4" s="1"/>
  <c r="T122" i="4"/>
  <c r="AN122" i="4" s="1"/>
  <c r="T158" i="4"/>
  <c r="AN158" i="4" s="1"/>
  <c r="X146" i="4"/>
  <c r="Y120" i="4"/>
  <c r="Y169" i="4"/>
  <c r="Y162" i="4"/>
  <c r="Y171" i="4"/>
  <c r="Y129" i="4"/>
  <c r="Y107" i="4"/>
  <c r="T116" i="4"/>
  <c r="AN116" i="4" s="1"/>
  <c r="X132" i="4"/>
  <c r="X148" i="4"/>
  <c r="T180" i="4"/>
  <c r="AN180" i="4" s="1"/>
  <c r="X106" i="4"/>
  <c r="X143" i="4"/>
  <c r="X117" i="4"/>
  <c r="X163" i="4"/>
  <c r="X142" i="4"/>
  <c r="Y121" i="4"/>
  <c r="X98" i="4"/>
  <c r="X151" i="4"/>
  <c r="X130" i="4"/>
  <c r="Y109" i="4"/>
  <c r="X166" i="4"/>
  <c r="X145" i="4"/>
  <c r="X102" i="4"/>
  <c r="X111" i="4"/>
  <c r="Y133" i="4"/>
  <c r="X104" i="4"/>
  <c r="Y168" i="4"/>
  <c r="X165" i="4"/>
  <c r="T96" i="4"/>
  <c r="AN96" i="4" s="1"/>
  <c r="Y112" i="4"/>
  <c r="Y128" i="4"/>
  <c r="T144" i="4"/>
  <c r="AN144" i="4" s="1"/>
  <c r="Y160" i="4"/>
  <c r="T176" i="4"/>
  <c r="AN176" i="4" s="1"/>
  <c r="Y122" i="4"/>
  <c r="T137" i="4"/>
  <c r="AN137" i="4" s="1"/>
  <c r="T115" i="4"/>
  <c r="AN115" i="4" s="1"/>
  <c r="T178" i="4"/>
  <c r="AN178" i="4" s="1"/>
  <c r="T146" i="4"/>
  <c r="AN146" i="4" s="1"/>
  <c r="T125" i="4"/>
  <c r="AN125" i="4" s="1"/>
  <c r="T103" i="4"/>
  <c r="AN103" i="4" s="1"/>
  <c r="T161" i="4"/>
  <c r="AN161" i="4" s="1"/>
  <c r="T139" i="4"/>
  <c r="AN139" i="4" s="1"/>
  <c r="T118" i="4"/>
  <c r="AN118" i="4" s="1"/>
  <c r="T99" i="4"/>
  <c r="AN99" i="4" s="1"/>
  <c r="T136" i="4"/>
  <c r="AN136" i="4" s="1"/>
  <c r="Y152" i="4"/>
  <c r="X173" i="4"/>
  <c r="Y108" i="4"/>
  <c r="T140" i="4"/>
  <c r="AN140" i="4" s="1"/>
  <c r="X156" i="4"/>
  <c r="Y172" i="4"/>
  <c r="T174" i="4"/>
  <c r="AN174" i="4" s="1"/>
  <c r="T153" i="4"/>
  <c r="AN153" i="4" s="1"/>
  <c r="T131" i="4"/>
  <c r="AN131" i="4" s="1"/>
  <c r="T110" i="4"/>
  <c r="AN110" i="4" s="1"/>
  <c r="T167" i="4"/>
  <c r="AN167" i="4" s="1"/>
  <c r="T141" i="4"/>
  <c r="AN141" i="4" s="1"/>
  <c r="T119" i="4"/>
  <c r="AN119" i="4" s="1"/>
  <c r="T97" i="4"/>
  <c r="AN97" i="4" s="1"/>
  <c r="T177" i="4"/>
  <c r="AN177" i="4" s="1"/>
  <c r="X155" i="4"/>
  <c r="T134" i="4"/>
  <c r="AN134" i="4" s="1"/>
  <c r="T113" i="4"/>
  <c r="AN113" i="4" s="1"/>
  <c r="T95" i="4"/>
  <c r="AN95" i="4" s="1"/>
  <c r="T179" i="4"/>
  <c r="AN179" i="4" s="1"/>
  <c r="T127" i="4"/>
  <c r="AN127" i="4" s="1"/>
  <c r="T169" i="4"/>
  <c r="AN169" i="4" s="1"/>
  <c r="T126" i="4"/>
  <c r="AN126" i="4" s="1"/>
  <c r="T162" i="4"/>
  <c r="AN162" i="4" s="1"/>
  <c r="T114" i="4"/>
  <c r="AN114" i="4" s="1"/>
  <c r="T171" i="4"/>
  <c r="AN171" i="4" s="1"/>
  <c r="T129" i="4"/>
  <c r="AN129" i="4" s="1"/>
  <c r="T107" i="4"/>
  <c r="AN107" i="4" s="1"/>
  <c r="Y100" i="4"/>
  <c r="X116" i="4"/>
  <c r="T148" i="4"/>
  <c r="AN148" i="4" s="1"/>
  <c r="Y164" i="4"/>
  <c r="X180" i="4"/>
  <c r="Y106" i="4"/>
  <c r="Y143" i="4"/>
  <c r="Y98" i="4"/>
  <c r="Y130" i="4"/>
  <c r="X109" i="4"/>
  <c r="Y123" i="4"/>
  <c r="Y102" i="4"/>
  <c r="Y111" i="4"/>
  <c r="T133" i="4"/>
  <c r="AN133" i="4" s="1"/>
  <c r="T168" i="4"/>
  <c r="AN168" i="4" s="1"/>
  <c r="Y165" i="4"/>
  <c r="X138" i="4"/>
  <c r="X147" i="4"/>
  <c r="X105" i="4"/>
  <c r="X135" i="4"/>
  <c r="X150" i="4"/>
  <c r="Y157" i="4"/>
  <c r="Y96" i="4"/>
  <c r="T112" i="4"/>
  <c r="AN112" i="4" s="1"/>
  <c r="X128" i="4"/>
  <c r="T160" i="4"/>
  <c r="AN160" i="4" s="1"/>
  <c r="X176" i="4"/>
  <c r="X154" i="4"/>
  <c r="X170" i="4"/>
  <c r="X122" i="4"/>
  <c r="Y181" i="4"/>
  <c r="X179" i="4"/>
  <c r="X158" i="4"/>
  <c r="X137" i="4"/>
  <c r="X115" i="4"/>
  <c r="X178" i="4"/>
  <c r="Y146" i="4"/>
  <c r="Y125" i="4"/>
  <c r="Y161" i="4"/>
  <c r="Y139" i="4"/>
  <c r="X136" i="4"/>
  <c r="T173" i="4"/>
  <c r="AN173" i="4" s="1"/>
  <c r="T108" i="4"/>
  <c r="AN108" i="4" s="1"/>
  <c r="X124" i="4"/>
  <c r="Y140" i="4"/>
  <c r="T172" i="4"/>
  <c r="AN172" i="4" s="1"/>
  <c r="T149" i="4"/>
  <c r="AN149" i="4" s="1"/>
  <c r="Y101" i="4"/>
  <c r="X159" i="4"/>
  <c r="Y174" i="4"/>
  <c r="Y153" i="4"/>
  <c r="X131" i="4"/>
  <c r="Y167" i="4"/>
  <c r="Y141" i="4"/>
  <c r="Y97" i="4"/>
  <c r="X177" i="4"/>
  <c r="Y134" i="4"/>
  <c r="Y113" i="4"/>
  <c r="X95" i="4"/>
  <c r="X120" i="4"/>
  <c r="Y126" i="4"/>
  <c r="Y116" i="4"/>
  <c r="T164" i="4"/>
  <c r="AN164" i="4" s="1"/>
  <c r="Y117" i="4"/>
  <c r="Y142" i="4"/>
  <c r="Y166" i="4"/>
  <c r="X123" i="4"/>
  <c r="Y104" i="4"/>
  <c r="T147" i="4"/>
  <c r="AN147" i="4" s="1"/>
  <c r="T135" i="4"/>
  <c r="AN135" i="4" s="1"/>
  <c r="T150" i="4"/>
  <c r="AN150" i="4" s="1"/>
  <c r="X96" i="4"/>
  <c r="X144" i="4"/>
  <c r="T170" i="4"/>
  <c r="AN170" i="4" s="1"/>
  <c r="T181" i="4"/>
  <c r="AN181" i="4" s="1"/>
  <c r="Y137" i="4"/>
  <c r="Y178" i="4"/>
  <c r="X125" i="4"/>
  <c r="X161" i="4"/>
  <c r="X118" i="4"/>
  <c r="Y136" i="4"/>
  <c r="X140" i="4"/>
  <c r="T101" i="4"/>
  <c r="AN101" i="4" s="1"/>
  <c r="X110" i="4"/>
  <c r="X141" i="4"/>
  <c r="X97" i="4"/>
  <c r="Y155" i="4"/>
  <c r="X113" i="4"/>
  <c r="X152" i="4"/>
  <c r="X153" i="4"/>
  <c r="X103" i="4"/>
  <c r="X139" i="4"/>
  <c r="X99" i="4"/>
  <c r="Y149" i="4"/>
  <c r="T159" i="4"/>
  <c r="AN159" i="4" s="1"/>
  <c r="X167" i="4"/>
  <c r="X119" i="4"/>
  <c r="Y177" i="4"/>
  <c r="X134" i="4"/>
  <c r="T124" i="4"/>
  <c r="AN124" i="4" s="1"/>
  <c r="X174" i="4"/>
  <c r="Y156" i="4"/>
  <c r="X86" i="4"/>
  <c r="Y86" i="4"/>
  <c r="T86" i="4"/>
  <c r="AN86" i="4" s="1"/>
  <c r="X58" i="4"/>
  <c r="X82" i="4"/>
  <c r="T43" i="4"/>
  <c r="AN43" i="4" s="1"/>
  <c r="T78" i="4"/>
  <c r="AN78" i="4" s="1"/>
  <c r="T91" i="4"/>
  <c r="AN91" i="4" s="1"/>
  <c r="T79" i="4"/>
  <c r="AN79" i="4" s="1"/>
  <c r="T47" i="4"/>
  <c r="AN47" i="4" s="1"/>
  <c r="T30" i="4"/>
  <c r="AN30" i="4" s="1"/>
  <c r="Y88" i="4"/>
  <c r="Y72" i="4"/>
  <c r="T56" i="4"/>
  <c r="AN56" i="4" s="1"/>
  <c r="T40" i="4"/>
  <c r="AN40" i="4" s="1"/>
  <c r="T24" i="4"/>
  <c r="AN24" i="4" s="1"/>
  <c r="T13" i="4"/>
  <c r="AN13" i="4" s="1"/>
  <c r="X29" i="4"/>
  <c r="Y45" i="4"/>
  <c r="T61" i="4"/>
  <c r="AN61" i="4" s="1"/>
  <c r="Y93" i="4"/>
  <c r="T34" i="4"/>
  <c r="AN34" i="4" s="1"/>
  <c r="T42" i="4"/>
  <c r="AN42" i="4" s="1"/>
  <c r="T66" i="4"/>
  <c r="AN66" i="4" s="1"/>
  <c r="X90" i="4"/>
  <c r="X11" i="4"/>
  <c r="X62" i="4"/>
  <c r="X75" i="4"/>
  <c r="X71" i="4"/>
  <c r="Y39" i="4"/>
  <c r="X84" i="4"/>
  <c r="X68" i="4"/>
  <c r="X52" i="4"/>
  <c r="X36" i="4"/>
  <c r="T41" i="4"/>
  <c r="AN41" i="4" s="1"/>
  <c r="Y57" i="4"/>
  <c r="X73" i="4"/>
  <c r="T51" i="4"/>
  <c r="AN51" i="4" s="1"/>
  <c r="T10" i="4"/>
  <c r="AN10" i="4" s="1"/>
  <c r="X74" i="4"/>
  <c r="T26" i="4"/>
  <c r="AN26" i="4" s="1"/>
  <c r="Y50" i="4"/>
  <c r="T70" i="4"/>
  <c r="AN70" i="4" s="1"/>
  <c r="X83" i="4"/>
  <c r="X35" i="4"/>
  <c r="X59" i="4"/>
  <c r="X63" i="4"/>
  <c r="X31" i="4"/>
  <c r="X46" i="4"/>
  <c r="Y80" i="4"/>
  <c r="Y64" i="4"/>
  <c r="Y48" i="4"/>
  <c r="Y32" i="4"/>
  <c r="Y37" i="4"/>
  <c r="T69" i="4"/>
  <c r="AN69" i="4" s="1"/>
  <c r="X85" i="4"/>
  <c r="Y67" i="4"/>
  <c r="Y94" i="4"/>
  <c r="Y87" i="4"/>
  <c r="Y55" i="4"/>
  <c r="Y23" i="4"/>
  <c r="X92" i="4"/>
  <c r="T76" i="4"/>
  <c r="AN76" i="4" s="1"/>
  <c r="T60" i="4"/>
  <c r="AN60" i="4" s="1"/>
  <c r="T44" i="4"/>
  <c r="AN44" i="4" s="1"/>
  <c r="T58" i="4"/>
  <c r="AN58" i="4" s="1"/>
  <c r="Y82" i="4"/>
  <c r="X43" i="4"/>
  <c r="X78" i="4"/>
  <c r="X91" i="4"/>
  <c r="X79" i="4"/>
  <c r="X47" i="4"/>
  <c r="X30" i="4"/>
  <c r="T88" i="4"/>
  <c r="AN88" i="4" s="1"/>
  <c r="T72" i="4"/>
  <c r="AN72" i="4" s="1"/>
  <c r="X56" i="4"/>
  <c r="X40" i="4"/>
  <c r="X24" i="4"/>
  <c r="X13" i="4"/>
  <c r="T29" i="4"/>
  <c r="AN29" i="4" s="1"/>
  <c r="X45" i="4"/>
  <c r="T77" i="4"/>
  <c r="AN77" i="4" s="1"/>
  <c r="T93" i="4"/>
  <c r="AN93" i="4" s="1"/>
  <c r="Y34" i="4"/>
  <c r="Y42" i="4"/>
  <c r="Y66" i="4"/>
  <c r="Y90" i="4"/>
  <c r="Y62" i="4"/>
  <c r="Y75" i="4"/>
  <c r="Y71" i="4"/>
  <c r="Y54" i="4"/>
  <c r="Y22" i="4"/>
  <c r="T25" i="4"/>
  <c r="AN25" i="4" s="1"/>
  <c r="Y41" i="4"/>
  <c r="X57" i="4"/>
  <c r="T89" i="4"/>
  <c r="AN89" i="4" s="1"/>
  <c r="X51" i="4"/>
  <c r="X10" i="4"/>
  <c r="T74" i="4"/>
  <c r="AN74" i="4" s="1"/>
  <c r="T50" i="4"/>
  <c r="AN50" i="4" s="1"/>
  <c r="Y83" i="4"/>
  <c r="Y35" i="4"/>
  <c r="Y63" i="4"/>
  <c r="Y46" i="4"/>
  <c r="X80" i="4"/>
  <c r="X64" i="4"/>
  <c r="X48" i="4"/>
  <c r="X32" i="4"/>
  <c r="T53" i="4"/>
  <c r="AN53" i="4" s="1"/>
  <c r="X69" i="4"/>
  <c r="Y85" i="4"/>
  <c r="Y27" i="4"/>
  <c r="Y38" i="4"/>
  <c r="X33" i="4"/>
  <c r="Y49" i="4"/>
  <c r="X65" i="4"/>
  <c r="X49" i="4"/>
  <c r="X87" i="4"/>
  <c r="T38" i="4"/>
  <c r="AN38" i="4" s="1"/>
  <c r="X60" i="4"/>
  <c r="Y12" i="4"/>
  <c r="Y33" i="4"/>
  <c r="X81" i="4"/>
  <c r="X12" i="4"/>
  <c r="T49" i="4"/>
  <c r="AN49" i="4" s="1"/>
  <c r="Y58" i="4"/>
  <c r="T82" i="4"/>
  <c r="AN82" i="4" s="1"/>
  <c r="Y43" i="4"/>
  <c r="Y78" i="4"/>
  <c r="Y91" i="4"/>
  <c r="Y79" i="4"/>
  <c r="Y47" i="4"/>
  <c r="X88" i="4"/>
  <c r="X72" i="4"/>
  <c r="Y61" i="4"/>
  <c r="Y77" i="4"/>
  <c r="X93" i="4"/>
  <c r="Y11" i="4"/>
  <c r="T39" i="4"/>
  <c r="AN39" i="4" s="1"/>
  <c r="X54" i="4"/>
  <c r="T22" i="4"/>
  <c r="AN22" i="4" s="1"/>
  <c r="T84" i="4"/>
  <c r="AN84" i="4" s="1"/>
  <c r="T68" i="4"/>
  <c r="AN68" i="4" s="1"/>
  <c r="T52" i="4"/>
  <c r="AN52" i="4" s="1"/>
  <c r="T36" i="4"/>
  <c r="AN36" i="4" s="1"/>
  <c r="T9" i="4"/>
  <c r="AN9" i="4" s="1"/>
  <c r="Y25" i="4"/>
  <c r="X41" i="4"/>
  <c r="T73" i="4"/>
  <c r="AN73" i="4" s="1"/>
  <c r="X89" i="4"/>
  <c r="Y51" i="4"/>
  <c r="Y74" i="4"/>
  <c r="Y26" i="4"/>
  <c r="Y70" i="4"/>
  <c r="Y59" i="4"/>
  <c r="Y31" i="4"/>
  <c r="T37" i="4"/>
  <c r="AN37" i="4" s="1"/>
  <c r="X53" i="4"/>
  <c r="Y69" i="4"/>
  <c r="T67" i="4"/>
  <c r="AN67" i="4" s="1"/>
  <c r="T94" i="4"/>
  <c r="AN94" i="4" s="1"/>
  <c r="T27" i="4"/>
  <c r="AN27" i="4" s="1"/>
  <c r="T87" i="4"/>
  <c r="AN87" i="4" s="1"/>
  <c r="T55" i="4"/>
  <c r="AN55" i="4" s="1"/>
  <c r="T23" i="4"/>
  <c r="AN23" i="4" s="1"/>
  <c r="X38" i="4"/>
  <c r="Y92" i="4"/>
  <c r="Y76" i="4"/>
  <c r="Y60" i="4"/>
  <c r="Y44" i="4"/>
  <c r="Y28" i="4"/>
  <c r="T12" i="4"/>
  <c r="AN12" i="4" s="1"/>
  <c r="T33" i="4"/>
  <c r="AN33" i="4" s="1"/>
  <c r="T81" i="4"/>
  <c r="AN81" i="4" s="1"/>
  <c r="X55" i="4"/>
  <c r="T92" i="4"/>
  <c r="AN92" i="4" s="1"/>
  <c r="X44" i="4"/>
  <c r="X28" i="4"/>
  <c r="Y65" i="4"/>
  <c r="T28" i="4"/>
  <c r="AN28" i="4" s="1"/>
  <c r="Y81" i="4"/>
  <c r="Y30" i="4"/>
  <c r="Y56" i="4"/>
  <c r="Y40" i="4"/>
  <c r="Y24" i="4"/>
  <c r="Y13" i="4"/>
  <c r="Y29" i="4"/>
  <c r="T45" i="4"/>
  <c r="AN45" i="4" s="1"/>
  <c r="X61" i="4"/>
  <c r="X77" i="4"/>
  <c r="X34" i="4"/>
  <c r="X42" i="4"/>
  <c r="X66" i="4"/>
  <c r="T90" i="4"/>
  <c r="AN90" i="4" s="1"/>
  <c r="T11" i="4"/>
  <c r="AN11" i="4" s="1"/>
  <c r="T62" i="4"/>
  <c r="AN62" i="4" s="1"/>
  <c r="T75" i="4"/>
  <c r="AN75" i="4" s="1"/>
  <c r="T71" i="4"/>
  <c r="AN71" i="4" s="1"/>
  <c r="X39" i="4"/>
  <c r="T54" i="4"/>
  <c r="AN54" i="4" s="1"/>
  <c r="X22" i="4"/>
  <c r="Y84" i="4"/>
  <c r="Y68" i="4"/>
  <c r="Y52" i="4"/>
  <c r="Y36" i="4"/>
  <c r="Y9" i="4"/>
  <c r="X25" i="4"/>
  <c r="T57" i="4"/>
  <c r="AN57" i="4" s="1"/>
  <c r="Y73" i="4"/>
  <c r="Y89" i="4"/>
  <c r="Y10" i="4"/>
  <c r="X26" i="4"/>
  <c r="X50" i="4"/>
  <c r="X70" i="4"/>
  <c r="T83" i="4"/>
  <c r="AN83" i="4" s="1"/>
  <c r="T35" i="4"/>
  <c r="AN35" i="4" s="1"/>
  <c r="T59" i="4"/>
  <c r="AN59" i="4" s="1"/>
  <c r="T63" i="4"/>
  <c r="AN63" i="4" s="1"/>
  <c r="T31" i="4"/>
  <c r="AN31" i="4" s="1"/>
  <c r="T46" i="4"/>
  <c r="AN46" i="4" s="1"/>
  <c r="T80" i="4"/>
  <c r="AN80" i="4" s="1"/>
  <c r="T64" i="4"/>
  <c r="AN64" i="4" s="1"/>
  <c r="T48" i="4"/>
  <c r="AN48" i="4" s="1"/>
  <c r="T32" i="4"/>
  <c r="AN32" i="4" s="1"/>
  <c r="X37" i="4"/>
  <c r="Y53" i="4"/>
  <c r="T85" i="4"/>
  <c r="AN85" i="4" s="1"/>
  <c r="X67" i="4"/>
  <c r="X94" i="4"/>
  <c r="X27" i="4"/>
  <c r="X23" i="4"/>
  <c r="X76" i="4"/>
  <c r="T65" i="4"/>
  <c r="AN65" i="4" s="1"/>
  <c r="BT50" i="5" l="1"/>
  <c r="BU62" i="5"/>
  <c r="BP62" i="5"/>
  <c r="BT62" i="5"/>
  <c r="BP60" i="5"/>
  <c r="BU60" i="5"/>
  <c r="BT60" i="5"/>
  <c r="BT54" i="5"/>
  <c r="BP54" i="5"/>
  <c r="BU54" i="5"/>
  <c r="BP52" i="5"/>
  <c r="BU52" i="5"/>
  <c r="BT52" i="5"/>
  <c r="BP50" i="5"/>
  <c r="BU50" i="5"/>
  <c r="BU49" i="5"/>
  <c r="BP49" i="5"/>
  <c r="BT49" i="5"/>
  <c r="BU64" i="5"/>
  <c r="BP64" i="5"/>
  <c r="BT64" i="5"/>
  <c r="BT98" i="5"/>
  <c r="BT97" i="5"/>
  <c r="AV56" i="5"/>
  <c r="AW56" i="5" s="1"/>
  <c r="AV85" i="5"/>
  <c r="AW85" i="5" s="1"/>
  <c r="AV100" i="5"/>
  <c r="AW100" i="5" s="1"/>
  <c r="AV39" i="5"/>
  <c r="AW39" i="5" s="1"/>
  <c r="AV87" i="5"/>
  <c r="AW87" i="5" s="1"/>
  <c r="AV102" i="5"/>
  <c r="AW102" i="5" s="1"/>
  <c r="AV97" i="5"/>
  <c r="AW97" i="5" s="1"/>
  <c r="AV41" i="5"/>
  <c r="AW41" i="5" s="1"/>
  <c r="AV105" i="5"/>
  <c r="AW105" i="5" s="1"/>
  <c r="AV107" i="5"/>
  <c r="AW107" i="5" s="1"/>
  <c r="AV70" i="5"/>
  <c r="AW70" i="5" s="1"/>
  <c r="AV46" i="5"/>
  <c r="AW46" i="5" s="1"/>
  <c r="AV110" i="5"/>
  <c r="AW110" i="5" s="1"/>
  <c r="AV35" i="5"/>
  <c r="AW35" i="5" s="1"/>
  <c r="AV118" i="5"/>
  <c r="AW118" i="5" s="1"/>
  <c r="AV37" i="5"/>
  <c r="AW37" i="5" s="1"/>
  <c r="AV88" i="5"/>
  <c r="AW88" i="5" s="1"/>
  <c r="AV99" i="5"/>
  <c r="AW99" i="5" s="1"/>
  <c r="AV60" i="5"/>
  <c r="AW60" i="5" s="1"/>
  <c r="AV42" i="5"/>
  <c r="AW42" i="5" s="1"/>
  <c r="AV68" i="5"/>
  <c r="AW68" i="5" s="1"/>
  <c r="AV120" i="5"/>
  <c r="AW120" i="5" s="1"/>
  <c r="AV52" i="5"/>
  <c r="AW52" i="5" s="1"/>
  <c r="AV47" i="5"/>
  <c r="AW47" i="5" s="1"/>
  <c r="AV103" i="5"/>
  <c r="AW103" i="5" s="1"/>
  <c r="AV77" i="5"/>
  <c r="AW77" i="5" s="1"/>
  <c r="AV36" i="5"/>
  <c r="AW36" i="5" s="1"/>
  <c r="T36" i="5" s="1"/>
  <c r="AV71" i="5"/>
  <c r="AW71" i="5" s="1"/>
  <c r="AV96" i="5"/>
  <c r="AW96" i="5" s="1"/>
  <c r="AV82" i="5"/>
  <c r="AW82" i="5" s="1"/>
  <c r="AV38" i="5"/>
  <c r="AW38" i="5" s="1"/>
  <c r="AV92" i="5"/>
  <c r="AW92" i="5" s="1"/>
  <c r="AV86" i="5"/>
  <c r="AW86" i="5" s="1"/>
  <c r="AV45" i="5"/>
  <c r="AW45" i="5" s="1"/>
  <c r="AV58" i="5"/>
  <c r="AW58" i="5" s="1"/>
  <c r="AV93" i="5"/>
  <c r="AW93" i="5" s="1"/>
  <c r="AV104" i="5"/>
  <c r="AW104" i="5" s="1"/>
  <c r="AV114" i="5"/>
  <c r="AW114" i="5" s="1"/>
  <c r="AV48" i="5"/>
  <c r="AW48" i="5" s="1"/>
  <c r="AV67" i="5"/>
  <c r="AW67" i="5" s="1"/>
  <c r="AV65" i="5"/>
  <c r="AW65" i="5" s="1"/>
  <c r="AV73" i="5"/>
  <c r="AW73" i="5" s="1"/>
  <c r="AV44" i="5"/>
  <c r="AW44" i="5" s="1"/>
  <c r="AV111" i="5"/>
  <c r="AW111" i="5" s="1"/>
  <c r="AV66" i="5"/>
  <c r="AW66" i="5" s="1"/>
  <c r="AV113" i="5"/>
  <c r="AW113" i="5" s="1"/>
  <c r="AV76" i="5"/>
  <c r="AW76" i="5" s="1"/>
  <c r="AV75" i="5"/>
  <c r="AW75" i="5" s="1"/>
  <c r="AV40" i="5"/>
  <c r="AW40" i="5" s="1"/>
  <c r="AV55" i="5"/>
  <c r="AW55" i="5" s="1"/>
  <c r="AV117" i="5"/>
  <c r="AW117" i="5" s="1"/>
  <c r="AV108" i="5"/>
  <c r="AW108" i="5" s="1"/>
  <c r="AV109" i="5"/>
  <c r="AW109" i="5" s="1"/>
  <c r="AV50" i="5"/>
  <c r="AW50" i="5" s="1"/>
  <c r="AV98" i="5"/>
  <c r="AW98" i="5" s="1"/>
  <c r="AV90" i="5"/>
  <c r="AW90" i="5" s="1"/>
  <c r="AV69" i="5"/>
  <c r="AW69" i="5" s="1"/>
  <c r="AV62" i="5"/>
  <c r="AW62" i="5" s="1"/>
  <c r="AV106" i="5"/>
  <c r="AW106" i="5" s="1"/>
  <c r="AV78" i="5"/>
  <c r="AW78" i="5" s="1"/>
  <c r="AV57" i="5"/>
  <c r="AW57" i="5" s="1"/>
  <c r="AV54" i="5"/>
  <c r="AW54" i="5" s="1"/>
  <c r="AV84" i="5"/>
  <c r="AW84" i="5" s="1"/>
  <c r="AV49" i="5"/>
  <c r="AW49" i="5" s="1"/>
  <c r="AV83" i="5"/>
  <c r="AW83" i="5" s="1"/>
  <c r="AV63" i="5"/>
  <c r="AW63" i="5" s="1"/>
  <c r="AV115" i="5"/>
  <c r="AW115" i="5" s="1"/>
  <c r="AV74" i="5"/>
  <c r="AW74" i="5" s="1"/>
  <c r="AV61" i="5"/>
  <c r="AW61" i="5" s="1"/>
  <c r="AV59" i="5"/>
  <c r="AW59" i="5" s="1"/>
  <c r="AV43" i="5"/>
  <c r="AW43" i="5" s="1"/>
  <c r="AV95" i="5"/>
  <c r="AW95" i="5" s="1"/>
  <c r="AV80" i="5"/>
  <c r="AW80" i="5" s="1"/>
  <c r="AV112" i="5"/>
  <c r="AW112" i="5" s="1"/>
  <c r="AV101" i="5"/>
  <c r="AW101" i="5" s="1"/>
  <c r="AV94" i="5"/>
  <c r="AW94" i="5" s="1"/>
  <c r="AV89" i="5"/>
  <c r="AW89" i="5" s="1"/>
  <c r="AV116" i="5"/>
  <c r="AW116" i="5" s="1"/>
  <c r="AV91" i="5"/>
  <c r="AW91" i="5" s="1"/>
  <c r="AV51" i="5"/>
  <c r="AW51" i="5" s="1"/>
  <c r="AV64" i="5"/>
  <c r="AV79" i="5"/>
  <c r="AW79" i="5" s="1"/>
  <c r="AV53" i="5"/>
  <c r="AW53" i="5" s="1"/>
  <c r="AV119" i="5"/>
  <c r="AW119" i="5" s="1"/>
  <c r="AV72" i="5"/>
  <c r="AW72" i="5" s="1"/>
  <c r="AV81" i="5"/>
  <c r="AW81" i="5" s="1"/>
  <c r="BT100" i="5" l="1"/>
  <c r="BT51" i="5"/>
  <c r="BU51" i="5"/>
  <c r="BP51" i="5"/>
  <c r="BV62" i="5"/>
  <c r="BQ62" i="5"/>
  <c r="BQ60" i="5"/>
  <c r="BV60" i="5"/>
  <c r="BV54" i="5"/>
  <c r="BQ54" i="5"/>
  <c r="BV52" i="5"/>
  <c r="BQ52" i="5"/>
  <c r="BV50" i="5"/>
  <c r="BQ50" i="5"/>
  <c r="BQ49" i="5"/>
  <c r="BV49" i="5"/>
  <c r="BQ64" i="5"/>
  <c r="BV64" i="5"/>
  <c r="AW64" i="5"/>
  <c r="AO64" i="5" s="1"/>
  <c r="BT47" i="5"/>
  <c r="BU47" i="5"/>
  <c r="BP47" i="5"/>
  <c r="BT99" i="5"/>
  <c r="AT119" i="5"/>
  <c r="T119" i="5"/>
  <c r="AT51" i="5"/>
  <c r="T51" i="5"/>
  <c r="AT94" i="5"/>
  <c r="T94" i="5"/>
  <c r="AT95" i="5"/>
  <c r="T95" i="5"/>
  <c r="AT74" i="5"/>
  <c r="T74" i="5"/>
  <c r="AT49" i="5"/>
  <c r="T49" i="5"/>
  <c r="AT78" i="5"/>
  <c r="T78" i="5"/>
  <c r="AT90" i="5"/>
  <c r="T90" i="5"/>
  <c r="AT108" i="5"/>
  <c r="T108" i="5"/>
  <c r="AT75" i="5"/>
  <c r="T75" i="5"/>
  <c r="AT111" i="5"/>
  <c r="T111" i="5"/>
  <c r="AT67" i="5"/>
  <c r="T67" i="5"/>
  <c r="AT93" i="5"/>
  <c r="T93" i="5"/>
  <c r="AT92" i="5"/>
  <c r="T92" i="5"/>
  <c r="AT71" i="5"/>
  <c r="T71" i="5"/>
  <c r="AT47" i="5"/>
  <c r="T47" i="5"/>
  <c r="AT42" i="5"/>
  <c r="T42" i="5"/>
  <c r="AT37" i="5"/>
  <c r="T37" i="5"/>
  <c r="AT46" i="5"/>
  <c r="T46" i="5"/>
  <c r="AT41" i="5"/>
  <c r="T41" i="5"/>
  <c r="AT39" i="5"/>
  <c r="T39" i="5"/>
  <c r="AT53" i="5"/>
  <c r="T53" i="5"/>
  <c r="AT91" i="5"/>
  <c r="T91" i="5"/>
  <c r="AT101" i="5"/>
  <c r="T101" i="5"/>
  <c r="AT43" i="5"/>
  <c r="T43" i="5"/>
  <c r="AT115" i="5"/>
  <c r="T115" i="5"/>
  <c r="AT84" i="5"/>
  <c r="T84" i="5"/>
  <c r="AT106" i="5"/>
  <c r="T106" i="5"/>
  <c r="AT98" i="5"/>
  <c r="T98" i="5"/>
  <c r="AT117" i="5"/>
  <c r="T117" i="5"/>
  <c r="AT76" i="5"/>
  <c r="T76" i="5"/>
  <c r="AT44" i="5"/>
  <c r="T44" i="5"/>
  <c r="AT48" i="5"/>
  <c r="T48" i="5"/>
  <c r="AT58" i="5"/>
  <c r="T58" i="5"/>
  <c r="AT38" i="5"/>
  <c r="T38" i="5"/>
  <c r="AT36" i="5"/>
  <c r="AT52" i="5"/>
  <c r="T52" i="5"/>
  <c r="AT60" i="5"/>
  <c r="T60" i="5"/>
  <c r="AT118" i="5"/>
  <c r="T118" i="5"/>
  <c r="AT70" i="5"/>
  <c r="T70" i="5"/>
  <c r="AT97" i="5"/>
  <c r="T97" i="5"/>
  <c r="AT100" i="5"/>
  <c r="T100" i="5"/>
  <c r="AT81" i="5"/>
  <c r="T81" i="5"/>
  <c r="AT79" i="5"/>
  <c r="T79" i="5"/>
  <c r="AT116" i="5"/>
  <c r="T116" i="5"/>
  <c r="AT112" i="5"/>
  <c r="T112" i="5"/>
  <c r="AT59" i="5"/>
  <c r="T59" i="5"/>
  <c r="AT63" i="5"/>
  <c r="T63" i="5"/>
  <c r="AT54" i="5"/>
  <c r="T54" i="5"/>
  <c r="AT62" i="5"/>
  <c r="T62" i="5"/>
  <c r="AT50" i="5"/>
  <c r="T50" i="5"/>
  <c r="AT55" i="5"/>
  <c r="T55" i="5"/>
  <c r="AT113" i="5"/>
  <c r="T113" i="5"/>
  <c r="AT73" i="5"/>
  <c r="T73" i="5"/>
  <c r="AT114" i="5"/>
  <c r="T114" i="5"/>
  <c r="AT45" i="5"/>
  <c r="T45" i="5"/>
  <c r="AT82" i="5"/>
  <c r="T82" i="5"/>
  <c r="AT77" i="5"/>
  <c r="T77" i="5"/>
  <c r="AT120" i="5"/>
  <c r="T120" i="5"/>
  <c r="AT99" i="5"/>
  <c r="T99" i="5"/>
  <c r="AT35" i="5"/>
  <c r="T35" i="5"/>
  <c r="AT107" i="5"/>
  <c r="T107" i="5"/>
  <c r="AT102" i="5"/>
  <c r="T102" i="5"/>
  <c r="AT85" i="5"/>
  <c r="T85" i="5"/>
  <c r="AT72" i="5"/>
  <c r="T72" i="5"/>
  <c r="AT89" i="5"/>
  <c r="T89" i="5"/>
  <c r="AT80" i="5"/>
  <c r="T80" i="5"/>
  <c r="AT61" i="5"/>
  <c r="T61" i="5"/>
  <c r="AT83" i="5"/>
  <c r="T83" i="5"/>
  <c r="AT57" i="5"/>
  <c r="T57" i="5"/>
  <c r="AT69" i="5"/>
  <c r="T69" i="5"/>
  <c r="AT109" i="5"/>
  <c r="T109" i="5"/>
  <c r="AT40" i="5"/>
  <c r="T40" i="5"/>
  <c r="AT66" i="5"/>
  <c r="T66" i="5"/>
  <c r="AT65" i="5"/>
  <c r="T65" i="5"/>
  <c r="AT104" i="5"/>
  <c r="T104" i="5"/>
  <c r="AT86" i="5"/>
  <c r="T86" i="5"/>
  <c r="AT96" i="5"/>
  <c r="T96" i="5"/>
  <c r="AT103" i="5"/>
  <c r="T103" i="5"/>
  <c r="AT68" i="5"/>
  <c r="T68" i="5"/>
  <c r="AT88" i="5"/>
  <c r="T88" i="5"/>
  <c r="AT110" i="5"/>
  <c r="T110" i="5"/>
  <c r="AT105" i="5"/>
  <c r="T105" i="5"/>
  <c r="AT87" i="5"/>
  <c r="T87" i="5"/>
  <c r="AT56" i="5"/>
  <c r="T56" i="5"/>
  <c r="AH114" i="4" l="1"/>
  <c r="AH28" i="4"/>
  <c r="BV51" i="5"/>
  <c r="BQ51" i="5"/>
  <c r="AH109" i="4"/>
  <c r="AH23" i="4"/>
  <c r="AH124" i="4"/>
  <c r="AH38" i="4"/>
  <c r="AH34" i="4"/>
  <c r="AH120" i="4"/>
  <c r="T64" i="5"/>
  <c r="AT64" i="5"/>
  <c r="AH26" i="4"/>
  <c r="AH112" i="4"/>
  <c r="BQ47" i="5"/>
  <c r="BV47" i="5"/>
  <c r="AH60" i="4"/>
  <c r="AH146" i="4"/>
  <c r="AH72" i="4"/>
  <c r="AH158" i="4"/>
  <c r="AH21" i="4"/>
  <c r="AH107" i="4"/>
  <c r="AH71" i="4"/>
  <c r="AH157" i="4"/>
  <c r="AH25" i="4" l="1"/>
  <c r="AH111" i="4"/>
  <c r="AH159" i="4"/>
  <c r="AH73" i="4"/>
  <c r="AH74" i="4"/>
  <c r="AH160" i="4"/>
  <c r="AC123" i="4" l="1"/>
  <c r="AC81" i="4"/>
  <c r="AC71" i="4"/>
  <c r="AC77" i="4"/>
  <c r="AC75" i="4"/>
  <c r="AC90" i="4"/>
  <c r="AC111" i="4"/>
  <c r="AC36" i="4"/>
  <c r="AC161" i="4"/>
  <c r="AC12" i="4"/>
  <c r="AC69" i="4"/>
  <c r="AC94" i="4"/>
  <c r="AC107" i="4"/>
  <c r="AC163" i="4"/>
  <c r="AC76" i="4"/>
  <c r="AC70" i="4"/>
  <c r="AC35" i="4"/>
  <c r="AC41" i="4"/>
  <c r="AC72" i="4"/>
  <c r="AC113" i="4"/>
  <c r="AC102" i="4"/>
  <c r="AC159" i="4"/>
  <c r="AC47" i="4"/>
  <c r="AC22" i="4"/>
  <c r="AC130" i="4"/>
  <c r="AC7" i="4"/>
  <c r="AC17" i="4"/>
  <c r="AC64" i="4"/>
  <c r="AC10" i="4"/>
  <c r="AC86" i="4"/>
  <c r="AC13" i="4"/>
  <c r="AC115" i="4"/>
  <c r="AC166" i="4"/>
  <c r="AC155" i="4"/>
  <c r="AC138" i="4"/>
  <c r="AC27" i="4"/>
  <c r="AC91" i="4"/>
  <c r="AC28" i="4"/>
  <c r="AC92" i="4"/>
  <c r="AC33" i="4"/>
  <c r="AC58" i="4"/>
  <c r="AC63" i="4"/>
  <c r="AC16" i="4"/>
  <c r="AC80" i="4"/>
  <c r="AC21" i="4"/>
  <c r="AC85" i="4"/>
  <c r="AC51" i="4"/>
  <c r="AC42" i="4"/>
  <c r="AC52" i="4"/>
  <c r="AC54" i="4"/>
  <c r="AC57" i="4"/>
  <c r="AC23" i="4"/>
  <c r="AC87" i="4"/>
  <c r="AC24" i="4"/>
  <c r="AC88" i="4"/>
  <c r="AC29" i="4"/>
  <c r="AC93" i="4"/>
  <c r="AC146" i="4"/>
  <c r="AC135" i="4"/>
  <c r="AC136" i="4"/>
  <c r="AC132" i="4"/>
  <c r="AC128" i="4"/>
  <c r="AC118" i="4"/>
  <c r="AC97" i="4"/>
  <c r="AC99" i="4"/>
  <c r="AC95" i="4"/>
  <c r="AC180" i="4"/>
  <c r="AC176" i="4"/>
  <c r="AC124" i="4"/>
  <c r="AC8" i="4"/>
  <c r="AC43" i="4"/>
  <c r="AC26" i="4"/>
  <c r="AC44" i="4"/>
  <c r="AC38" i="4"/>
  <c r="AC49" i="4"/>
  <c r="AC15" i="4"/>
  <c r="AC79" i="4"/>
  <c r="AC32" i="4"/>
  <c r="AC14" i="4"/>
  <c r="AC37" i="4"/>
  <c r="AC74" i="4"/>
  <c r="AC67" i="4"/>
  <c r="AC82" i="4"/>
  <c r="AC68" i="4"/>
  <c r="AC9" i="4"/>
  <c r="AC73" i="4"/>
  <c r="AC39" i="4"/>
  <c r="AC18" i="4"/>
  <c r="AC40" i="4"/>
  <c r="AC30" i="4"/>
  <c r="AC45" i="4"/>
  <c r="AC11" i="4"/>
  <c r="AC162" i="4"/>
  <c r="AC156" i="4"/>
  <c r="AC157" i="4"/>
  <c r="AC153" i="4"/>
  <c r="AC149" i="4"/>
  <c r="AC134" i="4"/>
  <c r="AC119" i="4"/>
  <c r="AC120" i="4"/>
  <c r="AC116" i="4"/>
  <c r="AC112" i="4"/>
  <c r="AC106" i="4"/>
  <c r="AC167" i="4"/>
  <c r="AC59" i="4"/>
  <c r="AC62" i="4"/>
  <c r="AC60" i="4"/>
  <c r="AC78" i="4"/>
  <c r="AC65" i="4"/>
  <c r="AC31" i="4"/>
  <c r="AC34" i="4"/>
  <c r="AC48" i="4"/>
  <c r="AC46" i="4"/>
  <c r="AC53" i="4"/>
  <c r="AC19" i="4"/>
  <c r="AC83" i="4"/>
  <c r="AC20" i="4"/>
  <c r="AC84" i="4"/>
  <c r="AC25" i="4"/>
  <c r="AC89" i="4"/>
  <c r="AC55" i="4"/>
  <c r="AC50" i="4"/>
  <c r="AC56" i="4"/>
  <c r="AC66" i="4"/>
  <c r="AC61" i="4"/>
  <c r="AC114" i="4"/>
  <c r="AC178" i="4"/>
  <c r="AC177" i="4"/>
  <c r="AC179" i="4"/>
  <c r="AC175" i="4"/>
  <c r="AC171" i="4"/>
  <c r="AC150" i="4"/>
  <c r="AC140" i="4"/>
  <c r="AC141" i="4"/>
  <c r="AC137" i="4"/>
  <c r="AC133" i="4"/>
  <c r="AC122" i="4"/>
  <c r="AC154" i="4"/>
  <c r="AC143" i="4"/>
  <c r="AC170" i="4"/>
  <c r="AC103" i="4"/>
  <c r="AC104" i="4"/>
  <c r="AC164" i="4"/>
  <c r="AC147" i="4"/>
  <c r="AC139" i="4"/>
  <c r="AC145" i="4"/>
  <c r="AC168" i="4"/>
  <c r="AC160" i="4"/>
  <c r="AC108" i="4"/>
  <c r="AC109" i="4"/>
  <c r="AC105" i="4"/>
  <c r="AC126" i="4"/>
  <c r="AC144" i="4"/>
  <c r="AC142" i="4"/>
  <c r="AC129" i="4"/>
  <c r="AC131" i="4"/>
  <c r="AC148" i="4"/>
  <c r="AC165" i="4"/>
  <c r="AC100" i="4"/>
  <c r="AC96" i="4"/>
  <c r="AC181" i="4"/>
  <c r="AC158" i="4"/>
  <c r="AC151" i="4"/>
  <c r="AC152" i="4"/>
  <c r="AC169" i="4"/>
  <c r="AC98" i="4"/>
  <c r="AC125" i="4"/>
  <c r="AC121" i="4"/>
  <c r="AC117" i="4"/>
  <c r="AC110" i="4"/>
  <c r="AC174" i="4"/>
  <c r="AC172" i="4"/>
  <c r="AC173" i="4"/>
  <c r="AC101" i="4"/>
  <c r="AC127" i="4"/>
  <c r="T21" i="4"/>
  <c r="AN21" i="4" s="1"/>
  <c r="T16" i="4"/>
  <c r="AN16" i="4" s="1"/>
  <c r="T14" i="4"/>
  <c r="AN14" i="4" s="1"/>
  <c r="T19" i="4"/>
  <c r="AN19" i="4" s="1"/>
  <c r="AQ20" i="4"/>
  <c r="Y20" i="4"/>
  <c r="X20" i="4"/>
  <c r="Y18" i="4"/>
  <c r="AQ18" i="4"/>
  <c r="X18" i="4"/>
  <c r="AA20" i="4"/>
  <c r="AB20" i="4" s="1"/>
  <c r="T20" i="4"/>
  <c r="AN20" i="4" s="1"/>
  <c r="AA18" i="4"/>
  <c r="AB18" i="4" s="1"/>
  <c r="T18" i="4"/>
  <c r="AN18" i="4" s="1"/>
  <c r="T17" i="4"/>
  <c r="AN17" i="4" s="1"/>
  <c r="Y17" i="4"/>
  <c r="X17" i="4"/>
  <c r="AQ17" i="4"/>
  <c r="T15" i="4"/>
  <c r="AN15" i="4" s="1"/>
  <c r="X15" i="4"/>
  <c r="Y15" i="4"/>
  <c r="AA15" i="4"/>
  <c r="AB15" i="4" s="1"/>
  <c r="AQ15" i="4"/>
  <c r="AQ21" i="4"/>
  <c r="X21" i="4"/>
  <c r="AA21" i="4"/>
  <c r="AB21" i="4" s="1"/>
  <c r="Y21" i="4"/>
  <c r="AA17" i="4"/>
  <c r="AB17" i="4" s="1"/>
  <c r="Y16" i="4"/>
  <c r="AQ16" i="4"/>
  <c r="AA16" i="4"/>
  <c r="AB16" i="4" s="1"/>
  <c r="X16" i="4"/>
  <c r="Y14" i="4"/>
  <c r="X14" i="4"/>
  <c r="AA14" i="4"/>
  <c r="AB14" i="4" s="1"/>
  <c r="AQ14" i="4"/>
  <c r="AQ19" i="4"/>
  <c r="Y19" i="4"/>
  <c r="AA19" i="4"/>
  <c r="AB19" i="4" s="1"/>
  <c r="X19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<sst xmlns="http://schemas.openxmlformats.org/spreadsheetml/2006/main" count="1253" uniqueCount="293">
  <si>
    <t>EURUSD</t>
  </si>
  <si>
    <t>IDENTITE</t>
  </si>
  <si>
    <t>1 RSRS S 1.06246 M1M1</t>
  </si>
  <si>
    <t>1 RBRB B 1.06251 M1M1</t>
  </si>
  <si>
    <t>1 RBRB B 1.0633 M1M1</t>
  </si>
  <si>
    <t>1 RBRB B 1.06346 M1M1</t>
  </si>
  <si>
    <t>1 RBRB B 1.06393 M1M1</t>
  </si>
  <si>
    <t>1.06291</t>
  </si>
  <si>
    <t>1.06298</t>
  </si>
  <si>
    <t>1.06303</t>
  </si>
  <si>
    <t>1.06363</t>
  </si>
  <si>
    <t>1.06351</t>
  </si>
  <si>
    <t>1.06333</t>
  </si>
  <si>
    <t>1.06448</t>
  </si>
  <si>
    <t>1.06396</t>
  </si>
  <si>
    <t>1.06464</t>
  </si>
  <si>
    <t>1.06275</t>
  </si>
  <si>
    <t>1.06308</t>
  </si>
  <si>
    <t>1.06271</t>
  </si>
  <si>
    <t>1.06482</t>
  </si>
  <si>
    <t>1.06505</t>
  </si>
  <si>
    <t>1.0651</t>
  </si>
  <si>
    <t>1.06422</t>
  </si>
  <si>
    <t>1.06565</t>
  </si>
  <si>
    <t>1.06498</t>
  </si>
  <si>
    <t>1.06483</t>
  </si>
  <si>
    <t>1.06539</t>
  </si>
  <si>
    <t>1.06556</t>
  </si>
  <si>
    <t>PRICE</t>
  </si>
  <si>
    <t>Objectif</t>
  </si>
  <si>
    <t>VOLUME</t>
  </si>
  <si>
    <t xml:space="preserve">PRIX </t>
  </si>
  <si>
    <t>PRODUIT FINANCIER</t>
  </si>
  <si>
    <t>INDEX</t>
  </si>
  <si>
    <t>COMMAND</t>
  </si>
  <si>
    <t>COMMENTAIRE</t>
  </si>
  <si>
    <t>PRODUIT F</t>
  </si>
  <si>
    <t>LOT</t>
  </si>
  <si>
    <t>GO</t>
  </si>
  <si>
    <t>GO1</t>
  </si>
  <si>
    <t>GO2</t>
  </si>
  <si>
    <t>GO3</t>
  </si>
  <si>
    <t>GO4</t>
  </si>
  <si>
    <t>Cst TIME</t>
  </si>
  <si>
    <t>GO6</t>
  </si>
  <si>
    <t>GO7</t>
  </si>
  <si>
    <t>SELL</t>
  </si>
  <si>
    <t>BUY</t>
  </si>
  <si>
    <t>DÉJÀ</t>
  </si>
  <si>
    <t>BUYER</t>
  </si>
  <si>
    <t>SELLER</t>
  </si>
  <si>
    <t>DEVISE</t>
  </si>
  <si>
    <t>COMPTE</t>
  </si>
  <si>
    <t>Colonne1</t>
  </si>
  <si>
    <t>DIS_BUY</t>
  </si>
  <si>
    <t>DIS_SELL</t>
  </si>
  <si>
    <t>doublons</t>
  </si>
  <si>
    <t>DOUBLONS2</t>
  </si>
  <si>
    <t>EN COURS</t>
  </si>
  <si>
    <t>DOUBLONS4</t>
  </si>
  <si>
    <t>TP</t>
  </si>
  <si>
    <t>OB</t>
  </si>
  <si>
    <t>EN ATTENTES</t>
  </si>
  <si>
    <t>Colonne2</t>
  </si>
  <si>
    <t>Colonne3</t>
  </si>
  <si>
    <t>Colonne4</t>
  </si>
  <si>
    <t>Colonne5</t>
  </si>
  <si>
    <t>Colonne6</t>
  </si>
  <si>
    <t>ATTEINT</t>
  </si>
  <si>
    <t>GOUBLOP</t>
  </si>
  <si>
    <t>GOUBLOP2</t>
  </si>
  <si>
    <t>NDONG</t>
  </si>
  <si>
    <t>NDONNG</t>
  </si>
  <si>
    <t>ATEINTESS</t>
  </si>
  <si>
    <t>tp2</t>
  </si>
  <si>
    <t>SL</t>
  </si>
  <si>
    <t>taille</t>
  </si>
  <si>
    <t>Colonne7</t>
  </si>
  <si>
    <t>Colonne8</t>
  </si>
  <si>
    <t>GLOBAL BUY</t>
  </si>
  <si>
    <t>GLOBAL SELL</t>
  </si>
  <si>
    <t>GLOBUY</t>
  </si>
  <si>
    <t>GLOSELL</t>
  </si>
  <si>
    <t>Colonne9</t>
  </si>
  <si>
    <t>Colonne10</t>
  </si>
  <si>
    <t>suppression</t>
  </si>
  <si>
    <t>STATUT</t>
  </si>
  <si>
    <t>ENTREEE</t>
  </si>
  <si>
    <t>TP IN</t>
  </si>
  <si>
    <t>SL IN</t>
  </si>
  <si>
    <t>CLOTURE</t>
  </si>
  <si>
    <t>TIME</t>
  </si>
  <si>
    <t>PRICR</t>
  </si>
  <si>
    <t>TP OK</t>
  </si>
  <si>
    <t>SL OK</t>
  </si>
  <si>
    <t>GAIN</t>
  </si>
  <si>
    <t>PERTES</t>
  </si>
  <si>
    <t>NON</t>
  </si>
  <si>
    <t>TAILLE CALC</t>
  </si>
  <si>
    <t>taille pos</t>
  </si>
  <si>
    <t>Colonne12</t>
  </si>
  <si>
    <t>Colonne13</t>
  </si>
  <si>
    <t>Colonne14</t>
  </si>
  <si>
    <t>DISTANCE</t>
  </si>
  <si>
    <t>DISTANCE STOP</t>
  </si>
  <si>
    <t>P/L</t>
  </si>
  <si>
    <t>P/L TOTAL</t>
  </si>
  <si>
    <t>NBRE DE REPRISE PAR POSITION</t>
  </si>
  <si>
    <t>NBRE DE REPRISE PAR POSITION2</t>
  </si>
  <si>
    <t>FIAL</t>
  </si>
  <si>
    <t>MAJ de la position</t>
  </si>
  <si>
    <t>TAILLE  A la cloture</t>
  </si>
  <si>
    <t>JUSTE OK</t>
  </si>
  <si>
    <t>open T</t>
  </si>
  <si>
    <t>COMPTE2</t>
  </si>
  <si>
    <t>DEVISE3</t>
  </si>
  <si>
    <t>COMMAND4</t>
  </si>
  <si>
    <t>PRICE5</t>
  </si>
  <si>
    <t>TP6</t>
  </si>
  <si>
    <t>SL7</t>
  </si>
  <si>
    <t>ETAT</t>
  </si>
  <si>
    <t>CLOSE</t>
  </si>
  <si>
    <t/>
  </si>
  <si>
    <t>BUYSTOP</t>
  </si>
  <si>
    <t>1.06377</t>
  </si>
  <si>
    <t>1 RBRB B 1.06247 M1M1</t>
  </si>
  <si>
    <t>1.06403</t>
  </si>
  <si>
    <t>1.06361</t>
  </si>
  <si>
    <t>1 RBRB B 1.06211 M1M1</t>
  </si>
  <si>
    <t>1 RBRB B 1.06212 M1M1</t>
  </si>
  <si>
    <t>1.06348</t>
  </si>
  <si>
    <t>1 RBRB B 1.06201 M1M1</t>
  </si>
  <si>
    <t>SELLSTOP</t>
  </si>
  <si>
    <t>1.06335</t>
  </si>
  <si>
    <t>1 RSRS S 1.06383 M1M1</t>
  </si>
  <si>
    <t>1.06315</t>
  </si>
  <si>
    <t>1 RSRS S 1.06304 M1M1</t>
  </si>
  <si>
    <t>1.06309</t>
  </si>
  <si>
    <t>1 RSRS S 1.0631 M1M1</t>
  </si>
  <si>
    <t>1 RSRS S 1.0645 M1M1</t>
  </si>
  <si>
    <t>1.06372</t>
  </si>
  <si>
    <t>1 RSRS S 1.06411 M1M1</t>
  </si>
  <si>
    <t>1.06375</t>
  </si>
  <si>
    <t>1 RSRS S 1.06401 M1M1</t>
  </si>
  <si>
    <t>1.06379</t>
  </si>
  <si>
    <t>1 RSRS S 1.06412 M1M1</t>
  </si>
  <si>
    <t>1.06414</t>
  </si>
  <si>
    <t>1 RBRB B 1.06287 M1M1</t>
  </si>
  <si>
    <t>1 RSRS S 1.06432 M1M1</t>
  </si>
  <si>
    <t>1.06434</t>
  </si>
  <si>
    <t>1 RBRB B 1.06288 M1M1</t>
  </si>
  <si>
    <t>1 RBRB B 1.06296 M1M1</t>
  </si>
  <si>
    <t>1 RBRB B 1.06316 M1M1</t>
  </si>
  <si>
    <t>1 RBRB B 1.06322 M1M1</t>
  </si>
  <si>
    <t>1.06459</t>
  </si>
  <si>
    <t>1 RBRB B 1.06315 M1M1</t>
  </si>
  <si>
    <t>1 RBRB B 1.06307 M1M1</t>
  </si>
  <si>
    <t>1.06461</t>
  </si>
  <si>
    <t>1 RBRB B 1.06314 M1M1</t>
  </si>
  <si>
    <t>1.06486</t>
  </si>
  <si>
    <t>1 RBRB B 1.06321 M1M1</t>
  </si>
  <si>
    <t>1.06469</t>
  </si>
  <si>
    <t>1 RBRB B 1.06304 M1M1</t>
  </si>
  <si>
    <t>1 RBRB B 1.0632 M1M1</t>
  </si>
  <si>
    <t>1.06458</t>
  </si>
  <si>
    <t>1 RBRB B 1.06306 M1M1</t>
  </si>
  <si>
    <t>1 RSRS S 1.06426 M1M1</t>
  </si>
  <si>
    <t>1 RBRB B 1.063 M1M1</t>
  </si>
  <si>
    <t>1 RBRB B 1.0631 M1M1</t>
  </si>
  <si>
    <t>1 RBRB B 1.06336 M1M1</t>
  </si>
  <si>
    <t>1 RBRB B 1.06355 M1M1</t>
  </si>
  <si>
    <t>1 RBRB B 1.06357 M1M1</t>
  </si>
  <si>
    <t>1.06513</t>
  </si>
  <si>
    <t>1 RBRB B 1.06363 M1M1</t>
  </si>
  <si>
    <t>1.06537</t>
  </si>
  <si>
    <t>1 RBRB B 1.20231 M1M1</t>
  </si>
  <si>
    <t>1 RBRB B 1.2022 M1M1</t>
  </si>
  <si>
    <t>1.06542</t>
  </si>
  <si>
    <t>1.06551</t>
  </si>
  <si>
    <t>1 RBRB B 1.06398 M1M1</t>
  </si>
  <si>
    <t>1.06545</t>
  </si>
  <si>
    <t>1 RBRB B 1.20282 M1M1</t>
  </si>
  <si>
    <t>1.06544</t>
  </si>
  <si>
    <t>1 RBRB B 1.20257 M1M1</t>
  </si>
  <si>
    <t>1 RBRB B 1.20245 M1M1</t>
  </si>
  <si>
    <t>1.06543</t>
  </si>
  <si>
    <t>1 RBRB B 1.20313 M1M1</t>
  </si>
  <si>
    <t>1.06553</t>
  </si>
  <si>
    <t>1 RBRB B 1.06403 M1M1</t>
  </si>
  <si>
    <t>1.06295</t>
  </si>
  <si>
    <t>1 RSRS S 1.063 M1M1</t>
  </si>
  <si>
    <t>1 RSRS S 1.06308 M1M1</t>
  </si>
  <si>
    <t>1.06302</t>
  </si>
  <si>
    <t>1 RSRS S 1.06302 M1M1</t>
  </si>
  <si>
    <t>1 RSRS S 1.06291 M1M1</t>
  </si>
  <si>
    <t>1.06284</t>
  </si>
  <si>
    <t>1 RSRS S 1.06284 M1M1</t>
  </si>
  <si>
    <t>1.06277</t>
  </si>
  <si>
    <t>1 RSRS S 1.06277 M1M1</t>
  </si>
  <si>
    <t>1.06281</t>
  </si>
  <si>
    <t>1 RSRS S 1.06273 M1M1</t>
  </si>
  <si>
    <t>1 RSRS S 1.06276 M1M1</t>
  </si>
  <si>
    <t>1 RSRS S 1.0639 M1M1</t>
  </si>
  <si>
    <t>1.0632</t>
  </si>
  <si>
    <t>1 RSRS S 1.06319 M1M1</t>
  </si>
  <si>
    <t>1 RSRS S 1.06309 M1M1</t>
  </si>
  <si>
    <t>1.06319</t>
  </si>
  <si>
    <t>1 RSRS S 1.0632 M1M1</t>
  </si>
  <si>
    <t>1.06322</t>
  </si>
  <si>
    <t>1 RSRS S 1.06322 M1M1</t>
  </si>
  <si>
    <t>1 RSRS S 1.06333 M1M1</t>
  </si>
  <si>
    <t>1 RSRS S 1.06393 M1M1</t>
  </si>
  <si>
    <t>1.06256</t>
  </si>
  <si>
    <t>1 RSRS S 1.06257 M1M1</t>
  </si>
  <si>
    <t>1.06413</t>
  </si>
  <si>
    <t>1 RSRS S 1.06416 M1M1</t>
  </si>
  <si>
    <t>1.06421</t>
  </si>
  <si>
    <t>1 RSRS S 1.06421 M1M1</t>
  </si>
  <si>
    <t>1.06407</t>
  </si>
  <si>
    <t>1 RSRS S 1.06413 M1M1</t>
  </si>
  <si>
    <t>1.06404</t>
  </si>
  <si>
    <t>1 RSRS S 1.06402 M1M1</t>
  </si>
  <si>
    <t>1 RSRS S 1.06404 M1M1</t>
  </si>
  <si>
    <t>1.06406</t>
  </si>
  <si>
    <t>1 RSRS S 1.06407 M1M1</t>
  </si>
  <si>
    <t>1.06416</t>
  </si>
  <si>
    <t>1 RSRS S 1.06419 M1M1</t>
  </si>
  <si>
    <t>1 RSRS S 1.06397 M1M1</t>
  </si>
  <si>
    <t>1.06389</t>
  </si>
  <si>
    <t>1 RSRS S 1.06389 M1M1</t>
  </si>
  <si>
    <t>1.06384</t>
  </si>
  <si>
    <t>1 RSRS S 1.06386 M1M1</t>
  </si>
  <si>
    <t>1.06381</t>
  </si>
  <si>
    <t>1 RSRS S 1.06382 M1M1</t>
  </si>
  <si>
    <t>1.06391</t>
  </si>
  <si>
    <t>1 RSRS S 1.06391 M1M1</t>
  </si>
  <si>
    <t>1 RSRS S 1.06271 M1M1</t>
  </si>
  <si>
    <t>1 RSRS S 1.06269 M1M1</t>
  </si>
  <si>
    <t>1.06268</t>
  </si>
  <si>
    <t>1 RSRS S 1.06268 M1M1</t>
  </si>
  <si>
    <t>1.06266</t>
  </si>
  <si>
    <t>1 RSRS S 1.06266 M1M1</t>
  </si>
  <si>
    <t>1 RSRS S 1.06264 M1M1</t>
  </si>
  <si>
    <t>1.06265</t>
  </si>
  <si>
    <t>1 RSRS S 1.0626 M1M1</t>
  </si>
  <si>
    <t>1 RSRS S 1.06267 M1M1</t>
  </si>
  <si>
    <t>1.06253</t>
  </si>
  <si>
    <t>1 RSRS S 1.06255 M1M1</t>
  </si>
  <si>
    <t>1.0626</t>
  </si>
  <si>
    <t>1 RBRB B 1.06414 M1M1</t>
  </si>
  <si>
    <t>1 RBRB B 1.20221 M1M1</t>
  </si>
  <si>
    <t>1.06559</t>
  </si>
  <si>
    <t>1 RBRB B 1.2015 M1M1</t>
  </si>
  <si>
    <t>1 RBRB B 1.20233 M1M1</t>
  </si>
  <si>
    <t>1 RBRB B 1.20059 M1M1</t>
  </si>
  <si>
    <t>1.06554</t>
  </si>
  <si>
    <t>1 RBRB B 1.0637 M1M1</t>
  </si>
  <si>
    <t>1.06071</t>
  </si>
  <si>
    <t>[sl 1.06071]</t>
  </si>
  <si>
    <t>T CLOSE</t>
  </si>
  <si>
    <t>PP</t>
  </si>
  <si>
    <t>T WINNER</t>
  </si>
  <si>
    <t>BG</t>
  </si>
  <si>
    <t>0,5</t>
  </si>
  <si>
    <t>1</t>
  </si>
  <si>
    <t>2</t>
  </si>
  <si>
    <t>2,5</t>
  </si>
  <si>
    <t>3</t>
  </si>
  <si>
    <t>3,6</t>
  </si>
  <si>
    <t>3,7</t>
  </si>
  <si>
    <t>3,8</t>
  </si>
  <si>
    <t>REPOSITION</t>
  </si>
  <si>
    <t>BUYON</t>
  </si>
  <si>
    <t>SELLON</t>
  </si>
  <si>
    <t>Colonne42</t>
  </si>
  <si>
    <t>Colonne43</t>
  </si>
  <si>
    <t>Colonne44</t>
  </si>
  <si>
    <t>Colonne45</t>
  </si>
  <si>
    <t>CO</t>
  </si>
  <si>
    <t>CY</t>
  </si>
  <si>
    <t>COPIER</t>
  </si>
  <si>
    <t xml:space="preserve">COLLER </t>
  </si>
  <si>
    <t>B</t>
  </si>
  <si>
    <t>L</t>
  </si>
  <si>
    <t>SI</t>
  </si>
  <si>
    <t>BR= "NEGATIF" ou "POSITIF"</t>
  </si>
  <si>
    <t>COMMANDE</t>
  </si>
  <si>
    <t>PRIX</t>
  </si>
  <si>
    <t>IDENTITE2</t>
  </si>
  <si>
    <t>DEVISE2</t>
  </si>
  <si>
    <t>NUMERO D'OPERATION</t>
  </si>
  <si>
    <t>TAILLE DES LOTS</t>
  </si>
  <si>
    <t xml:space="preserve">POSITION EN ATTENTES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</si>
</sst>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m/d/yyyy\ h:mm"/>
    <numFmt numFmtId="166" formatCode="0.00000"/>
  </numFmts>
  <fonts count="13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9"/>
      <color theme="1"/>
      <name val="Calibri"/>
      <family val="2"/>
      <scheme val="minor"/>
    </font>
    <font>
      <sz val="8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/>
    <xf numFmtId="0" fontId="9" fillId="0" borderId="0" xfId="1" applyFont="1" applyAlignment="1">
      <alignment horizontal="left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22" fontId="4" fillId="0" borderId="0" xfId="1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22" fontId="8" fillId="0" borderId="0" xfId="1" applyNumberFormat="1"/>
    <xf numFmtId="0" fontId="9" fillId="0" borderId="0" xfId="1" applyFont="1"/>
    <xf numFmtId="0" fontId="8" fillId="0" borderId="0" xfId="1" applyAlignment="1">
      <alignment horizontal="left"/>
    </xf>
    <xf numFmtId="22" fontId="8" fillId="0" borderId="0" xfId="1" applyNumberFormat="1" applyAlignment="1">
      <alignment horizontal="left"/>
    </xf>
    <xf numFmtId="0" fontId="8" fillId="0" borderId="0" xfId="1"/>
    <xf numFmtId="166" fontId="8" fillId="0" borderId="0" xfId="1" applyNumberFormat="1" applyAlignment="1">
      <alignment horizontal="right"/>
    </xf>
    <xf numFmtId="2" fontId="8" fillId="0" borderId="0" xfId="1" applyNumberFormat="1" applyAlignment="1">
      <alignment horizontal="right"/>
    </xf>
    <xf numFmtId="0" fontId="8" fillId="0" borderId="0" xfId="1" applyAlignment="1">
      <alignment horizontal="center" vertical="center"/>
    </xf>
    <xf numFmtId="22" fontId="8" fillId="0" borderId="0" xfId="1" applyNumberFormat="1" applyAlignment="1">
      <alignment horizontal="center" vertical="center"/>
    </xf>
    <xf numFmtId="0" fontId="11" fillId="0" borderId="0" xfId="1" applyFont="1" applyAlignment="1">
      <alignment horizontal="center" vertical="center"/>
    </xf>
    <xf numFmtId="165" fontId="8" fillId="0" borderId="0" xfId="1" applyNumberFormat="1" applyAlignment="1">
      <alignment horizontal="left"/>
    </xf>
    <xf numFmtId="165" fontId="8" fillId="0" borderId="0" xfId="1" applyNumberFormat="1" applyAlignment="1">
      <alignment horizontal="center" vertical="center"/>
    </xf>
    <xf numFmtId="165" fontId="8" fillId="0" borderId="0" xfId="1" applyNumberFormat="1"/>
    <xf numFmtId="0" fontId="8" fillId="0" borderId="0" xfId="1" applyNumberFormat="1" applyFill="1"/>
  </cellXfs>
  <cellStyles count="2">
    <cellStyle name="Normal" xfId="0" builtinId="0"/>
    <cellStyle name="Normal 2" xfId="1" xr:uid="{385732D6-752C-4BD5-A1F3-3D81AF04CBD2}"/>
  </cellStyles>
  <dxfs count="133"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m/d/yyyy\ h:mm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.0000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m/d/yyyy\ h:mm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yy\ h:mm"/>
    </dxf>
    <dxf>
      <numFmt numFmtId="0" formatCode="General"/>
    </dxf>
    <dxf>
      <numFmt numFmtId="165" formatCode="m/d/yyyy\ h:mm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165" formatCode="m/d/yyyy\ h:m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numFmt numFmtId="166" formatCode="0.00000"/>
      <alignment horizontal="righ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5" formatCode="m/d/yyyy\ h:mm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381000</xdr:colOff>
      <xdr:row>4</xdr:row>
      <xdr:rowOff>104775</xdr:rowOff>
    </xdr:from>
    <xdr:to>
      <xdr:col>12</xdr:col>
      <xdr:colOff>314325</xdr:colOff>
      <xdr:row>6</xdr:row>
      <xdr:rowOff>142875</xdr:rowOff>
    </xdr:to>
    <xdr:sp macro="[0]!Copyy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756B2F5-C936-4B80-BBEA-483EE3252B80}"/>
            </a:ext>
          </a:extLst>
        </xdr:cNvPr>
        <xdr:cNvSpPr/>
      </xdr:nvSpPr>
      <xdr:spPr>
        <a:xfrm>
          <a:off x="10334625" y="866775"/>
          <a:ext cx="7143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M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381000</xdr:colOff>
      <xdr:row>4</xdr:row>
      <xdr:rowOff>104775</xdr:rowOff>
    </xdr:from>
    <xdr:to>
      <xdr:col>12</xdr:col>
      <xdr:colOff>314325</xdr:colOff>
      <xdr:row>6</xdr:row>
      <xdr:rowOff>142875</xdr:rowOff>
    </xdr:to>
    <xdr:sp macro="[0]!maj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9B4B2D2-2570-45B2-8BB5-6D68AEB01A0C}"/>
            </a:ext>
          </a:extLst>
        </xdr:cNvPr>
        <xdr:cNvSpPr/>
      </xdr:nvSpPr>
      <xdr:spPr>
        <a:xfrm>
          <a:off x="10334625" y="866775"/>
          <a:ext cx="7143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M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5122022/EASY_SWING%20TRAD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NIV1 RV"/>
      <sheetName val="NIV1"/>
      <sheetName val="NIV2 RV"/>
      <sheetName val="U1 (2)"/>
      <sheetName val="NIV2"/>
      <sheetName val="NIV3"/>
      <sheetName val="NIV4 RV"/>
      <sheetName val="NIV4"/>
      <sheetName val="NIV5"/>
      <sheetName val="Data"/>
      <sheetName val="GRAPHIQUE"/>
      <sheetName val="SIMULATEUR"/>
      <sheetName val="U1"/>
      <sheetName val="PD NIV4"/>
      <sheetName val="Feuil2"/>
      <sheetName val="RECORDER"/>
      <sheetName val="Bar history"/>
      <sheetName val="CONFIGURATION"/>
      <sheetName val="Deal ticket"/>
      <sheetName val="FSI_TB"/>
      <sheetName val="PARAMETRE"/>
      <sheetName val="analos"/>
      <sheetName val="Tickets (4)"/>
      <sheetName val="Live"/>
      <sheetName val="T-BORDS"/>
      <sheetName val="Tickets"/>
      <sheetName val="Tickets (2)"/>
      <sheetName val="TACHE ACTUEL"/>
      <sheetName val="Tickets (3)"/>
      <sheetName val="TRADING MANUEL"/>
      <sheetName val="Signal N"/>
      <sheetName val="Feuil1"/>
      <sheetName val="MAJO"/>
      <sheetName val="xdata"/>
      <sheetName val="ET_POSI"/>
      <sheetName val="Feuil3"/>
      <sheetName val="Live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3">
          <cell r="AA33">
            <v>1</v>
          </cell>
        </row>
        <row r="36">
          <cell r="V36" t="str">
            <v>DYNAMIQUE</v>
          </cell>
          <cell r="W36">
            <v>1000</v>
          </cell>
        </row>
        <row r="40">
          <cell r="U40">
            <v>2</v>
          </cell>
          <cell r="V40">
            <v>1</v>
          </cell>
        </row>
      </sheetData>
      <sheetData sheetId="18">
        <row r="4">
          <cell r="K4">
            <v>0.66666666666666663</v>
          </cell>
        </row>
      </sheetData>
      <sheetData sheetId="19">
        <row r="13">
          <cell r="B13">
            <v>50</v>
          </cell>
        </row>
        <row r="14">
          <cell r="B14">
            <v>5</v>
          </cell>
        </row>
        <row r="15">
          <cell r="B15">
            <v>1.0654399999999999</v>
          </cell>
        </row>
        <row r="16">
          <cell r="B16">
            <v>1.06558</v>
          </cell>
        </row>
        <row r="285">
          <cell r="B285" t="str">
            <v>CORRECTION SELL</v>
          </cell>
        </row>
        <row r="286">
          <cell r="B286" t="str">
            <v>CORRECTION SELL</v>
          </cell>
        </row>
      </sheetData>
      <sheetData sheetId="20">
        <row r="3">
          <cell r="F3" t="str">
            <v>EURUSD</v>
          </cell>
        </row>
        <row r="12">
          <cell r="D12">
            <v>10</v>
          </cell>
          <cell r="F12">
            <v>20</v>
          </cell>
        </row>
      </sheetData>
      <sheetData sheetId="21">
        <row r="4">
          <cell r="D4">
            <v>1000</v>
          </cell>
        </row>
        <row r="31">
          <cell r="BK31" t="str">
            <v>REPOSITIONNER</v>
          </cell>
        </row>
      </sheetData>
      <sheetData sheetId="22">
        <row r="237">
          <cell r="Q237">
            <v>926507</v>
          </cell>
        </row>
      </sheetData>
      <sheetData sheetId="23"/>
      <sheetData sheetId="24"/>
      <sheetData sheetId="25"/>
      <sheetData sheetId="26">
        <row r="1">
          <cell r="BB1" t="str">
            <v>PARFAIT</v>
          </cell>
          <cell r="BC1" t="str">
            <v>PARFAIT</v>
          </cell>
        </row>
      </sheetData>
      <sheetData sheetId="27">
        <row r="3">
          <cell r="J3" t="str">
            <v>Account 3:</v>
          </cell>
        </row>
        <row r="4">
          <cell r="J4" t="str">
            <v>Account 4:</v>
          </cell>
        </row>
        <row r="5">
          <cell r="J5" t="str">
            <v>Account 5:</v>
          </cell>
        </row>
        <row r="6">
          <cell r="C6" t="str">
            <v>SELL</v>
          </cell>
          <cell r="D6">
            <v>26728052</v>
          </cell>
          <cell r="E6">
            <v>926507</v>
          </cell>
          <cell r="F6">
            <v>1000</v>
          </cell>
          <cell r="I6">
            <v>1.44</v>
          </cell>
          <cell r="J6" t="str">
            <v>1 RSRS S 1.06715 M1M1</v>
          </cell>
          <cell r="U6" t="str">
            <v/>
          </cell>
          <cell r="V6" t="str">
            <v/>
          </cell>
        </row>
        <row r="7">
          <cell r="C7" t="str">
            <v>BUY</v>
          </cell>
          <cell r="D7">
            <v>26733876</v>
          </cell>
          <cell r="E7">
            <v>926507</v>
          </cell>
          <cell r="F7">
            <v>1000</v>
          </cell>
          <cell r="I7">
            <v>-0.76</v>
          </cell>
          <cell r="J7" t="str">
            <v>1 RBRB B 1.06472 M1M1</v>
          </cell>
          <cell r="U7" t="str">
            <v/>
          </cell>
          <cell r="V7" t="str">
            <v/>
          </cell>
        </row>
        <row r="8">
          <cell r="C8" t="str">
            <v>BUY</v>
          </cell>
          <cell r="D8">
            <v>26734137</v>
          </cell>
          <cell r="E8">
            <v>926507</v>
          </cell>
          <cell r="F8">
            <v>1000</v>
          </cell>
          <cell r="I8">
            <v>-0.78</v>
          </cell>
          <cell r="J8" t="str">
            <v>1 RBRB B 1.0648 M1M1</v>
          </cell>
          <cell r="U8" t="str">
            <v/>
          </cell>
          <cell r="V8" t="str">
            <v/>
          </cell>
        </row>
        <row r="9">
          <cell r="C9" t="str">
            <v>BUY</v>
          </cell>
          <cell r="D9">
            <v>26734246</v>
          </cell>
          <cell r="E9">
            <v>926507</v>
          </cell>
          <cell r="F9">
            <v>1000</v>
          </cell>
          <cell r="I9">
            <v>-0.74</v>
          </cell>
          <cell r="J9" t="str">
            <v>1 RBRB B 1.06473 M1M1</v>
          </cell>
          <cell r="U9" t="str">
            <v/>
          </cell>
          <cell r="V9" t="str">
            <v/>
          </cell>
        </row>
        <row r="10">
          <cell r="C10" t="str">
            <v>BUY</v>
          </cell>
          <cell r="D10">
            <v>26734317</v>
          </cell>
          <cell r="E10">
            <v>926507</v>
          </cell>
          <cell r="F10">
            <v>1000</v>
          </cell>
          <cell r="I10">
            <v>-0.56999999999999995</v>
          </cell>
          <cell r="J10" t="str">
            <v>1 RBRB B 1.06456 M1M1</v>
          </cell>
          <cell r="U10" t="str">
            <v/>
          </cell>
          <cell r="V10" t="str">
            <v/>
          </cell>
        </row>
        <row r="11">
          <cell r="C11" t="str">
            <v>BUY</v>
          </cell>
          <cell r="D11">
            <v>26734406</v>
          </cell>
          <cell r="E11">
            <v>926507</v>
          </cell>
          <cell r="F11">
            <v>1000</v>
          </cell>
          <cell r="I11">
            <v>-0.64</v>
          </cell>
          <cell r="J11" t="str">
            <v>1 RBRB B 1.06462 M1M1</v>
          </cell>
          <cell r="U11" t="str">
            <v/>
          </cell>
          <cell r="V11" t="str">
            <v/>
          </cell>
        </row>
        <row r="12">
          <cell r="C12" t="str">
            <v>BUY</v>
          </cell>
          <cell r="D12">
            <v>26734512</v>
          </cell>
          <cell r="E12">
            <v>926507</v>
          </cell>
          <cell r="F12">
            <v>1000</v>
          </cell>
          <cell r="I12">
            <v>-0.62</v>
          </cell>
          <cell r="J12" t="str">
            <v>1 RBRB B 1.06458 M1M1</v>
          </cell>
          <cell r="U12" t="str">
            <v/>
          </cell>
          <cell r="V12" t="str">
            <v/>
          </cell>
        </row>
        <row r="13">
          <cell r="C13" t="str">
            <v>BUY</v>
          </cell>
          <cell r="D13">
            <v>26734593</v>
          </cell>
          <cell r="E13">
            <v>926507</v>
          </cell>
          <cell r="F13">
            <v>1000</v>
          </cell>
          <cell r="I13">
            <v>-0.67</v>
          </cell>
          <cell r="J13" t="str">
            <v>1 RBRB B 1.06466 M1M1</v>
          </cell>
          <cell r="U13" t="str">
            <v/>
          </cell>
          <cell r="V13" t="str">
            <v/>
          </cell>
        </row>
        <row r="14">
          <cell r="C14" t="str">
            <v>BUY</v>
          </cell>
          <cell r="D14">
            <v>26734700</v>
          </cell>
          <cell r="E14">
            <v>926507</v>
          </cell>
          <cell r="F14">
            <v>1000</v>
          </cell>
          <cell r="I14">
            <v>-0.69</v>
          </cell>
          <cell r="J14" t="str">
            <v>1 RBRB B 1.06465 M1M1</v>
          </cell>
          <cell r="U14" t="str">
            <v/>
          </cell>
          <cell r="V14" t="str">
            <v/>
          </cell>
        </row>
        <row r="15">
          <cell r="C15" t="str">
            <v>BUY</v>
          </cell>
          <cell r="D15">
            <v>26734787</v>
          </cell>
          <cell r="E15">
            <v>926507</v>
          </cell>
          <cell r="F15">
            <v>1000</v>
          </cell>
          <cell r="I15">
            <v>-0.84</v>
          </cell>
          <cell r="J15" t="str">
            <v>1 RBRB B 1.06488 M1M1</v>
          </cell>
          <cell r="U15" t="str">
            <v/>
          </cell>
          <cell r="V15" t="str">
            <v/>
          </cell>
        </row>
        <row r="16">
          <cell r="C16" t="str">
            <v>BUY</v>
          </cell>
          <cell r="D16">
            <v>26734859</v>
          </cell>
          <cell r="E16">
            <v>926507</v>
          </cell>
          <cell r="F16">
            <v>1000</v>
          </cell>
          <cell r="I16">
            <v>-0.72</v>
          </cell>
          <cell r="J16" t="str">
            <v>1 RBRB B 1.06471 M1M1</v>
          </cell>
          <cell r="U16" t="str">
            <v/>
          </cell>
          <cell r="V16" t="str">
            <v/>
          </cell>
        </row>
        <row r="17">
          <cell r="C17" t="str">
            <v>BUY</v>
          </cell>
          <cell r="D17">
            <v>26734905</v>
          </cell>
          <cell r="E17">
            <v>926507</v>
          </cell>
          <cell r="F17">
            <v>1000</v>
          </cell>
          <cell r="I17">
            <v>-0.64</v>
          </cell>
          <cell r="J17" t="str">
            <v>1 RBRB B 1.0646 M1M1</v>
          </cell>
          <cell r="U17" t="str">
            <v/>
          </cell>
          <cell r="V17" t="str">
            <v/>
          </cell>
        </row>
        <row r="18">
          <cell r="C18" t="str">
            <v>BUY</v>
          </cell>
          <cell r="D18">
            <v>26734939</v>
          </cell>
          <cell r="E18">
            <v>926507</v>
          </cell>
          <cell r="F18">
            <v>1000</v>
          </cell>
          <cell r="I18">
            <v>-0.84</v>
          </cell>
          <cell r="J18" t="str">
            <v>1 RBRB B 1.06483 M1M1</v>
          </cell>
          <cell r="U18" t="str">
            <v/>
          </cell>
          <cell r="V18" t="str">
            <v/>
          </cell>
        </row>
        <row r="19">
          <cell r="C19" t="str">
            <v>BUY</v>
          </cell>
          <cell r="D19">
            <v>26734961</v>
          </cell>
          <cell r="E19">
            <v>926507</v>
          </cell>
          <cell r="F19">
            <v>1000</v>
          </cell>
          <cell r="I19">
            <v>-0.77</v>
          </cell>
          <cell r="J19" t="str">
            <v>1 RBRB B 1.06482 M1M1</v>
          </cell>
          <cell r="U19" t="str">
            <v/>
          </cell>
          <cell r="V19" t="str">
            <v/>
          </cell>
        </row>
        <row r="20">
          <cell r="C20" t="str">
            <v>BUY</v>
          </cell>
          <cell r="D20">
            <v>26734988</v>
          </cell>
          <cell r="E20">
            <v>926507</v>
          </cell>
          <cell r="F20">
            <v>1000</v>
          </cell>
          <cell r="I20">
            <v>-0.72</v>
          </cell>
          <cell r="J20" t="str">
            <v>1 RBRB B 1.06469 M1M1</v>
          </cell>
          <cell r="U20" t="str">
            <v/>
          </cell>
          <cell r="V20" t="str">
            <v/>
          </cell>
        </row>
        <row r="21">
          <cell r="C21" t="str">
            <v>BUY</v>
          </cell>
          <cell r="D21">
            <v>26735024</v>
          </cell>
          <cell r="E21">
            <v>926507</v>
          </cell>
          <cell r="F21">
            <v>1000</v>
          </cell>
          <cell r="I21">
            <v>-0.82</v>
          </cell>
          <cell r="J21" t="str">
            <v>1 RBRB B 1.06481 M1M1</v>
          </cell>
          <cell r="U21" t="str">
            <v/>
          </cell>
          <cell r="V21" t="str">
            <v/>
          </cell>
        </row>
        <row r="22">
          <cell r="C22" t="str">
            <v>SELL</v>
          </cell>
          <cell r="D22">
            <v>26737743</v>
          </cell>
          <cell r="E22">
            <v>926507</v>
          </cell>
          <cell r="F22">
            <v>1000</v>
          </cell>
          <cell r="I22">
            <v>1.6</v>
          </cell>
          <cell r="J22" t="str">
            <v>1 RSRS S 1.06731 M1M1</v>
          </cell>
          <cell r="U22" t="str">
            <v/>
          </cell>
          <cell r="V22" t="str">
            <v/>
          </cell>
        </row>
        <row r="23">
          <cell r="C23" t="str">
            <v>SELL</v>
          </cell>
          <cell r="D23">
            <v>26738011</v>
          </cell>
          <cell r="E23">
            <v>926507</v>
          </cell>
          <cell r="F23">
            <v>1000</v>
          </cell>
          <cell r="I23">
            <v>1.65</v>
          </cell>
          <cell r="J23" t="str">
            <v>1 RSRS S 1.06765 M1M1</v>
          </cell>
          <cell r="U23" t="str">
            <v/>
          </cell>
          <cell r="V23" t="str">
            <v/>
          </cell>
        </row>
        <row r="24">
          <cell r="C24" t="str">
            <v>SELL</v>
          </cell>
          <cell r="D24">
            <v>26738309</v>
          </cell>
          <cell r="E24">
            <v>926507</v>
          </cell>
          <cell r="F24">
            <v>1000</v>
          </cell>
          <cell r="I24">
            <v>1.68</v>
          </cell>
          <cell r="J24" t="str">
            <v>1 RSRS S 1.06736 M1M1</v>
          </cell>
          <cell r="U24" t="str">
            <v/>
          </cell>
          <cell r="V24" t="str">
            <v/>
          </cell>
        </row>
        <row r="25">
          <cell r="C25" t="str">
            <v>SELL</v>
          </cell>
          <cell r="D25">
            <v>26738402</v>
          </cell>
          <cell r="E25">
            <v>926507</v>
          </cell>
          <cell r="F25">
            <v>1000</v>
          </cell>
          <cell r="I25">
            <v>1.59</v>
          </cell>
          <cell r="J25" t="str">
            <v>1 RSRS S 1.06727 M1M1</v>
          </cell>
          <cell r="U25" t="str">
            <v/>
          </cell>
          <cell r="V25" t="str">
            <v/>
          </cell>
        </row>
        <row r="26">
          <cell r="C26" t="str">
            <v>SELL</v>
          </cell>
          <cell r="D26">
            <v>26738485</v>
          </cell>
          <cell r="E26">
            <v>926507</v>
          </cell>
          <cell r="F26">
            <v>1000</v>
          </cell>
          <cell r="I26">
            <v>1.55</v>
          </cell>
          <cell r="J26" t="str">
            <v>1 RSRS S 1.06717 M1M1</v>
          </cell>
          <cell r="U26" t="str">
            <v/>
          </cell>
          <cell r="V26" t="str">
            <v/>
          </cell>
        </row>
        <row r="27">
          <cell r="C27" t="str">
            <v>SELL</v>
          </cell>
          <cell r="D27">
            <v>26738609</v>
          </cell>
          <cell r="E27">
            <v>926507</v>
          </cell>
          <cell r="F27">
            <v>1000</v>
          </cell>
          <cell r="I27">
            <v>1.47</v>
          </cell>
          <cell r="J27" t="str">
            <v>1 RSRS S 1.06709 M1M1</v>
          </cell>
          <cell r="U27" t="str">
            <v/>
          </cell>
          <cell r="V27" t="str">
            <v/>
          </cell>
        </row>
        <row r="28">
          <cell r="C28" t="str">
            <v>SELL</v>
          </cell>
          <cell r="D28">
            <v>26738889</v>
          </cell>
          <cell r="E28">
            <v>926507</v>
          </cell>
          <cell r="F28">
            <v>1000</v>
          </cell>
          <cell r="I28">
            <v>1.6</v>
          </cell>
          <cell r="J28" t="str">
            <v>1 RSRS S 1.06725 M1M1</v>
          </cell>
          <cell r="U28" t="str">
            <v/>
          </cell>
          <cell r="V28" t="str">
            <v/>
          </cell>
        </row>
        <row r="29">
          <cell r="C29" t="str">
            <v>SELL</v>
          </cell>
          <cell r="D29">
            <v>26739843</v>
          </cell>
          <cell r="E29">
            <v>926507</v>
          </cell>
          <cell r="F29">
            <v>1000</v>
          </cell>
          <cell r="I29">
            <v>1.65</v>
          </cell>
          <cell r="J29" t="str">
            <v>1 RSRS S 1.06734 M1M1</v>
          </cell>
          <cell r="U29" t="str">
            <v/>
          </cell>
          <cell r="V29" t="str">
            <v/>
          </cell>
        </row>
        <row r="30">
          <cell r="C30" t="str">
            <v>SELL</v>
          </cell>
          <cell r="D30">
            <v>26740051</v>
          </cell>
          <cell r="E30">
            <v>926507</v>
          </cell>
          <cell r="F30">
            <v>1000</v>
          </cell>
          <cell r="I30">
            <v>1.66</v>
          </cell>
          <cell r="J30" t="str">
            <v>1 RSRS S 1.06737 M1M1</v>
          </cell>
          <cell r="U30" t="str">
            <v/>
          </cell>
          <cell r="V30" t="str">
            <v/>
          </cell>
        </row>
        <row r="31">
          <cell r="C31" t="str">
            <v>SELL</v>
          </cell>
          <cell r="D31">
            <v>26740279</v>
          </cell>
          <cell r="E31">
            <v>926507</v>
          </cell>
          <cell r="F31">
            <v>1000</v>
          </cell>
          <cell r="I31">
            <v>1.75</v>
          </cell>
          <cell r="J31" t="str">
            <v>1 RSRS S 1.06744 M1M1</v>
          </cell>
          <cell r="U31" t="str">
            <v/>
          </cell>
          <cell r="V31" t="str">
            <v/>
          </cell>
        </row>
        <row r="32">
          <cell r="C32" t="str">
            <v>SELL</v>
          </cell>
          <cell r="D32">
            <v>26740798</v>
          </cell>
          <cell r="E32">
            <v>926507</v>
          </cell>
          <cell r="F32">
            <v>1000</v>
          </cell>
          <cell r="I32">
            <v>1.63</v>
          </cell>
          <cell r="J32" t="str">
            <v>1 RSRS S 1.06733 M1M1</v>
          </cell>
          <cell r="U32" t="str">
            <v/>
          </cell>
          <cell r="V32" t="str">
            <v/>
          </cell>
        </row>
        <row r="33">
          <cell r="C33" t="str">
            <v>SELL</v>
          </cell>
          <cell r="D33">
            <v>26740850</v>
          </cell>
          <cell r="E33">
            <v>926507</v>
          </cell>
          <cell r="F33">
            <v>1000</v>
          </cell>
          <cell r="I33">
            <v>1.71</v>
          </cell>
          <cell r="J33" t="str">
            <v>1 RSRS S 1.0674 M1M1</v>
          </cell>
          <cell r="U33" t="str">
            <v/>
          </cell>
          <cell r="V33" t="str">
            <v/>
          </cell>
        </row>
        <row r="34">
          <cell r="C34" t="str">
            <v>SELL</v>
          </cell>
          <cell r="D34">
            <v>26740889</v>
          </cell>
          <cell r="E34">
            <v>926507</v>
          </cell>
          <cell r="F34">
            <v>1000</v>
          </cell>
          <cell r="I34">
            <v>1.75</v>
          </cell>
          <cell r="J34" t="str">
            <v>1 RSRS S 1.06745 M1M1</v>
          </cell>
          <cell r="U34" t="str">
            <v/>
          </cell>
          <cell r="V34" t="str">
            <v/>
          </cell>
        </row>
        <row r="35">
          <cell r="C35" t="str">
            <v>SELL</v>
          </cell>
          <cell r="D35">
            <v>26740986</v>
          </cell>
          <cell r="E35">
            <v>926507</v>
          </cell>
          <cell r="F35">
            <v>1000</v>
          </cell>
          <cell r="I35">
            <v>1.47</v>
          </cell>
          <cell r="J35" t="str">
            <v>1 RSRS S 1.06712 M1M1</v>
          </cell>
          <cell r="U35" t="str">
            <v/>
          </cell>
          <cell r="V35" t="str">
            <v/>
          </cell>
        </row>
        <row r="36">
          <cell r="C36" t="str">
            <v>SELL</v>
          </cell>
          <cell r="D36">
            <v>26741523</v>
          </cell>
          <cell r="E36">
            <v>926507</v>
          </cell>
          <cell r="F36">
            <v>1000</v>
          </cell>
          <cell r="I36">
            <v>1.52</v>
          </cell>
          <cell r="J36" t="str">
            <v>1 RSRS S 1.0672 M1M1</v>
          </cell>
          <cell r="U36" t="str">
            <v/>
          </cell>
          <cell r="V36" t="str">
            <v/>
          </cell>
        </row>
        <row r="37">
          <cell r="C37" t="str">
            <v>SELL</v>
          </cell>
          <cell r="D37">
            <v>26741638</v>
          </cell>
          <cell r="E37">
            <v>926507</v>
          </cell>
          <cell r="F37">
            <v>1000</v>
          </cell>
          <cell r="I37">
            <v>1.66</v>
          </cell>
          <cell r="J37" t="str">
            <v>1 RSRS S 1.0673 M1M1</v>
          </cell>
          <cell r="U37" t="str">
            <v/>
          </cell>
          <cell r="V37" t="str">
            <v/>
          </cell>
        </row>
        <row r="38">
          <cell r="C38" t="str">
            <v>SELL</v>
          </cell>
          <cell r="D38">
            <v>26743379</v>
          </cell>
          <cell r="E38">
            <v>926507</v>
          </cell>
          <cell r="F38">
            <v>1000</v>
          </cell>
          <cell r="I38">
            <v>1.75</v>
          </cell>
          <cell r="J38" t="str">
            <v>1 RSRS S 1.06741 M1M1</v>
          </cell>
          <cell r="U38" t="str">
            <v/>
          </cell>
          <cell r="V38" t="str">
            <v/>
          </cell>
        </row>
        <row r="39">
          <cell r="C39" t="str">
            <v>SELL</v>
          </cell>
          <cell r="D39">
            <v>26744280</v>
          </cell>
          <cell r="E39">
            <v>926507</v>
          </cell>
          <cell r="F39">
            <v>3000</v>
          </cell>
          <cell r="I39">
            <v>3.69</v>
          </cell>
          <cell r="J39" t="str">
            <v>1 RSRS S 1.06703 M1M1</v>
          </cell>
          <cell r="U39" t="str">
            <v/>
          </cell>
          <cell r="V39" t="str">
            <v/>
          </cell>
        </row>
        <row r="40">
          <cell r="C40" t="str">
            <v>SELL</v>
          </cell>
          <cell r="D40">
            <v>26744282</v>
          </cell>
          <cell r="E40">
            <v>926507</v>
          </cell>
          <cell r="F40">
            <v>3000</v>
          </cell>
          <cell r="I40">
            <v>3.38</v>
          </cell>
          <cell r="J40" t="str">
            <v>1 RSRS S 1.06699 M1M1</v>
          </cell>
          <cell r="U40" t="str">
            <v/>
          </cell>
          <cell r="V40" t="str">
            <v/>
          </cell>
        </row>
        <row r="41">
          <cell r="C41" t="str">
            <v>SELL</v>
          </cell>
          <cell r="D41">
            <v>26744320</v>
          </cell>
          <cell r="E41">
            <v>926507</v>
          </cell>
          <cell r="F41">
            <v>3000</v>
          </cell>
          <cell r="I41">
            <v>3.27</v>
          </cell>
          <cell r="J41" t="str">
            <v>1 RSRS S 1.06697 M1M1</v>
          </cell>
          <cell r="U41" t="str">
            <v/>
          </cell>
          <cell r="V41" t="str">
            <v/>
          </cell>
        </row>
        <row r="42">
          <cell r="C42" t="str">
            <v>SELL</v>
          </cell>
          <cell r="D42">
            <v>26744347</v>
          </cell>
          <cell r="E42">
            <v>926507</v>
          </cell>
          <cell r="F42">
            <v>3000</v>
          </cell>
          <cell r="I42">
            <v>3.43</v>
          </cell>
          <cell r="J42" t="str">
            <v>1 RSRS S 1.06705 M1M1</v>
          </cell>
          <cell r="U42" t="str">
            <v/>
          </cell>
          <cell r="V42" t="str">
            <v/>
          </cell>
        </row>
        <row r="43">
          <cell r="C43" t="str">
            <v>SELL</v>
          </cell>
          <cell r="D43">
            <v>26744407</v>
          </cell>
          <cell r="E43">
            <v>926507</v>
          </cell>
          <cell r="F43">
            <v>3000</v>
          </cell>
          <cell r="I43">
            <v>3.1</v>
          </cell>
          <cell r="J43" t="str">
            <v>1 RSRS S 1.06693 M1M1</v>
          </cell>
          <cell r="U43" t="str">
            <v/>
          </cell>
          <cell r="V43" t="str">
            <v/>
          </cell>
        </row>
        <row r="44">
          <cell r="C44" t="str">
            <v>SELL</v>
          </cell>
          <cell r="D44">
            <v>26744746</v>
          </cell>
          <cell r="E44">
            <v>926507</v>
          </cell>
          <cell r="F44">
            <v>4000</v>
          </cell>
          <cell r="I44">
            <v>1.99</v>
          </cell>
          <cell r="J44" t="str">
            <v>1 RSRS S 1.06671 M1M1</v>
          </cell>
          <cell r="U44" t="str">
            <v/>
          </cell>
          <cell r="V44" t="str">
            <v/>
          </cell>
        </row>
        <row r="45">
          <cell r="C45" t="str">
            <v>SELL</v>
          </cell>
          <cell r="D45">
            <v>26744891</v>
          </cell>
          <cell r="E45">
            <v>926507</v>
          </cell>
          <cell r="F45">
            <v>3000</v>
          </cell>
          <cell r="I45">
            <v>1.55</v>
          </cell>
          <cell r="J45" t="str">
            <v>1 RSRS S 1.06681 M1M1</v>
          </cell>
          <cell r="U45" t="str">
            <v/>
          </cell>
          <cell r="V45" t="str">
            <v/>
          </cell>
        </row>
        <row r="46">
          <cell r="C46" t="str">
            <v>SELL</v>
          </cell>
          <cell r="D46">
            <v>26744904</v>
          </cell>
          <cell r="E46">
            <v>926507</v>
          </cell>
          <cell r="F46">
            <v>3000</v>
          </cell>
          <cell r="I46">
            <v>1.63</v>
          </cell>
          <cell r="J46" t="str">
            <v>1 RSRS S 1.06658 M1M1</v>
          </cell>
          <cell r="U46" t="str">
            <v/>
          </cell>
          <cell r="V46" t="str">
            <v/>
          </cell>
        </row>
        <row r="47">
          <cell r="C47" t="str">
            <v>SELL</v>
          </cell>
          <cell r="D47">
            <v>26744927</v>
          </cell>
          <cell r="E47">
            <v>926507</v>
          </cell>
          <cell r="F47">
            <v>3000</v>
          </cell>
          <cell r="I47">
            <v>1.6</v>
          </cell>
          <cell r="J47" t="str">
            <v>1 RSRS S 1.06646 M1M1</v>
          </cell>
          <cell r="U47" t="str">
            <v/>
          </cell>
          <cell r="V47" t="str">
            <v/>
          </cell>
        </row>
        <row r="48">
          <cell r="C48" t="str">
            <v>SELL</v>
          </cell>
          <cell r="D48">
            <v>26744942</v>
          </cell>
          <cell r="E48">
            <v>926507</v>
          </cell>
          <cell r="F48">
            <v>4000</v>
          </cell>
          <cell r="I48">
            <v>2.52</v>
          </cell>
          <cell r="J48" t="str">
            <v>1 RSRS S 1.06689 M1M1</v>
          </cell>
          <cell r="U48" t="str">
            <v/>
          </cell>
          <cell r="V48" t="str">
            <v/>
          </cell>
        </row>
        <row r="49">
          <cell r="C49" t="str">
            <v>SELL</v>
          </cell>
          <cell r="D49">
            <v>26744960</v>
          </cell>
          <cell r="E49">
            <v>926507</v>
          </cell>
          <cell r="F49">
            <v>3000</v>
          </cell>
          <cell r="I49">
            <v>2.0299999999999998</v>
          </cell>
          <cell r="J49" t="str">
            <v>1 RSRS S 1.06682 M1M1</v>
          </cell>
          <cell r="U49" t="str">
            <v/>
          </cell>
          <cell r="V49" t="str">
            <v/>
          </cell>
        </row>
        <row r="50">
          <cell r="C50" t="str">
            <v>SELL</v>
          </cell>
          <cell r="D50">
            <v>26745031</v>
          </cell>
          <cell r="E50">
            <v>926507</v>
          </cell>
          <cell r="F50">
            <v>4000</v>
          </cell>
          <cell r="I50">
            <v>2.74</v>
          </cell>
          <cell r="J50" t="str">
            <v>1 RSRS S 1.06695 M1M1</v>
          </cell>
          <cell r="U50" t="str">
            <v/>
          </cell>
          <cell r="V50" t="str">
            <v/>
          </cell>
        </row>
        <row r="51">
          <cell r="C51" t="str">
            <v>SELL</v>
          </cell>
          <cell r="D51">
            <v>26745041</v>
          </cell>
          <cell r="E51">
            <v>926507</v>
          </cell>
          <cell r="F51">
            <v>3000</v>
          </cell>
          <cell r="I51">
            <v>2.06</v>
          </cell>
          <cell r="J51" t="str">
            <v>1 RSRS S 1.06657 M1M1</v>
          </cell>
          <cell r="U51" t="str">
            <v/>
          </cell>
          <cell r="V51" t="str">
            <v/>
          </cell>
        </row>
        <row r="52">
          <cell r="C52" t="str">
            <v>SELL</v>
          </cell>
          <cell r="D52">
            <v>26745091</v>
          </cell>
          <cell r="E52">
            <v>926507</v>
          </cell>
          <cell r="F52">
            <v>3000</v>
          </cell>
          <cell r="I52">
            <v>1.69</v>
          </cell>
          <cell r="J52" t="str">
            <v>1 RSRS S 1.06676 M1M1</v>
          </cell>
          <cell r="U52" t="str">
            <v/>
          </cell>
          <cell r="V52" t="str">
            <v/>
          </cell>
        </row>
        <row r="53">
          <cell r="C53" t="str">
            <v>SELL</v>
          </cell>
          <cell r="D53">
            <v>26745098</v>
          </cell>
          <cell r="E53">
            <v>926507</v>
          </cell>
          <cell r="F53">
            <v>3000</v>
          </cell>
          <cell r="I53">
            <v>1.75</v>
          </cell>
          <cell r="J53" t="str">
            <v>1 RSRS S 1.06675 M1M1</v>
          </cell>
          <cell r="U53" t="str">
            <v/>
          </cell>
          <cell r="V53" t="str">
            <v/>
          </cell>
        </row>
        <row r="54">
          <cell r="C54" t="str">
            <v>SELL</v>
          </cell>
          <cell r="D54">
            <v>26745138</v>
          </cell>
          <cell r="E54">
            <v>926507</v>
          </cell>
          <cell r="F54">
            <v>3000</v>
          </cell>
          <cell r="I54">
            <v>1.35</v>
          </cell>
          <cell r="J54" t="str">
            <v>1 RSRS S 1.06711 M1M1</v>
          </cell>
          <cell r="U54" t="str">
            <v/>
          </cell>
          <cell r="V54" t="str">
            <v/>
          </cell>
        </row>
        <row r="55">
          <cell r="C55" t="str">
            <v>SELL</v>
          </cell>
          <cell r="D55">
            <v>26745158</v>
          </cell>
          <cell r="E55">
            <v>926507</v>
          </cell>
          <cell r="F55">
            <v>3000</v>
          </cell>
          <cell r="I55">
            <v>1.04</v>
          </cell>
          <cell r="J55" t="str">
            <v>1 RSRS S 1.06707 M1M1</v>
          </cell>
          <cell r="U55" t="str">
            <v/>
          </cell>
          <cell r="V55" t="str">
            <v/>
          </cell>
        </row>
        <row r="56">
          <cell r="C56" t="str">
            <v>SELL</v>
          </cell>
          <cell r="D56">
            <v>26745182</v>
          </cell>
          <cell r="E56">
            <v>926507</v>
          </cell>
          <cell r="F56">
            <v>3000</v>
          </cell>
          <cell r="I56">
            <v>1.04</v>
          </cell>
          <cell r="J56" t="str">
            <v>1 RSRS S 1.06708 M1M1</v>
          </cell>
          <cell r="U56" t="str">
            <v/>
          </cell>
          <cell r="V56" t="str">
            <v/>
          </cell>
        </row>
        <row r="57">
          <cell r="C57" t="str">
            <v>SELL</v>
          </cell>
          <cell r="D57">
            <v>26745195</v>
          </cell>
          <cell r="E57">
            <v>926507</v>
          </cell>
          <cell r="F57">
            <v>3000</v>
          </cell>
          <cell r="I57">
            <v>0.93</v>
          </cell>
          <cell r="J57" t="str">
            <v>1 RSRS S 1.06714 M1M1</v>
          </cell>
          <cell r="U57" t="str">
            <v/>
          </cell>
          <cell r="V57" t="str">
            <v/>
          </cell>
        </row>
        <row r="58">
          <cell r="C58" t="str">
            <v>SELL</v>
          </cell>
          <cell r="D58">
            <v>26745252</v>
          </cell>
          <cell r="E58">
            <v>926507</v>
          </cell>
          <cell r="F58">
            <v>3000</v>
          </cell>
          <cell r="I58">
            <v>0.96</v>
          </cell>
          <cell r="J58" t="str">
            <v>1 RSRS S 1.0671 M1M1</v>
          </cell>
          <cell r="U58" t="str">
            <v/>
          </cell>
          <cell r="V58" t="str">
            <v/>
          </cell>
        </row>
        <row r="59">
          <cell r="C59" t="str">
            <v>SELL</v>
          </cell>
          <cell r="D59">
            <v>26745261</v>
          </cell>
          <cell r="E59">
            <v>926507</v>
          </cell>
          <cell r="F59">
            <v>3000</v>
          </cell>
          <cell r="I59">
            <v>1.07</v>
          </cell>
          <cell r="J59" t="str">
            <v>1 RSRS S 1.06702 M1M1</v>
          </cell>
          <cell r="U59" t="str">
            <v/>
          </cell>
          <cell r="V59" t="str">
            <v/>
          </cell>
        </row>
        <row r="60">
          <cell r="C60" t="str">
            <v>SELL</v>
          </cell>
          <cell r="D60">
            <v>26745280</v>
          </cell>
          <cell r="E60">
            <v>926507</v>
          </cell>
          <cell r="F60">
            <v>3000</v>
          </cell>
          <cell r="I60">
            <v>0.93</v>
          </cell>
          <cell r="J60" t="str">
            <v>1 RSRS S 1.06694 M1M1</v>
          </cell>
          <cell r="U60" t="str">
            <v/>
          </cell>
          <cell r="V60" t="str">
            <v/>
          </cell>
        </row>
        <row r="61">
          <cell r="C61" t="str">
            <v>SELL</v>
          </cell>
          <cell r="D61">
            <v>26745329</v>
          </cell>
          <cell r="E61">
            <v>926507</v>
          </cell>
          <cell r="F61">
            <v>3000</v>
          </cell>
          <cell r="I61">
            <v>0.93</v>
          </cell>
          <cell r="J61" t="str">
            <v>1 RSRS S 1.06701 M1M1</v>
          </cell>
          <cell r="U61" t="str">
            <v/>
          </cell>
          <cell r="V61" t="str">
            <v/>
          </cell>
        </row>
        <row r="62">
          <cell r="C62" t="str">
            <v>SELL</v>
          </cell>
          <cell r="D62">
            <v>26745337</v>
          </cell>
          <cell r="E62">
            <v>926507</v>
          </cell>
          <cell r="F62">
            <v>6000</v>
          </cell>
          <cell r="I62">
            <v>1.91</v>
          </cell>
          <cell r="J62" t="str">
            <v>1 RSRS S 1.06687 M1M1</v>
          </cell>
          <cell r="U62" t="str">
            <v/>
          </cell>
          <cell r="V62" t="str">
            <v/>
          </cell>
        </row>
        <row r="63">
          <cell r="C63" t="str">
            <v>SELL</v>
          </cell>
          <cell r="D63">
            <v>26745365</v>
          </cell>
          <cell r="E63">
            <v>926507</v>
          </cell>
          <cell r="F63">
            <v>10000</v>
          </cell>
          <cell r="I63">
            <v>4.79</v>
          </cell>
          <cell r="J63" t="str">
            <v>1 RSRS S 1.06679 M1M1</v>
          </cell>
          <cell r="U63" t="str">
            <v/>
          </cell>
          <cell r="V63" t="str">
            <v/>
          </cell>
        </row>
        <row r="64">
          <cell r="C64" t="str">
            <v>SELL</v>
          </cell>
          <cell r="D64">
            <v>26745424</v>
          </cell>
          <cell r="E64">
            <v>926507</v>
          </cell>
          <cell r="F64">
            <v>14000</v>
          </cell>
          <cell r="I64">
            <v>8.2799999999999994</v>
          </cell>
          <cell r="J64" t="str">
            <v>1 RSRS S 1.06686 M1M1</v>
          </cell>
          <cell r="U64" t="str">
            <v/>
          </cell>
          <cell r="V64" t="str">
            <v/>
          </cell>
        </row>
        <row r="65">
          <cell r="C65" t="str">
            <v>SELL</v>
          </cell>
          <cell r="D65">
            <v>26745433</v>
          </cell>
          <cell r="E65">
            <v>926507</v>
          </cell>
          <cell r="F65">
            <v>6000</v>
          </cell>
          <cell r="I65">
            <v>3.43</v>
          </cell>
          <cell r="J65" t="str">
            <v>1 RSRS S 1.0669 M1M1</v>
          </cell>
          <cell r="U65" t="str">
            <v/>
          </cell>
          <cell r="V65" t="str">
            <v/>
          </cell>
        </row>
        <row r="66">
          <cell r="C66" t="str">
            <v>SELL</v>
          </cell>
          <cell r="D66">
            <v>26745462</v>
          </cell>
          <cell r="E66">
            <v>926507</v>
          </cell>
          <cell r="F66">
            <v>7000</v>
          </cell>
          <cell r="I66">
            <v>4.2</v>
          </cell>
          <cell r="J66" t="str">
            <v>1 RSRS S 1.06678 M1M1</v>
          </cell>
          <cell r="U66" t="str">
            <v/>
          </cell>
          <cell r="V66" t="str">
            <v/>
          </cell>
        </row>
        <row r="67">
          <cell r="C67" t="str">
            <v>SELL</v>
          </cell>
          <cell r="D67">
            <v>26745472</v>
          </cell>
          <cell r="E67">
            <v>926507</v>
          </cell>
          <cell r="F67">
            <v>4000</v>
          </cell>
          <cell r="I67">
            <v>2.67</v>
          </cell>
          <cell r="J67" t="str">
            <v>1 RSRS S 1.0664 M1M1</v>
          </cell>
          <cell r="U67" t="str">
            <v/>
          </cell>
          <cell r="V67" t="str">
            <v/>
          </cell>
        </row>
        <row r="68">
          <cell r="C68" t="str">
            <v>SELL</v>
          </cell>
          <cell r="D68">
            <v>26745635</v>
          </cell>
          <cell r="E68">
            <v>926507</v>
          </cell>
          <cell r="F68">
            <v>7000</v>
          </cell>
          <cell r="I68">
            <v>4.07</v>
          </cell>
          <cell r="J68" t="str">
            <v>1 RSRS S 1.0663 M1M1</v>
          </cell>
          <cell r="U68" t="str">
            <v/>
          </cell>
          <cell r="V68" t="str">
            <v/>
          </cell>
        </row>
        <row r="69">
          <cell r="C69" t="str">
            <v>BUY</v>
          </cell>
          <cell r="D69">
            <v>26745642</v>
          </cell>
          <cell r="E69">
            <v>926507</v>
          </cell>
          <cell r="F69">
            <v>1000</v>
          </cell>
          <cell r="I69">
            <v>-0.75</v>
          </cell>
          <cell r="J69" t="str">
            <v>1 RBRB B 1.06475 M1M1</v>
          </cell>
          <cell r="U69" t="str">
            <v/>
          </cell>
          <cell r="V69" t="str">
            <v/>
          </cell>
        </row>
        <row r="70">
          <cell r="C70" t="str">
            <v>BUY</v>
          </cell>
          <cell r="D70">
            <v>26745676</v>
          </cell>
          <cell r="E70">
            <v>926507</v>
          </cell>
          <cell r="F70">
            <v>1000</v>
          </cell>
          <cell r="I70">
            <v>-0.75</v>
          </cell>
          <cell r="J70" t="str">
            <v>1 RBRB B 1.06483 M1M1</v>
          </cell>
          <cell r="U70" t="str">
            <v/>
          </cell>
          <cell r="V70" t="str">
            <v/>
          </cell>
        </row>
        <row r="71">
          <cell r="C71" t="str">
            <v>BUY</v>
          </cell>
          <cell r="D71">
            <v>26745706</v>
          </cell>
          <cell r="E71">
            <v>926507</v>
          </cell>
          <cell r="F71">
            <v>1000</v>
          </cell>
          <cell r="I71">
            <v>-0.83</v>
          </cell>
          <cell r="J71" t="str">
            <v>1 RBRB B 1.06483 M1M1</v>
          </cell>
          <cell r="U71" t="str">
            <v/>
          </cell>
          <cell r="V71" t="str">
            <v/>
          </cell>
        </row>
        <row r="72">
          <cell r="C72" t="str">
            <v/>
          </cell>
          <cell r="D72" t="str">
            <v/>
          </cell>
          <cell r="E72">
            <v>926507</v>
          </cell>
          <cell r="F72" t="str">
            <v/>
          </cell>
          <cell r="I72" t="str">
            <v/>
          </cell>
          <cell r="J72" t="str">
            <v/>
          </cell>
          <cell r="U72" t="str">
            <v/>
          </cell>
          <cell r="V72" t="str">
            <v/>
          </cell>
        </row>
        <row r="73">
          <cell r="C73" t="str">
            <v/>
          </cell>
          <cell r="D73" t="str">
            <v/>
          </cell>
          <cell r="E73">
            <v>926507</v>
          </cell>
          <cell r="F73" t="str">
            <v/>
          </cell>
          <cell r="I73" t="str">
            <v/>
          </cell>
          <cell r="J73" t="str">
            <v/>
          </cell>
          <cell r="U73" t="str">
            <v/>
          </cell>
          <cell r="V73" t="str">
            <v/>
          </cell>
        </row>
        <row r="74">
          <cell r="C74" t="str">
            <v/>
          </cell>
          <cell r="D74" t="str">
            <v/>
          </cell>
          <cell r="E74">
            <v>926507</v>
          </cell>
          <cell r="F74" t="str">
            <v/>
          </cell>
          <cell r="I74" t="str">
            <v/>
          </cell>
          <cell r="J74" t="str">
            <v/>
          </cell>
          <cell r="U74" t="str">
            <v/>
          </cell>
          <cell r="V74" t="str">
            <v/>
          </cell>
        </row>
        <row r="75">
          <cell r="C75" t="str">
            <v/>
          </cell>
          <cell r="D75" t="str">
            <v/>
          </cell>
          <cell r="E75">
            <v>926507</v>
          </cell>
          <cell r="F75" t="str">
            <v/>
          </cell>
          <cell r="I75" t="str">
            <v/>
          </cell>
          <cell r="J75" t="str">
            <v/>
          </cell>
          <cell r="U75" t="str">
            <v/>
          </cell>
          <cell r="V75" t="str">
            <v/>
          </cell>
        </row>
        <row r="76">
          <cell r="C76" t="str">
            <v/>
          </cell>
          <cell r="D76" t="str">
            <v/>
          </cell>
          <cell r="E76">
            <v>926507</v>
          </cell>
          <cell r="F76" t="str">
            <v/>
          </cell>
          <cell r="I76" t="str">
            <v/>
          </cell>
          <cell r="J76" t="str">
            <v/>
          </cell>
          <cell r="U76" t="str">
            <v/>
          </cell>
          <cell r="V76" t="str">
            <v/>
          </cell>
        </row>
        <row r="77">
          <cell r="C77" t="str">
            <v/>
          </cell>
          <cell r="D77" t="str">
            <v/>
          </cell>
          <cell r="E77">
            <v>926507</v>
          </cell>
          <cell r="F77" t="str">
            <v/>
          </cell>
          <cell r="I77" t="str">
            <v/>
          </cell>
          <cell r="J77" t="str">
            <v/>
          </cell>
          <cell r="U77" t="str">
            <v/>
          </cell>
          <cell r="V77" t="str">
            <v/>
          </cell>
        </row>
        <row r="78">
          <cell r="C78" t="str">
            <v/>
          </cell>
          <cell r="D78" t="str">
            <v/>
          </cell>
          <cell r="E78">
            <v>926507</v>
          </cell>
          <cell r="F78" t="str">
            <v/>
          </cell>
          <cell r="I78" t="str">
            <v/>
          </cell>
          <cell r="J78" t="str">
            <v/>
          </cell>
          <cell r="U78" t="str">
            <v/>
          </cell>
          <cell r="V78" t="str">
            <v/>
          </cell>
        </row>
        <row r="79">
          <cell r="C79" t="str">
            <v/>
          </cell>
          <cell r="D79" t="str">
            <v/>
          </cell>
          <cell r="E79">
            <v>926507</v>
          </cell>
          <cell r="F79" t="str">
            <v/>
          </cell>
          <cell r="I79" t="str">
            <v/>
          </cell>
          <cell r="J79" t="str">
            <v/>
          </cell>
          <cell r="U79" t="str">
            <v/>
          </cell>
          <cell r="V79" t="str">
            <v/>
          </cell>
        </row>
        <row r="80">
          <cell r="C80" t="str">
            <v/>
          </cell>
          <cell r="D80" t="str">
            <v/>
          </cell>
          <cell r="E80">
            <v>926507</v>
          </cell>
          <cell r="F80" t="str">
            <v/>
          </cell>
          <cell r="I80" t="str">
            <v/>
          </cell>
          <cell r="J80" t="str">
            <v/>
          </cell>
          <cell r="U80" t="str">
            <v/>
          </cell>
          <cell r="V80" t="str">
            <v/>
          </cell>
        </row>
        <row r="81">
          <cell r="C81" t="str">
            <v/>
          </cell>
          <cell r="D81" t="str">
            <v/>
          </cell>
          <cell r="E81">
            <v>926507</v>
          </cell>
          <cell r="F81" t="str">
            <v/>
          </cell>
          <cell r="I81" t="str">
            <v/>
          </cell>
          <cell r="J81" t="str">
            <v/>
          </cell>
          <cell r="U81" t="str">
            <v/>
          </cell>
          <cell r="V81" t="str">
            <v/>
          </cell>
        </row>
        <row r="82">
          <cell r="C82" t="str">
            <v/>
          </cell>
          <cell r="D82" t="str">
            <v/>
          </cell>
          <cell r="E82">
            <v>926507</v>
          </cell>
          <cell r="F82" t="str">
            <v/>
          </cell>
          <cell r="I82" t="str">
            <v/>
          </cell>
          <cell r="J82" t="str">
            <v/>
          </cell>
          <cell r="U82" t="str">
            <v/>
          </cell>
          <cell r="V82" t="str">
            <v/>
          </cell>
        </row>
        <row r="83">
          <cell r="C83" t="str">
            <v/>
          </cell>
          <cell r="D83" t="str">
            <v/>
          </cell>
          <cell r="E83">
            <v>926507</v>
          </cell>
          <cell r="F83" t="str">
            <v/>
          </cell>
          <cell r="I83" t="str">
            <v/>
          </cell>
          <cell r="J83" t="str">
            <v/>
          </cell>
          <cell r="U83" t="str">
            <v/>
          </cell>
          <cell r="V83" t="str">
            <v/>
          </cell>
        </row>
        <row r="84">
          <cell r="C84" t="str">
            <v/>
          </cell>
          <cell r="D84" t="str">
            <v/>
          </cell>
          <cell r="E84">
            <v>926507</v>
          </cell>
          <cell r="F84" t="str">
            <v/>
          </cell>
          <cell r="I84" t="str">
            <v/>
          </cell>
          <cell r="J84" t="str">
            <v/>
          </cell>
          <cell r="U84" t="str">
            <v/>
          </cell>
          <cell r="V84" t="str">
            <v/>
          </cell>
        </row>
        <row r="85">
          <cell r="C85" t="str">
            <v/>
          </cell>
          <cell r="D85" t="str">
            <v/>
          </cell>
          <cell r="E85">
            <v>926507</v>
          </cell>
          <cell r="F85" t="str">
            <v/>
          </cell>
          <cell r="I85" t="str">
            <v/>
          </cell>
          <cell r="J85" t="str">
            <v/>
          </cell>
          <cell r="U85" t="str">
            <v/>
          </cell>
          <cell r="V85" t="str">
            <v/>
          </cell>
        </row>
        <row r="86">
          <cell r="C86" t="str">
            <v/>
          </cell>
          <cell r="D86" t="str">
            <v/>
          </cell>
          <cell r="E86">
            <v>926507</v>
          </cell>
          <cell r="F86" t="str">
            <v/>
          </cell>
          <cell r="I86" t="str">
            <v/>
          </cell>
          <cell r="J86" t="str">
            <v/>
          </cell>
          <cell r="U86" t="str">
            <v/>
          </cell>
          <cell r="V86" t="str">
            <v/>
          </cell>
        </row>
        <row r="87">
          <cell r="C87" t="str">
            <v/>
          </cell>
          <cell r="D87" t="str">
            <v/>
          </cell>
          <cell r="E87">
            <v>926507</v>
          </cell>
          <cell r="F87" t="str">
            <v/>
          </cell>
          <cell r="I87" t="str">
            <v/>
          </cell>
          <cell r="J87" t="str">
            <v/>
          </cell>
          <cell r="U87" t="str">
            <v/>
          </cell>
          <cell r="V87" t="str">
            <v/>
          </cell>
        </row>
        <row r="88">
          <cell r="C88" t="str">
            <v/>
          </cell>
          <cell r="D88" t="str">
            <v/>
          </cell>
          <cell r="E88">
            <v>926507</v>
          </cell>
          <cell r="F88" t="str">
            <v/>
          </cell>
          <cell r="I88" t="str">
            <v/>
          </cell>
          <cell r="J88" t="str">
            <v/>
          </cell>
          <cell r="U88" t="str">
            <v/>
          </cell>
          <cell r="V88" t="str">
            <v/>
          </cell>
        </row>
        <row r="89">
          <cell r="C89" t="str">
            <v/>
          </cell>
          <cell r="D89" t="str">
            <v/>
          </cell>
          <cell r="E89">
            <v>926507</v>
          </cell>
          <cell r="F89" t="str">
            <v/>
          </cell>
          <cell r="I89" t="str">
            <v/>
          </cell>
          <cell r="J89" t="str">
            <v/>
          </cell>
          <cell r="U89" t="str">
            <v/>
          </cell>
          <cell r="V89" t="str">
            <v/>
          </cell>
        </row>
        <row r="90">
          <cell r="C90" t="str">
            <v/>
          </cell>
          <cell r="D90" t="str">
            <v/>
          </cell>
          <cell r="E90">
            <v>926507</v>
          </cell>
          <cell r="F90" t="str">
            <v/>
          </cell>
          <cell r="I90" t="str">
            <v/>
          </cell>
          <cell r="J90" t="str">
            <v/>
          </cell>
          <cell r="U90" t="str">
            <v/>
          </cell>
          <cell r="V90" t="str">
            <v/>
          </cell>
        </row>
        <row r="91">
          <cell r="C91" t="str">
            <v/>
          </cell>
          <cell r="D91" t="str">
            <v/>
          </cell>
          <cell r="E91">
            <v>926507</v>
          </cell>
          <cell r="F91" t="str">
            <v/>
          </cell>
          <cell r="I91" t="str">
            <v/>
          </cell>
          <cell r="J91" t="str">
            <v/>
          </cell>
          <cell r="U91" t="str">
            <v/>
          </cell>
          <cell r="V91" t="str">
            <v/>
          </cell>
        </row>
        <row r="92">
          <cell r="C92" t="str">
            <v/>
          </cell>
          <cell r="D92" t="str">
            <v/>
          </cell>
          <cell r="E92">
            <v>926507</v>
          </cell>
          <cell r="F92" t="str">
            <v/>
          </cell>
          <cell r="I92" t="str">
            <v/>
          </cell>
          <cell r="J92" t="str">
            <v/>
          </cell>
          <cell r="U92" t="str">
            <v/>
          </cell>
          <cell r="V92" t="str">
            <v/>
          </cell>
        </row>
        <row r="93">
          <cell r="C93" t="str">
            <v/>
          </cell>
          <cell r="D93" t="str">
            <v/>
          </cell>
          <cell r="E93">
            <v>926507</v>
          </cell>
          <cell r="F93" t="str">
            <v/>
          </cell>
          <cell r="I93" t="str">
            <v/>
          </cell>
          <cell r="J93" t="str">
            <v/>
          </cell>
          <cell r="U93" t="str">
            <v/>
          </cell>
          <cell r="V93" t="str">
            <v/>
          </cell>
        </row>
        <row r="94">
          <cell r="C94" t="str">
            <v/>
          </cell>
          <cell r="D94" t="str">
            <v/>
          </cell>
          <cell r="E94">
            <v>926507</v>
          </cell>
          <cell r="F94" t="str">
            <v/>
          </cell>
          <cell r="I94" t="str">
            <v/>
          </cell>
          <cell r="J94" t="str">
            <v/>
          </cell>
          <cell r="U94" t="str">
            <v/>
          </cell>
          <cell r="V94" t="str">
            <v/>
          </cell>
        </row>
        <row r="95">
          <cell r="C95" t="str">
            <v/>
          </cell>
          <cell r="D95" t="str">
            <v/>
          </cell>
          <cell r="E95">
            <v>926507</v>
          </cell>
          <cell r="F95" t="str">
            <v/>
          </cell>
          <cell r="I95" t="str">
            <v/>
          </cell>
          <cell r="J95" t="str">
            <v/>
          </cell>
          <cell r="U95" t="str">
            <v/>
          </cell>
          <cell r="V95" t="str">
            <v/>
          </cell>
        </row>
        <row r="96">
          <cell r="C96" t="str">
            <v/>
          </cell>
          <cell r="D96" t="str">
            <v/>
          </cell>
          <cell r="E96">
            <v>926507</v>
          </cell>
          <cell r="F96" t="str">
            <v/>
          </cell>
          <cell r="I96" t="str">
            <v/>
          </cell>
          <cell r="J96" t="str">
            <v/>
          </cell>
          <cell r="U96" t="str">
            <v/>
          </cell>
          <cell r="V96" t="str">
            <v/>
          </cell>
        </row>
        <row r="97">
          <cell r="C97" t="str">
            <v/>
          </cell>
          <cell r="D97" t="str">
            <v/>
          </cell>
          <cell r="E97">
            <v>926507</v>
          </cell>
          <cell r="F97" t="str">
            <v/>
          </cell>
          <cell r="I97" t="str">
            <v/>
          </cell>
          <cell r="J97" t="str">
            <v/>
          </cell>
          <cell r="U97" t="str">
            <v/>
          </cell>
          <cell r="V97" t="str">
            <v/>
          </cell>
        </row>
        <row r="98">
          <cell r="C98" t="str">
            <v/>
          </cell>
          <cell r="D98" t="str">
            <v/>
          </cell>
          <cell r="E98">
            <v>926507</v>
          </cell>
          <cell r="F98" t="str">
            <v/>
          </cell>
          <cell r="I98" t="str">
            <v/>
          </cell>
          <cell r="J98" t="str">
            <v/>
          </cell>
          <cell r="U98" t="str">
            <v/>
          </cell>
          <cell r="V98" t="str">
            <v/>
          </cell>
        </row>
        <row r="99">
          <cell r="C99" t="str">
            <v/>
          </cell>
          <cell r="D99" t="str">
            <v/>
          </cell>
          <cell r="E99">
            <v>926507</v>
          </cell>
          <cell r="F99" t="str">
            <v/>
          </cell>
          <cell r="I99" t="str">
            <v/>
          </cell>
          <cell r="J99" t="str">
            <v/>
          </cell>
          <cell r="U99" t="str">
            <v/>
          </cell>
          <cell r="V99" t="str">
            <v/>
          </cell>
        </row>
        <row r="100">
          <cell r="C100" t="str">
            <v/>
          </cell>
          <cell r="D100" t="str">
            <v/>
          </cell>
          <cell r="E100">
            <v>926507</v>
          </cell>
          <cell r="F100" t="str">
            <v/>
          </cell>
          <cell r="I100" t="str">
            <v/>
          </cell>
          <cell r="J100" t="str">
            <v/>
          </cell>
          <cell r="U100" t="str">
            <v/>
          </cell>
          <cell r="V100" t="str">
            <v/>
          </cell>
        </row>
        <row r="101">
          <cell r="C101" t="str">
            <v/>
          </cell>
          <cell r="D101" t="str">
            <v/>
          </cell>
          <cell r="E101">
            <v>926507</v>
          </cell>
          <cell r="F101" t="str">
            <v/>
          </cell>
          <cell r="I101" t="str">
            <v/>
          </cell>
          <cell r="J101" t="str">
            <v/>
          </cell>
          <cell r="U101" t="str">
            <v/>
          </cell>
          <cell r="V101" t="str">
            <v/>
          </cell>
        </row>
        <row r="102">
          <cell r="C102" t="str">
            <v/>
          </cell>
          <cell r="D102" t="str">
            <v/>
          </cell>
          <cell r="E102">
            <v>926507</v>
          </cell>
          <cell r="F102" t="str">
            <v/>
          </cell>
          <cell r="I102" t="str">
            <v/>
          </cell>
          <cell r="J102" t="str">
            <v/>
          </cell>
          <cell r="U102" t="str">
            <v/>
          </cell>
          <cell r="V102" t="str">
            <v/>
          </cell>
        </row>
        <row r="103">
          <cell r="C103" t="str">
            <v/>
          </cell>
          <cell r="D103" t="str">
            <v/>
          </cell>
          <cell r="E103">
            <v>926507</v>
          </cell>
          <cell r="F103" t="str">
            <v/>
          </cell>
          <cell r="I103" t="str">
            <v/>
          </cell>
          <cell r="J103" t="str">
            <v/>
          </cell>
          <cell r="U103" t="str">
            <v/>
          </cell>
          <cell r="V103" t="str">
            <v/>
          </cell>
        </row>
        <row r="104">
          <cell r="C104" t="str">
            <v/>
          </cell>
          <cell r="D104" t="str">
            <v/>
          </cell>
          <cell r="E104">
            <v>926507</v>
          </cell>
          <cell r="F104" t="str">
            <v/>
          </cell>
          <cell r="I104" t="str">
            <v/>
          </cell>
          <cell r="J104" t="str">
            <v/>
          </cell>
          <cell r="U104" t="str">
            <v/>
          </cell>
          <cell r="V104" t="str">
            <v/>
          </cell>
        </row>
        <row r="105">
          <cell r="C105" t="str">
            <v/>
          </cell>
          <cell r="D105" t="str">
            <v/>
          </cell>
          <cell r="E105">
            <v>926507</v>
          </cell>
          <cell r="F105" t="str">
            <v/>
          </cell>
          <cell r="I105" t="str">
            <v/>
          </cell>
          <cell r="J105" t="str">
            <v/>
          </cell>
          <cell r="U105" t="str">
            <v/>
          </cell>
          <cell r="V105" t="str">
            <v/>
          </cell>
        </row>
        <row r="106">
          <cell r="C106" t="str">
            <v/>
          </cell>
          <cell r="D106" t="str">
            <v/>
          </cell>
          <cell r="E106">
            <v>926507</v>
          </cell>
          <cell r="F106" t="str">
            <v/>
          </cell>
          <cell r="I106" t="str">
            <v/>
          </cell>
          <cell r="J106" t="str">
            <v/>
          </cell>
          <cell r="U106" t="str">
            <v/>
          </cell>
          <cell r="V106" t="str">
            <v/>
          </cell>
        </row>
        <row r="107">
          <cell r="C107" t="str">
            <v/>
          </cell>
          <cell r="D107" t="str">
            <v/>
          </cell>
          <cell r="E107">
            <v>926507</v>
          </cell>
          <cell r="F107" t="str">
            <v/>
          </cell>
          <cell r="I107" t="str">
            <v/>
          </cell>
          <cell r="J107" t="str">
            <v/>
          </cell>
          <cell r="U107" t="str">
            <v/>
          </cell>
          <cell r="V107" t="str">
            <v/>
          </cell>
        </row>
        <row r="108">
          <cell r="C108" t="str">
            <v/>
          </cell>
          <cell r="D108" t="str">
            <v/>
          </cell>
          <cell r="E108">
            <v>926507</v>
          </cell>
          <cell r="F108" t="str">
            <v/>
          </cell>
          <cell r="I108" t="str">
            <v/>
          </cell>
          <cell r="J108" t="str">
            <v/>
          </cell>
          <cell r="U108" t="str">
            <v/>
          </cell>
          <cell r="V108" t="str">
            <v/>
          </cell>
        </row>
        <row r="109">
          <cell r="C109" t="str">
            <v/>
          </cell>
          <cell r="D109" t="str">
            <v/>
          </cell>
          <cell r="E109">
            <v>926507</v>
          </cell>
          <cell r="F109" t="str">
            <v/>
          </cell>
          <cell r="I109" t="str">
            <v/>
          </cell>
          <cell r="J109" t="str">
            <v/>
          </cell>
          <cell r="U109" t="str">
            <v/>
          </cell>
          <cell r="V109" t="str">
            <v/>
          </cell>
        </row>
        <row r="110">
          <cell r="C110" t="str">
            <v/>
          </cell>
          <cell r="D110" t="str">
            <v/>
          </cell>
          <cell r="E110">
            <v>926507</v>
          </cell>
          <cell r="F110" t="str">
            <v/>
          </cell>
          <cell r="I110" t="str">
            <v/>
          </cell>
          <cell r="J110" t="str">
            <v/>
          </cell>
          <cell r="U110" t="str">
            <v/>
          </cell>
          <cell r="V110" t="str">
            <v/>
          </cell>
        </row>
        <row r="111">
          <cell r="C111" t="str">
            <v/>
          </cell>
          <cell r="D111" t="str">
            <v/>
          </cell>
          <cell r="E111">
            <v>926507</v>
          </cell>
          <cell r="F111" t="str">
            <v/>
          </cell>
          <cell r="I111" t="str">
            <v/>
          </cell>
          <cell r="J111" t="str">
            <v/>
          </cell>
          <cell r="U111" t="str">
            <v/>
          </cell>
          <cell r="V111" t="str">
            <v/>
          </cell>
        </row>
        <row r="112">
          <cell r="C112" t="str">
            <v/>
          </cell>
          <cell r="D112" t="str">
            <v/>
          </cell>
          <cell r="E112">
            <v>926507</v>
          </cell>
          <cell r="F112" t="str">
            <v/>
          </cell>
          <cell r="I112" t="str">
            <v/>
          </cell>
          <cell r="J112" t="str">
            <v/>
          </cell>
          <cell r="U112" t="str">
            <v/>
          </cell>
          <cell r="V112" t="str">
            <v/>
          </cell>
        </row>
        <row r="113">
          <cell r="C113" t="str">
            <v/>
          </cell>
          <cell r="D113" t="str">
            <v/>
          </cell>
          <cell r="E113">
            <v>926507</v>
          </cell>
          <cell r="F113" t="str">
            <v/>
          </cell>
          <cell r="I113" t="str">
            <v/>
          </cell>
          <cell r="J113" t="str">
            <v/>
          </cell>
          <cell r="U113" t="str">
            <v/>
          </cell>
          <cell r="V113" t="str">
            <v/>
          </cell>
        </row>
        <row r="114">
          <cell r="C114" t="str">
            <v/>
          </cell>
          <cell r="D114" t="str">
            <v/>
          </cell>
          <cell r="E114">
            <v>926507</v>
          </cell>
          <cell r="F114" t="str">
            <v/>
          </cell>
          <cell r="I114" t="str">
            <v/>
          </cell>
          <cell r="J114" t="str">
            <v/>
          </cell>
          <cell r="U114" t="str">
            <v/>
          </cell>
          <cell r="V114" t="str">
            <v/>
          </cell>
        </row>
        <row r="115">
          <cell r="C115" t="str">
            <v/>
          </cell>
          <cell r="D115" t="str">
            <v/>
          </cell>
          <cell r="E115">
            <v>926507</v>
          </cell>
          <cell r="F115" t="str">
            <v/>
          </cell>
          <cell r="I115" t="str">
            <v/>
          </cell>
          <cell r="J115" t="str">
            <v/>
          </cell>
          <cell r="U115" t="str">
            <v/>
          </cell>
          <cell r="V115" t="str">
            <v/>
          </cell>
        </row>
        <row r="116">
          <cell r="C116" t="str">
            <v/>
          </cell>
          <cell r="D116" t="str">
            <v/>
          </cell>
          <cell r="E116">
            <v>926507</v>
          </cell>
          <cell r="F116" t="str">
            <v/>
          </cell>
          <cell r="I116" t="str">
            <v/>
          </cell>
          <cell r="J116" t="str">
            <v/>
          </cell>
          <cell r="U116" t="str">
            <v/>
          </cell>
          <cell r="V116" t="str">
            <v/>
          </cell>
        </row>
        <row r="117">
          <cell r="C117" t="str">
            <v/>
          </cell>
          <cell r="D117" t="str">
            <v/>
          </cell>
          <cell r="E117">
            <v>926507</v>
          </cell>
          <cell r="F117" t="str">
            <v/>
          </cell>
          <cell r="I117" t="str">
            <v/>
          </cell>
          <cell r="J117" t="str">
            <v/>
          </cell>
          <cell r="U117" t="str">
            <v/>
          </cell>
          <cell r="V117" t="str">
            <v/>
          </cell>
        </row>
        <row r="118">
          <cell r="C118" t="str">
            <v/>
          </cell>
          <cell r="D118" t="str">
            <v/>
          </cell>
          <cell r="E118">
            <v>926507</v>
          </cell>
          <cell r="F118" t="str">
            <v/>
          </cell>
          <cell r="I118" t="str">
            <v/>
          </cell>
          <cell r="J118" t="str">
            <v/>
          </cell>
          <cell r="U118" t="str">
            <v/>
          </cell>
          <cell r="V118" t="str">
            <v/>
          </cell>
        </row>
        <row r="119">
          <cell r="C119" t="str">
            <v/>
          </cell>
          <cell r="D119" t="str">
            <v/>
          </cell>
          <cell r="E119">
            <v>926507</v>
          </cell>
          <cell r="F119" t="str">
            <v/>
          </cell>
          <cell r="I119" t="str">
            <v/>
          </cell>
          <cell r="J119" t="str">
            <v/>
          </cell>
          <cell r="U119" t="str">
            <v/>
          </cell>
          <cell r="V119" t="str">
            <v/>
          </cell>
        </row>
        <row r="120">
          <cell r="C120" t="str">
            <v/>
          </cell>
          <cell r="D120" t="str">
            <v/>
          </cell>
          <cell r="E120">
            <v>926507</v>
          </cell>
          <cell r="F120" t="str">
            <v/>
          </cell>
          <cell r="I120" t="str">
            <v/>
          </cell>
          <cell r="J120" t="str">
            <v/>
          </cell>
          <cell r="U120" t="str">
            <v/>
          </cell>
          <cell r="V120" t="str">
            <v/>
          </cell>
        </row>
        <row r="121">
          <cell r="C121" t="str">
            <v/>
          </cell>
          <cell r="D121" t="str">
            <v/>
          </cell>
          <cell r="E121">
            <v>926507</v>
          </cell>
          <cell r="F121" t="str">
            <v/>
          </cell>
          <cell r="I121" t="str">
            <v/>
          </cell>
          <cell r="J121" t="str">
            <v/>
          </cell>
          <cell r="U121" t="str">
            <v/>
          </cell>
          <cell r="V121" t="str">
            <v/>
          </cell>
        </row>
        <row r="122">
          <cell r="C122" t="str">
            <v/>
          </cell>
          <cell r="D122" t="str">
            <v/>
          </cell>
          <cell r="E122">
            <v>926507</v>
          </cell>
          <cell r="F122" t="str">
            <v/>
          </cell>
          <cell r="I122" t="str">
            <v/>
          </cell>
          <cell r="J122" t="str">
            <v/>
          </cell>
          <cell r="U122" t="str">
            <v/>
          </cell>
          <cell r="V122" t="str">
            <v/>
          </cell>
        </row>
        <row r="123">
          <cell r="C123" t="str">
            <v/>
          </cell>
          <cell r="D123" t="str">
            <v/>
          </cell>
          <cell r="E123">
            <v>926507</v>
          </cell>
          <cell r="F123" t="str">
            <v/>
          </cell>
          <cell r="I123" t="str">
            <v/>
          </cell>
          <cell r="J123" t="str">
            <v/>
          </cell>
          <cell r="U123" t="str">
            <v/>
          </cell>
          <cell r="V123" t="str">
            <v/>
          </cell>
        </row>
        <row r="124">
          <cell r="C124" t="str">
            <v/>
          </cell>
          <cell r="D124" t="str">
            <v/>
          </cell>
          <cell r="E124">
            <v>926507</v>
          </cell>
          <cell r="F124" t="str">
            <v/>
          </cell>
          <cell r="I124" t="str">
            <v/>
          </cell>
          <cell r="J124" t="str">
            <v/>
          </cell>
          <cell r="U124" t="str">
            <v/>
          </cell>
          <cell r="V124" t="str">
            <v/>
          </cell>
        </row>
        <row r="125">
          <cell r="C125" t="str">
            <v/>
          </cell>
          <cell r="D125" t="str">
            <v/>
          </cell>
          <cell r="E125">
            <v>926507</v>
          </cell>
          <cell r="F125" t="str">
            <v/>
          </cell>
          <cell r="I125" t="str">
            <v/>
          </cell>
          <cell r="J125" t="str">
            <v/>
          </cell>
          <cell r="U125" t="str">
            <v/>
          </cell>
          <cell r="V125" t="str">
            <v/>
          </cell>
        </row>
        <row r="126">
          <cell r="C126" t="str">
            <v/>
          </cell>
          <cell r="D126" t="str">
            <v/>
          </cell>
          <cell r="E126">
            <v>926507</v>
          </cell>
          <cell r="F126" t="str">
            <v/>
          </cell>
          <cell r="I126" t="str">
            <v/>
          </cell>
          <cell r="J126" t="str">
            <v/>
          </cell>
          <cell r="U126" t="str">
            <v/>
          </cell>
          <cell r="V126" t="str">
            <v/>
          </cell>
        </row>
        <row r="127">
          <cell r="C127" t="str">
            <v/>
          </cell>
          <cell r="D127" t="str">
            <v/>
          </cell>
          <cell r="E127">
            <v>926507</v>
          </cell>
          <cell r="F127" t="str">
            <v/>
          </cell>
          <cell r="I127" t="str">
            <v/>
          </cell>
          <cell r="J127" t="str">
            <v/>
          </cell>
          <cell r="U127" t="str">
            <v/>
          </cell>
          <cell r="V127" t="str">
            <v/>
          </cell>
        </row>
        <row r="128">
          <cell r="C128" t="str">
            <v/>
          </cell>
          <cell r="D128" t="str">
            <v/>
          </cell>
          <cell r="E128">
            <v>926507</v>
          </cell>
          <cell r="F128" t="str">
            <v/>
          </cell>
          <cell r="I128" t="str">
            <v/>
          </cell>
          <cell r="J128" t="str">
            <v/>
          </cell>
          <cell r="U128" t="str">
            <v/>
          </cell>
          <cell r="V128" t="str">
            <v/>
          </cell>
        </row>
        <row r="129">
          <cell r="C129" t="str">
            <v/>
          </cell>
          <cell r="D129" t="str">
            <v/>
          </cell>
          <cell r="E129">
            <v>926507</v>
          </cell>
          <cell r="F129" t="str">
            <v/>
          </cell>
          <cell r="I129" t="str">
            <v/>
          </cell>
          <cell r="J129" t="str">
            <v/>
          </cell>
          <cell r="U129" t="str">
            <v/>
          </cell>
          <cell r="V129" t="str">
            <v/>
          </cell>
        </row>
        <row r="130">
          <cell r="C130" t="str">
            <v/>
          </cell>
          <cell r="D130" t="str">
            <v/>
          </cell>
          <cell r="E130">
            <v>926507</v>
          </cell>
          <cell r="F130" t="str">
            <v/>
          </cell>
          <cell r="I130" t="str">
            <v/>
          </cell>
          <cell r="J130" t="str">
            <v/>
          </cell>
          <cell r="U130" t="str">
            <v/>
          </cell>
          <cell r="V130" t="str">
            <v/>
          </cell>
        </row>
        <row r="131">
          <cell r="C131" t="str">
            <v/>
          </cell>
          <cell r="D131" t="str">
            <v/>
          </cell>
          <cell r="E131">
            <v>926507</v>
          </cell>
          <cell r="F131" t="str">
            <v/>
          </cell>
          <cell r="I131" t="str">
            <v/>
          </cell>
          <cell r="J131" t="str">
            <v/>
          </cell>
          <cell r="U131" t="str">
            <v/>
          </cell>
          <cell r="V131" t="str">
            <v/>
          </cell>
        </row>
        <row r="132">
          <cell r="C132" t="str">
            <v/>
          </cell>
          <cell r="D132" t="str">
            <v/>
          </cell>
          <cell r="E132">
            <v>926507</v>
          </cell>
          <cell r="F132" t="str">
            <v/>
          </cell>
          <cell r="I132" t="str">
            <v/>
          </cell>
          <cell r="J132" t="str">
            <v/>
          </cell>
          <cell r="U132" t="str">
            <v/>
          </cell>
          <cell r="V132" t="str">
            <v/>
          </cell>
        </row>
        <row r="133">
          <cell r="C133" t="str">
            <v/>
          </cell>
          <cell r="D133" t="str">
            <v/>
          </cell>
          <cell r="E133">
            <v>926507</v>
          </cell>
          <cell r="F133" t="str">
            <v/>
          </cell>
          <cell r="I133" t="str">
            <v/>
          </cell>
          <cell r="J133" t="str">
            <v/>
          </cell>
          <cell r="U133" t="str">
            <v/>
          </cell>
          <cell r="V133" t="str">
            <v/>
          </cell>
        </row>
        <row r="134">
          <cell r="C134" t="str">
            <v/>
          </cell>
          <cell r="D134" t="str">
            <v/>
          </cell>
          <cell r="E134">
            <v>926507</v>
          </cell>
          <cell r="F134" t="str">
            <v/>
          </cell>
          <cell r="I134" t="str">
            <v/>
          </cell>
          <cell r="J134" t="str">
            <v/>
          </cell>
          <cell r="U134" t="str">
            <v/>
          </cell>
          <cell r="V134" t="str">
            <v/>
          </cell>
        </row>
        <row r="135">
          <cell r="C135" t="str">
            <v/>
          </cell>
          <cell r="D135" t="str">
            <v/>
          </cell>
          <cell r="E135">
            <v>926507</v>
          </cell>
          <cell r="F135" t="str">
            <v/>
          </cell>
          <cell r="I135" t="str">
            <v/>
          </cell>
          <cell r="J135" t="str">
            <v/>
          </cell>
          <cell r="U135" t="str">
            <v/>
          </cell>
          <cell r="V135" t="str">
            <v/>
          </cell>
        </row>
        <row r="136">
          <cell r="C136" t="str">
            <v/>
          </cell>
          <cell r="D136" t="str">
            <v/>
          </cell>
          <cell r="E136">
            <v>926507</v>
          </cell>
          <cell r="F136" t="str">
            <v/>
          </cell>
          <cell r="I136" t="str">
            <v/>
          </cell>
          <cell r="J136" t="str">
            <v/>
          </cell>
          <cell r="U136" t="str">
            <v/>
          </cell>
          <cell r="V136" t="str">
            <v/>
          </cell>
        </row>
        <row r="137">
          <cell r="C137" t="str">
            <v/>
          </cell>
          <cell r="D137" t="str">
            <v/>
          </cell>
          <cell r="E137">
            <v>926507</v>
          </cell>
          <cell r="F137" t="str">
            <v/>
          </cell>
          <cell r="I137" t="str">
            <v/>
          </cell>
          <cell r="J137" t="str">
            <v/>
          </cell>
          <cell r="U137" t="str">
            <v/>
          </cell>
          <cell r="V137" t="str">
            <v/>
          </cell>
        </row>
        <row r="138">
          <cell r="C138" t="str">
            <v/>
          </cell>
          <cell r="D138" t="str">
            <v/>
          </cell>
          <cell r="E138">
            <v>926507</v>
          </cell>
          <cell r="F138" t="str">
            <v/>
          </cell>
          <cell r="I138" t="str">
            <v/>
          </cell>
          <cell r="J138" t="str">
            <v/>
          </cell>
          <cell r="U138" t="str">
            <v/>
          </cell>
          <cell r="V138" t="str">
            <v/>
          </cell>
        </row>
        <row r="139">
          <cell r="C139" t="str">
            <v/>
          </cell>
          <cell r="D139" t="str">
            <v/>
          </cell>
          <cell r="E139">
            <v>926507</v>
          </cell>
          <cell r="F139" t="str">
            <v/>
          </cell>
          <cell r="I139" t="str">
            <v/>
          </cell>
          <cell r="J139" t="str">
            <v/>
          </cell>
          <cell r="U139" t="str">
            <v/>
          </cell>
          <cell r="V139" t="str">
            <v/>
          </cell>
        </row>
        <row r="140">
          <cell r="C140" t="str">
            <v/>
          </cell>
          <cell r="D140" t="str">
            <v/>
          </cell>
          <cell r="E140">
            <v>926507</v>
          </cell>
          <cell r="F140" t="str">
            <v/>
          </cell>
          <cell r="I140" t="str">
            <v/>
          </cell>
          <cell r="J140" t="str">
            <v/>
          </cell>
          <cell r="U140" t="str">
            <v/>
          </cell>
          <cell r="V140" t="str">
            <v/>
          </cell>
        </row>
        <row r="141">
          <cell r="C141" t="str">
            <v/>
          </cell>
          <cell r="D141" t="str">
            <v/>
          </cell>
          <cell r="E141">
            <v>926507</v>
          </cell>
          <cell r="F141" t="str">
            <v/>
          </cell>
          <cell r="I141" t="str">
            <v/>
          </cell>
          <cell r="J141" t="str">
            <v/>
          </cell>
          <cell r="U141" t="str">
            <v/>
          </cell>
          <cell r="V141" t="str">
            <v/>
          </cell>
        </row>
        <row r="142">
          <cell r="C142" t="str">
            <v/>
          </cell>
          <cell r="D142" t="str">
            <v/>
          </cell>
          <cell r="E142">
            <v>926507</v>
          </cell>
          <cell r="F142" t="str">
            <v/>
          </cell>
          <cell r="I142" t="str">
            <v/>
          </cell>
          <cell r="J142" t="str">
            <v/>
          </cell>
          <cell r="U142" t="str">
            <v/>
          </cell>
          <cell r="V142" t="str">
            <v/>
          </cell>
        </row>
        <row r="143">
          <cell r="C143" t="str">
            <v/>
          </cell>
          <cell r="D143" t="str">
            <v/>
          </cell>
          <cell r="E143">
            <v>926507</v>
          </cell>
          <cell r="F143" t="str">
            <v/>
          </cell>
          <cell r="I143" t="str">
            <v/>
          </cell>
          <cell r="J143" t="str">
            <v/>
          </cell>
          <cell r="U143" t="str">
            <v/>
          </cell>
          <cell r="V143" t="str">
            <v/>
          </cell>
        </row>
        <row r="144">
          <cell r="C144" t="str">
            <v/>
          </cell>
          <cell r="D144" t="str">
            <v/>
          </cell>
          <cell r="E144">
            <v>926507</v>
          </cell>
          <cell r="F144" t="str">
            <v/>
          </cell>
          <cell r="I144" t="str">
            <v/>
          </cell>
          <cell r="J144" t="str">
            <v/>
          </cell>
          <cell r="U144" t="str">
            <v/>
          </cell>
          <cell r="V144" t="str">
            <v/>
          </cell>
        </row>
        <row r="145">
          <cell r="C145" t="str">
            <v/>
          </cell>
          <cell r="D145" t="str">
            <v/>
          </cell>
          <cell r="E145">
            <v>926507</v>
          </cell>
          <cell r="F145" t="str">
            <v/>
          </cell>
          <cell r="I145" t="str">
            <v/>
          </cell>
          <cell r="J145" t="str">
            <v/>
          </cell>
          <cell r="U145" t="str">
            <v/>
          </cell>
          <cell r="V145" t="str">
            <v/>
          </cell>
        </row>
        <row r="146">
          <cell r="C146" t="str">
            <v/>
          </cell>
          <cell r="D146" t="str">
            <v/>
          </cell>
          <cell r="E146">
            <v>926507</v>
          </cell>
          <cell r="F146" t="str">
            <v/>
          </cell>
          <cell r="I146" t="str">
            <v/>
          </cell>
          <cell r="J146" t="str">
            <v/>
          </cell>
          <cell r="U146" t="str">
            <v/>
          </cell>
          <cell r="V146" t="str">
            <v/>
          </cell>
        </row>
        <row r="147">
          <cell r="C147" t="str">
            <v/>
          </cell>
          <cell r="D147" t="str">
            <v/>
          </cell>
          <cell r="E147">
            <v>926507</v>
          </cell>
          <cell r="F147" t="str">
            <v/>
          </cell>
          <cell r="I147" t="str">
            <v/>
          </cell>
          <cell r="J147" t="str">
            <v/>
          </cell>
          <cell r="U147" t="str">
            <v/>
          </cell>
          <cell r="V147" t="str">
            <v/>
          </cell>
        </row>
        <row r="148">
          <cell r="C148" t="str">
            <v/>
          </cell>
          <cell r="D148" t="str">
            <v/>
          </cell>
          <cell r="E148">
            <v>926507</v>
          </cell>
          <cell r="F148" t="str">
            <v/>
          </cell>
          <cell r="I148" t="str">
            <v/>
          </cell>
          <cell r="J148" t="str">
            <v/>
          </cell>
          <cell r="U148" t="str">
            <v/>
          </cell>
          <cell r="V148" t="str">
            <v/>
          </cell>
        </row>
        <row r="149">
          <cell r="C149" t="str">
            <v/>
          </cell>
          <cell r="D149" t="str">
            <v/>
          </cell>
          <cell r="E149">
            <v>926507</v>
          </cell>
          <cell r="F149" t="str">
            <v/>
          </cell>
          <cell r="I149" t="str">
            <v/>
          </cell>
          <cell r="J149" t="str">
            <v/>
          </cell>
          <cell r="U149" t="str">
            <v/>
          </cell>
          <cell r="V149" t="str">
            <v/>
          </cell>
        </row>
        <row r="150">
          <cell r="C150" t="str">
            <v/>
          </cell>
          <cell r="D150" t="str">
            <v/>
          </cell>
          <cell r="E150">
            <v>926507</v>
          </cell>
          <cell r="F150" t="str">
            <v/>
          </cell>
          <cell r="I150" t="str">
            <v/>
          </cell>
          <cell r="J150" t="str">
            <v/>
          </cell>
          <cell r="U150" t="str">
            <v/>
          </cell>
          <cell r="V150" t="str">
            <v/>
          </cell>
        </row>
        <row r="151">
          <cell r="C151" t="str">
            <v/>
          </cell>
          <cell r="D151" t="str">
            <v/>
          </cell>
          <cell r="E151">
            <v>926507</v>
          </cell>
          <cell r="F151" t="str">
            <v/>
          </cell>
          <cell r="I151" t="str">
            <v/>
          </cell>
          <cell r="J151" t="str">
            <v/>
          </cell>
          <cell r="U151" t="str">
            <v/>
          </cell>
          <cell r="V151" t="str">
            <v/>
          </cell>
        </row>
        <row r="152">
          <cell r="C152" t="str">
            <v/>
          </cell>
          <cell r="D152" t="str">
            <v/>
          </cell>
          <cell r="E152">
            <v>926507</v>
          </cell>
          <cell r="F152" t="str">
            <v/>
          </cell>
          <cell r="I152" t="str">
            <v/>
          </cell>
          <cell r="J152" t="str">
            <v/>
          </cell>
          <cell r="U152" t="str">
            <v/>
          </cell>
          <cell r="V152" t="str">
            <v/>
          </cell>
        </row>
        <row r="153">
          <cell r="C153" t="str">
            <v/>
          </cell>
          <cell r="D153" t="str">
            <v/>
          </cell>
          <cell r="E153">
            <v>926507</v>
          </cell>
          <cell r="F153" t="str">
            <v/>
          </cell>
          <cell r="I153" t="str">
            <v/>
          </cell>
          <cell r="J153" t="str">
            <v/>
          </cell>
          <cell r="U153" t="str">
            <v/>
          </cell>
          <cell r="V153" t="str">
            <v/>
          </cell>
        </row>
        <row r="154">
          <cell r="C154" t="str">
            <v/>
          </cell>
          <cell r="D154" t="str">
            <v/>
          </cell>
          <cell r="E154">
            <v>926507</v>
          </cell>
          <cell r="F154" t="str">
            <v/>
          </cell>
          <cell r="I154" t="str">
            <v/>
          </cell>
          <cell r="J154" t="str">
            <v/>
          </cell>
          <cell r="U154" t="str">
            <v/>
          </cell>
          <cell r="V154" t="str">
            <v/>
          </cell>
        </row>
        <row r="155">
          <cell r="C155" t="str">
            <v/>
          </cell>
          <cell r="D155" t="str">
            <v/>
          </cell>
          <cell r="E155">
            <v>926507</v>
          </cell>
          <cell r="F155" t="str">
            <v/>
          </cell>
          <cell r="I155" t="str">
            <v/>
          </cell>
          <cell r="J155" t="str">
            <v/>
          </cell>
          <cell r="U155" t="str">
            <v/>
          </cell>
          <cell r="V155" t="str">
            <v/>
          </cell>
        </row>
        <row r="156">
          <cell r="C156" t="str">
            <v/>
          </cell>
          <cell r="D156" t="str">
            <v/>
          </cell>
          <cell r="E156">
            <v>926507</v>
          </cell>
          <cell r="F156" t="str">
            <v/>
          </cell>
          <cell r="I156" t="str">
            <v/>
          </cell>
          <cell r="J156" t="str">
            <v/>
          </cell>
          <cell r="U156" t="str">
            <v/>
          </cell>
          <cell r="V156" t="str">
            <v/>
          </cell>
        </row>
        <row r="157">
          <cell r="C157" t="str">
            <v/>
          </cell>
          <cell r="D157" t="str">
            <v/>
          </cell>
          <cell r="E157">
            <v>926507</v>
          </cell>
          <cell r="F157" t="str">
            <v/>
          </cell>
          <cell r="I157" t="str">
            <v/>
          </cell>
          <cell r="J157" t="str">
            <v/>
          </cell>
          <cell r="U157" t="str">
            <v/>
          </cell>
          <cell r="V157" t="str">
            <v/>
          </cell>
        </row>
        <row r="158">
          <cell r="C158" t="str">
            <v/>
          </cell>
          <cell r="D158" t="str">
            <v/>
          </cell>
          <cell r="E158">
            <v>926507</v>
          </cell>
          <cell r="F158" t="str">
            <v/>
          </cell>
          <cell r="I158" t="str">
            <v/>
          </cell>
          <cell r="J158" t="str">
            <v/>
          </cell>
          <cell r="U158" t="str">
            <v/>
          </cell>
          <cell r="V158" t="str">
            <v/>
          </cell>
        </row>
        <row r="159">
          <cell r="C159" t="str">
            <v/>
          </cell>
          <cell r="D159" t="str">
            <v/>
          </cell>
          <cell r="E159">
            <v>926507</v>
          </cell>
          <cell r="F159" t="str">
            <v/>
          </cell>
          <cell r="I159" t="str">
            <v/>
          </cell>
          <cell r="J159" t="str">
            <v/>
          </cell>
          <cell r="U159" t="str">
            <v/>
          </cell>
          <cell r="V159" t="str">
            <v/>
          </cell>
        </row>
        <row r="160">
          <cell r="C160" t="str">
            <v/>
          </cell>
          <cell r="D160" t="str">
            <v/>
          </cell>
          <cell r="E160">
            <v>926507</v>
          </cell>
          <cell r="F160" t="str">
            <v/>
          </cell>
          <cell r="I160" t="str">
            <v/>
          </cell>
          <cell r="J160" t="str">
            <v/>
          </cell>
          <cell r="U160" t="str">
            <v/>
          </cell>
          <cell r="V160" t="str">
            <v/>
          </cell>
        </row>
        <row r="161">
          <cell r="C161" t="str">
            <v/>
          </cell>
          <cell r="D161" t="str">
            <v/>
          </cell>
          <cell r="E161">
            <v>926507</v>
          </cell>
          <cell r="F161" t="str">
            <v/>
          </cell>
          <cell r="I161" t="str">
            <v/>
          </cell>
          <cell r="J161" t="str">
            <v/>
          </cell>
          <cell r="U161" t="str">
            <v/>
          </cell>
          <cell r="V161" t="str">
            <v/>
          </cell>
        </row>
        <row r="162">
          <cell r="C162" t="str">
            <v/>
          </cell>
          <cell r="D162" t="str">
            <v/>
          </cell>
          <cell r="E162">
            <v>926507</v>
          </cell>
          <cell r="F162" t="str">
            <v/>
          </cell>
          <cell r="I162" t="str">
            <v/>
          </cell>
          <cell r="J162" t="str">
            <v/>
          </cell>
          <cell r="U162" t="str">
            <v/>
          </cell>
          <cell r="V162" t="str">
            <v/>
          </cell>
        </row>
        <row r="163">
          <cell r="C163" t="str">
            <v/>
          </cell>
          <cell r="D163" t="str">
            <v/>
          </cell>
          <cell r="E163">
            <v>926507</v>
          </cell>
          <cell r="F163" t="str">
            <v/>
          </cell>
          <cell r="I163" t="str">
            <v/>
          </cell>
          <cell r="J163" t="str">
            <v/>
          </cell>
          <cell r="U163" t="str">
            <v/>
          </cell>
          <cell r="V163" t="str">
            <v/>
          </cell>
        </row>
        <row r="164">
          <cell r="C164" t="str">
            <v/>
          </cell>
          <cell r="D164" t="str">
            <v/>
          </cell>
          <cell r="E164">
            <v>926507</v>
          </cell>
          <cell r="F164" t="str">
            <v/>
          </cell>
          <cell r="I164" t="str">
            <v/>
          </cell>
          <cell r="J164" t="str">
            <v/>
          </cell>
          <cell r="U164" t="str">
            <v/>
          </cell>
          <cell r="V164" t="str">
            <v/>
          </cell>
        </row>
        <row r="165">
          <cell r="C165" t="str">
            <v/>
          </cell>
          <cell r="D165" t="str">
            <v/>
          </cell>
          <cell r="E165">
            <v>926507</v>
          </cell>
          <cell r="F165" t="str">
            <v/>
          </cell>
          <cell r="I165" t="str">
            <v/>
          </cell>
          <cell r="J165" t="str">
            <v/>
          </cell>
          <cell r="U165" t="str">
            <v/>
          </cell>
          <cell r="V165" t="str">
            <v/>
          </cell>
        </row>
        <row r="166">
          <cell r="C166" t="str">
            <v/>
          </cell>
          <cell r="D166" t="str">
            <v/>
          </cell>
          <cell r="E166">
            <v>926507</v>
          </cell>
          <cell r="F166" t="str">
            <v/>
          </cell>
          <cell r="I166" t="str">
            <v/>
          </cell>
          <cell r="J166" t="str">
            <v/>
          </cell>
          <cell r="U166" t="str">
            <v/>
          </cell>
          <cell r="V166" t="str">
            <v/>
          </cell>
        </row>
        <row r="167">
          <cell r="C167" t="str">
            <v/>
          </cell>
          <cell r="D167" t="str">
            <v/>
          </cell>
          <cell r="E167">
            <v>926507</v>
          </cell>
          <cell r="F167" t="str">
            <v/>
          </cell>
          <cell r="I167" t="str">
            <v/>
          </cell>
          <cell r="J167" t="str">
            <v/>
          </cell>
          <cell r="U167" t="str">
            <v/>
          </cell>
          <cell r="V167" t="str">
            <v/>
          </cell>
        </row>
        <row r="168">
          <cell r="C168" t="str">
            <v/>
          </cell>
          <cell r="D168" t="str">
            <v/>
          </cell>
          <cell r="E168">
            <v>926507</v>
          </cell>
          <cell r="F168" t="str">
            <v/>
          </cell>
          <cell r="I168" t="str">
            <v/>
          </cell>
          <cell r="J168" t="str">
            <v/>
          </cell>
          <cell r="U168" t="str">
            <v/>
          </cell>
          <cell r="V168" t="str">
            <v/>
          </cell>
        </row>
        <row r="169">
          <cell r="C169" t="str">
            <v/>
          </cell>
          <cell r="D169" t="str">
            <v/>
          </cell>
          <cell r="E169">
            <v>926507</v>
          </cell>
          <cell r="F169" t="str">
            <v/>
          </cell>
          <cell r="I169" t="str">
            <v/>
          </cell>
          <cell r="J169" t="str">
            <v/>
          </cell>
          <cell r="U169" t="str">
            <v/>
          </cell>
          <cell r="V169" t="str">
            <v/>
          </cell>
        </row>
        <row r="170">
          <cell r="C170" t="str">
            <v/>
          </cell>
          <cell r="D170" t="str">
            <v/>
          </cell>
          <cell r="E170">
            <v>926507</v>
          </cell>
          <cell r="F170" t="str">
            <v/>
          </cell>
          <cell r="I170" t="str">
            <v/>
          </cell>
          <cell r="J170" t="str">
            <v/>
          </cell>
          <cell r="U170" t="str">
            <v/>
          </cell>
          <cell r="V170" t="str">
            <v/>
          </cell>
        </row>
        <row r="171">
          <cell r="C171" t="str">
            <v/>
          </cell>
          <cell r="D171" t="str">
            <v/>
          </cell>
          <cell r="E171">
            <v>926507</v>
          </cell>
          <cell r="F171" t="str">
            <v/>
          </cell>
          <cell r="I171" t="str">
            <v/>
          </cell>
          <cell r="J171" t="str">
            <v/>
          </cell>
          <cell r="U171" t="str">
            <v/>
          </cell>
          <cell r="V171" t="str">
            <v/>
          </cell>
        </row>
        <row r="172">
          <cell r="C172" t="str">
            <v/>
          </cell>
          <cell r="D172" t="str">
            <v/>
          </cell>
          <cell r="E172">
            <v>926507</v>
          </cell>
          <cell r="F172" t="str">
            <v/>
          </cell>
          <cell r="I172" t="str">
            <v/>
          </cell>
          <cell r="J172" t="str">
            <v/>
          </cell>
          <cell r="U172" t="str">
            <v/>
          </cell>
          <cell r="V172" t="str">
            <v/>
          </cell>
        </row>
        <row r="173">
          <cell r="C173" t="str">
            <v/>
          </cell>
          <cell r="D173" t="str">
            <v/>
          </cell>
          <cell r="E173">
            <v>926507</v>
          </cell>
          <cell r="F173" t="str">
            <v/>
          </cell>
          <cell r="I173" t="str">
            <v/>
          </cell>
          <cell r="J173" t="str">
            <v/>
          </cell>
          <cell r="U173" t="str">
            <v/>
          </cell>
          <cell r="V173" t="str">
            <v/>
          </cell>
        </row>
        <row r="174">
          <cell r="C174" t="str">
            <v/>
          </cell>
          <cell r="D174" t="str">
            <v/>
          </cell>
          <cell r="E174">
            <v>926507</v>
          </cell>
          <cell r="F174" t="str">
            <v/>
          </cell>
          <cell r="I174" t="str">
            <v/>
          </cell>
          <cell r="J174" t="str">
            <v/>
          </cell>
          <cell r="U174" t="str">
            <v/>
          </cell>
          <cell r="V174" t="str">
            <v/>
          </cell>
        </row>
        <row r="175">
          <cell r="C175" t="str">
            <v/>
          </cell>
          <cell r="D175" t="str">
            <v/>
          </cell>
          <cell r="E175">
            <v>926507</v>
          </cell>
          <cell r="F175" t="str">
            <v/>
          </cell>
          <cell r="I175" t="str">
            <v/>
          </cell>
          <cell r="J175" t="str">
            <v/>
          </cell>
          <cell r="U175" t="str">
            <v/>
          </cell>
          <cell r="V175" t="str">
            <v/>
          </cell>
        </row>
        <row r="176">
          <cell r="C176" t="str">
            <v/>
          </cell>
          <cell r="D176" t="str">
            <v/>
          </cell>
          <cell r="E176">
            <v>926507</v>
          </cell>
          <cell r="F176" t="str">
            <v/>
          </cell>
          <cell r="I176" t="str">
            <v/>
          </cell>
          <cell r="J176" t="str">
            <v/>
          </cell>
          <cell r="U176" t="str">
            <v/>
          </cell>
          <cell r="V176" t="str">
            <v/>
          </cell>
        </row>
        <row r="177">
          <cell r="C177" t="str">
            <v/>
          </cell>
          <cell r="D177" t="str">
            <v/>
          </cell>
          <cell r="E177">
            <v>926507</v>
          </cell>
          <cell r="F177" t="str">
            <v/>
          </cell>
          <cell r="I177" t="str">
            <v/>
          </cell>
          <cell r="J177" t="str">
            <v/>
          </cell>
          <cell r="U177" t="str">
            <v/>
          </cell>
          <cell r="V177" t="str">
            <v/>
          </cell>
        </row>
        <row r="178">
          <cell r="C178" t="str">
            <v/>
          </cell>
          <cell r="D178" t="str">
            <v/>
          </cell>
          <cell r="E178">
            <v>926507</v>
          </cell>
          <cell r="F178" t="str">
            <v/>
          </cell>
          <cell r="I178" t="str">
            <v/>
          </cell>
          <cell r="J178" t="str">
            <v/>
          </cell>
          <cell r="U178" t="str">
            <v/>
          </cell>
          <cell r="V178" t="str">
            <v/>
          </cell>
        </row>
        <row r="179">
          <cell r="C179" t="str">
            <v/>
          </cell>
          <cell r="D179" t="str">
            <v/>
          </cell>
          <cell r="E179">
            <v>926507</v>
          </cell>
          <cell r="F179" t="str">
            <v/>
          </cell>
          <cell r="I179" t="str">
            <v/>
          </cell>
          <cell r="J179" t="str">
            <v/>
          </cell>
          <cell r="U179" t="str">
            <v/>
          </cell>
          <cell r="V179" t="str">
            <v/>
          </cell>
        </row>
        <row r="180">
          <cell r="C180" t="str">
            <v/>
          </cell>
          <cell r="D180" t="str">
            <v/>
          </cell>
          <cell r="E180">
            <v>926507</v>
          </cell>
          <cell r="F180" t="str">
            <v/>
          </cell>
          <cell r="I180" t="str">
            <v/>
          </cell>
          <cell r="J180" t="str">
            <v/>
          </cell>
          <cell r="U180" t="str">
            <v/>
          </cell>
          <cell r="V180" t="str">
            <v/>
          </cell>
        </row>
        <row r="181">
          <cell r="C181" t="str">
            <v/>
          </cell>
          <cell r="D181" t="str">
            <v/>
          </cell>
          <cell r="E181">
            <v>926507</v>
          </cell>
          <cell r="F181" t="str">
            <v/>
          </cell>
          <cell r="I181" t="str">
            <v/>
          </cell>
          <cell r="J181" t="str">
            <v/>
          </cell>
          <cell r="U181" t="str">
            <v/>
          </cell>
          <cell r="V181" t="str">
            <v/>
          </cell>
        </row>
        <row r="182">
          <cell r="C182" t="str">
            <v/>
          </cell>
          <cell r="D182" t="str">
            <v/>
          </cell>
          <cell r="E182">
            <v>926507</v>
          </cell>
          <cell r="F182" t="str">
            <v/>
          </cell>
          <cell r="I182" t="str">
            <v/>
          </cell>
          <cell r="J182" t="str">
            <v/>
          </cell>
          <cell r="U182" t="str">
            <v/>
          </cell>
          <cell r="V182" t="str">
            <v/>
          </cell>
        </row>
        <row r="183">
          <cell r="C183" t="str">
            <v/>
          </cell>
          <cell r="D183" t="str">
            <v/>
          </cell>
          <cell r="E183">
            <v>926507</v>
          </cell>
          <cell r="F183" t="str">
            <v/>
          </cell>
          <cell r="I183" t="str">
            <v/>
          </cell>
          <cell r="J183" t="str">
            <v/>
          </cell>
          <cell r="U183" t="str">
            <v/>
          </cell>
          <cell r="V183" t="str">
            <v/>
          </cell>
        </row>
        <row r="184">
          <cell r="C184" t="str">
            <v/>
          </cell>
          <cell r="D184" t="str">
            <v/>
          </cell>
          <cell r="E184">
            <v>926507</v>
          </cell>
          <cell r="F184" t="str">
            <v/>
          </cell>
          <cell r="I184" t="str">
            <v/>
          </cell>
          <cell r="J184" t="str">
            <v/>
          </cell>
          <cell r="U184" t="str">
            <v/>
          </cell>
          <cell r="V184" t="str">
            <v/>
          </cell>
        </row>
        <row r="185">
          <cell r="C185" t="str">
            <v/>
          </cell>
          <cell r="D185" t="str">
            <v/>
          </cell>
          <cell r="E185">
            <v>926507</v>
          </cell>
          <cell r="F185" t="str">
            <v/>
          </cell>
          <cell r="I185" t="str">
            <v/>
          </cell>
          <cell r="J185" t="str">
            <v/>
          </cell>
          <cell r="U185" t="str">
            <v/>
          </cell>
          <cell r="V185" t="str">
            <v/>
          </cell>
        </row>
        <row r="186">
          <cell r="C186" t="str">
            <v/>
          </cell>
          <cell r="D186" t="str">
            <v/>
          </cell>
          <cell r="E186">
            <v>926507</v>
          </cell>
          <cell r="F186" t="str">
            <v/>
          </cell>
          <cell r="I186" t="str">
            <v/>
          </cell>
          <cell r="J186" t="str">
            <v/>
          </cell>
          <cell r="U186" t="str">
            <v/>
          </cell>
          <cell r="V186" t="str">
            <v/>
          </cell>
        </row>
        <row r="187">
          <cell r="C187" t="str">
            <v/>
          </cell>
          <cell r="D187" t="str">
            <v/>
          </cell>
          <cell r="E187">
            <v>926507</v>
          </cell>
          <cell r="F187" t="str">
            <v/>
          </cell>
          <cell r="I187" t="str">
            <v/>
          </cell>
          <cell r="J187" t="str">
            <v/>
          </cell>
          <cell r="U187" t="str">
            <v/>
          </cell>
          <cell r="V187" t="str">
            <v/>
          </cell>
        </row>
        <row r="188">
          <cell r="C188" t="str">
            <v/>
          </cell>
          <cell r="D188" t="str">
            <v/>
          </cell>
          <cell r="E188">
            <v>926507</v>
          </cell>
          <cell r="F188" t="str">
            <v/>
          </cell>
          <cell r="I188" t="str">
            <v/>
          </cell>
          <cell r="J188" t="str">
            <v/>
          </cell>
          <cell r="U188" t="str">
            <v/>
          </cell>
          <cell r="V188" t="str">
            <v/>
          </cell>
        </row>
        <row r="189">
          <cell r="C189" t="str">
            <v/>
          </cell>
          <cell r="D189" t="str">
            <v/>
          </cell>
          <cell r="E189">
            <v>926507</v>
          </cell>
          <cell r="F189" t="str">
            <v/>
          </cell>
          <cell r="I189" t="str">
            <v/>
          </cell>
          <cell r="J189" t="str">
            <v/>
          </cell>
          <cell r="U189" t="str">
            <v/>
          </cell>
          <cell r="V189" t="str">
            <v/>
          </cell>
        </row>
        <row r="190">
          <cell r="C190" t="str">
            <v/>
          </cell>
          <cell r="D190" t="str">
            <v/>
          </cell>
          <cell r="E190">
            <v>926507</v>
          </cell>
          <cell r="F190" t="str">
            <v/>
          </cell>
          <cell r="I190" t="str">
            <v/>
          </cell>
          <cell r="J190" t="str">
            <v/>
          </cell>
          <cell r="U190" t="str">
            <v/>
          </cell>
          <cell r="V190" t="str">
            <v/>
          </cell>
        </row>
        <row r="191">
          <cell r="C191" t="str">
            <v/>
          </cell>
          <cell r="D191" t="str">
            <v/>
          </cell>
          <cell r="E191">
            <v>926507</v>
          </cell>
          <cell r="F191" t="str">
            <v/>
          </cell>
          <cell r="I191" t="str">
            <v/>
          </cell>
          <cell r="J191" t="str">
            <v/>
          </cell>
          <cell r="U191" t="str">
            <v/>
          </cell>
          <cell r="V191" t="str">
            <v/>
          </cell>
        </row>
        <row r="192">
          <cell r="C192" t="str">
            <v/>
          </cell>
          <cell r="D192" t="str">
            <v/>
          </cell>
          <cell r="E192">
            <v>926507</v>
          </cell>
          <cell r="F192" t="str">
            <v/>
          </cell>
          <cell r="I192" t="str">
            <v/>
          </cell>
          <cell r="J192" t="str">
            <v/>
          </cell>
          <cell r="U192" t="str">
            <v/>
          </cell>
          <cell r="V192" t="str">
            <v/>
          </cell>
        </row>
        <row r="193">
          <cell r="C193" t="str">
            <v/>
          </cell>
          <cell r="D193" t="str">
            <v/>
          </cell>
          <cell r="E193">
            <v>926507</v>
          </cell>
          <cell r="F193" t="str">
            <v/>
          </cell>
          <cell r="I193" t="str">
            <v/>
          </cell>
          <cell r="J193" t="str">
            <v/>
          </cell>
          <cell r="U193" t="str">
            <v/>
          </cell>
          <cell r="V193" t="str">
            <v/>
          </cell>
        </row>
        <row r="194">
          <cell r="C194" t="str">
            <v/>
          </cell>
          <cell r="D194" t="str">
            <v/>
          </cell>
          <cell r="E194">
            <v>926507</v>
          </cell>
          <cell r="F194" t="str">
            <v/>
          </cell>
          <cell r="I194" t="str">
            <v/>
          </cell>
          <cell r="J194" t="str">
            <v/>
          </cell>
          <cell r="U194" t="str">
            <v/>
          </cell>
          <cell r="V194" t="str">
            <v/>
          </cell>
        </row>
        <row r="195">
          <cell r="C195" t="str">
            <v/>
          </cell>
          <cell r="D195" t="str">
            <v/>
          </cell>
          <cell r="E195">
            <v>926507</v>
          </cell>
          <cell r="F195" t="str">
            <v/>
          </cell>
          <cell r="I195" t="str">
            <v/>
          </cell>
          <cell r="J195" t="str">
            <v/>
          </cell>
          <cell r="U195" t="str">
            <v/>
          </cell>
          <cell r="V195" t="str">
            <v/>
          </cell>
        </row>
        <row r="196">
          <cell r="C196" t="str">
            <v/>
          </cell>
          <cell r="D196" t="str">
            <v/>
          </cell>
          <cell r="E196">
            <v>926507</v>
          </cell>
          <cell r="F196" t="str">
            <v/>
          </cell>
          <cell r="I196" t="str">
            <v/>
          </cell>
          <cell r="J196" t="str">
            <v/>
          </cell>
          <cell r="U196" t="str">
            <v/>
          </cell>
          <cell r="V196" t="str">
            <v/>
          </cell>
        </row>
        <row r="197">
          <cell r="C197" t="str">
            <v/>
          </cell>
          <cell r="D197" t="str">
            <v/>
          </cell>
          <cell r="E197">
            <v>926507</v>
          </cell>
          <cell r="F197" t="str">
            <v/>
          </cell>
          <cell r="I197" t="str">
            <v/>
          </cell>
          <cell r="J197" t="str">
            <v/>
          </cell>
          <cell r="U197" t="str">
            <v/>
          </cell>
          <cell r="V197" t="str">
            <v/>
          </cell>
        </row>
        <row r="198">
          <cell r="C198" t="str">
            <v/>
          </cell>
          <cell r="D198" t="str">
            <v/>
          </cell>
          <cell r="E198">
            <v>926507</v>
          </cell>
          <cell r="F198" t="str">
            <v/>
          </cell>
          <cell r="I198" t="str">
            <v/>
          </cell>
          <cell r="J198" t="str">
            <v/>
          </cell>
          <cell r="U198" t="str">
            <v/>
          </cell>
          <cell r="V198" t="str">
            <v/>
          </cell>
        </row>
        <row r="199">
          <cell r="C199" t="str">
            <v/>
          </cell>
          <cell r="D199" t="str">
            <v/>
          </cell>
          <cell r="E199">
            <v>926507</v>
          </cell>
          <cell r="F199" t="str">
            <v/>
          </cell>
          <cell r="I199" t="str">
            <v/>
          </cell>
          <cell r="J199" t="str">
            <v/>
          </cell>
          <cell r="U199" t="str">
            <v/>
          </cell>
          <cell r="V199" t="str">
            <v/>
          </cell>
        </row>
        <row r="200">
          <cell r="C200" t="str">
            <v/>
          </cell>
          <cell r="D200" t="str">
            <v/>
          </cell>
          <cell r="E200">
            <v>926507</v>
          </cell>
          <cell r="F200" t="str">
            <v/>
          </cell>
          <cell r="I200" t="str">
            <v/>
          </cell>
          <cell r="J200" t="str">
            <v/>
          </cell>
          <cell r="U200" t="str">
            <v/>
          </cell>
          <cell r="V200" t="str">
            <v/>
          </cell>
        </row>
        <row r="201">
          <cell r="C201" t="str">
            <v/>
          </cell>
          <cell r="D201" t="str">
            <v/>
          </cell>
          <cell r="E201">
            <v>926507</v>
          </cell>
          <cell r="F201" t="str">
            <v/>
          </cell>
          <cell r="I201" t="str">
            <v/>
          </cell>
          <cell r="J201" t="str">
            <v/>
          </cell>
          <cell r="U201" t="str">
            <v/>
          </cell>
          <cell r="V201" t="str">
            <v/>
          </cell>
        </row>
        <row r="202">
          <cell r="C202" t="str">
            <v/>
          </cell>
          <cell r="D202" t="str">
            <v/>
          </cell>
          <cell r="E202">
            <v>926507</v>
          </cell>
          <cell r="F202" t="str">
            <v/>
          </cell>
          <cell r="I202" t="str">
            <v/>
          </cell>
          <cell r="J202" t="str">
            <v/>
          </cell>
          <cell r="U202" t="str">
            <v/>
          </cell>
          <cell r="V202" t="str">
            <v/>
          </cell>
        </row>
        <row r="203">
          <cell r="C203" t="str">
            <v/>
          </cell>
          <cell r="D203" t="str">
            <v/>
          </cell>
          <cell r="E203">
            <v>926507</v>
          </cell>
          <cell r="F203" t="str">
            <v/>
          </cell>
          <cell r="I203" t="str">
            <v/>
          </cell>
          <cell r="J203" t="str">
            <v/>
          </cell>
          <cell r="U203" t="str">
            <v/>
          </cell>
          <cell r="V203" t="str">
            <v/>
          </cell>
        </row>
        <row r="204">
          <cell r="C204" t="str">
            <v/>
          </cell>
          <cell r="D204" t="str">
            <v/>
          </cell>
          <cell r="E204">
            <v>926507</v>
          </cell>
          <cell r="F204" t="str">
            <v/>
          </cell>
          <cell r="I204" t="str">
            <v/>
          </cell>
          <cell r="J204" t="str">
            <v/>
          </cell>
          <cell r="U204" t="str">
            <v/>
          </cell>
          <cell r="V204" t="str">
            <v/>
          </cell>
        </row>
        <row r="205">
          <cell r="C205" t="str">
            <v/>
          </cell>
          <cell r="D205" t="str">
            <v/>
          </cell>
          <cell r="E205">
            <v>926507</v>
          </cell>
          <cell r="F205" t="str">
            <v/>
          </cell>
          <cell r="I205" t="str">
            <v/>
          </cell>
          <cell r="J205" t="str">
            <v/>
          </cell>
          <cell r="U205" t="str">
            <v/>
          </cell>
          <cell r="V205" t="str">
            <v/>
          </cell>
        </row>
        <row r="206">
          <cell r="C206" t="str">
            <v/>
          </cell>
          <cell r="D206" t="str">
            <v/>
          </cell>
          <cell r="E206">
            <v>926507</v>
          </cell>
          <cell r="F206" t="str">
            <v/>
          </cell>
          <cell r="I206" t="str">
            <v/>
          </cell>
          <cell r="J206" t="str">
            <v/>
          </cell>
          <cell r="U206" t="str">
            <v/>
          </cell>
          <cell r="V206" t="str">
            <v/>
          </cell>
        </row>
        <row r="207">
          <cell r="C207" t="str">
            <v/>
          </cell>
          <cell r="D207" t="str">
            <v/>
          </cell>
          <cell r="E207">
            <v>926507</v>
          </cell>
          <cell r="F207" t="str">
            <v/>
          </cell>
          <cell r="I207" t="str">
            <v/>
          </cell>
          <cell r="J207" t="str">
            <v/>
          </cell>
          <cell r="U207" t="str">
            <v/>
          </cell>
          <cell r="V207" t="str">
            <v/>
          </cell>
        </row>
        <row r="208">
          <cell r="C208" t="str">
            <v/>
          </cell>
          <cell r="D208" t="str">
            <v/>
          </cell>
          <cell r="E208">
            <v>926507</v>
          </cell>
          <cell r="F208" t="str">
            <v/>
          </cell>
          <cell r="I208" t="str">
            <v/>
          </cell>
          <cell r="J208" t="str">
            <v/>
          </cell>
          <cell r="U208" t="str">
            <v/>
          </cell>
          <cell r="V208" t="str">
            <v/>
          </cell>
        </row>
        <row r="209">
          <cell r="C209" t="str">
            <v/>
          </cell>
          <cell r="D209" t="str">
            <v/>
          </cell>
          <cell r="E209">
            <v>926507</v>
          </cell>
          <cell r="F209" t="str">
            <v/>
          </cell>
          <cell r="I209" t="str">
            <v/>
          </cell>
          <cell r="J209" t="str">
            <v/>
          </cell>
          <cell r="U209" t="str">
            <v/>
          </cell>
          <cell r="V209" t="str">
            <v/>
          </cell>
        </row>
        <row r="210">
          <cell r="C210" t="str">
            <v/>
          </cell>
          <cell r="D210" t="str">
            <v/>
          </cell>
          <cell r="E210">
            <v>926507</v>
          </cell>
          <cell r="F210" t="str">
            <v/>
          </cell>
          <cell r="I210" t="str">
            <v/>
          </cell>
          <cell r="J210" t="str">
            <v/>
          </cell>
          <cell r="U210" t="str">
            <v/>
          </cell>
          <cell r="V210" t="str">
            <v/>
          </cell>
        </row>
        <row r="211">
          <cell r="C211" t="str">
            <v/>
          </cell>
          <cell r="D211" t="str">
            <v/>
          </cell>
          <cell r="E211">
            <v>926507</v>
          </cell>
          <cell r="F211" t="str">
            <v/>
          </cell>
          <cell r="I211" t="str">
            <v/>
          </cell>
          <cell r="J211" t="str">
            <v/>
          </cell>
          <cell r="U211" t="str">
            <v/>
          </cell>
          <cell r="V211" t="str">
            <v/>
          </cell>
        </row>
        <row r="212">
          <cell r="C212" t="str">
            <v/>
          </cell>
          <cell r="D212" t="str">
            <v/>
          </cell>
          <cell r="E212">
            <v>926507</v>
          </cell>
          <cell r="F212" t="str">
            <v/>
          </cell>
          <cell r="I212" t="str">
            <v/>
          </cell>
          <cell r="J212" t="str">
            <v/>
          </cell>
          <cell r="U212" t="str">
            <v/>
          </cell>
          <cell r="V212" t="str">
            <v/>
          </cell>
        </row>
        <row r="213">
          <cell r="C213" t="str">
            <v/>
          </cell>
          <cell r="D213" t="str">
            <v/>
          </cell>
          <cell r="E213">
            <v>926507</v>
          </cell>
          <cell r="F213" t="str">
            <v/>
          </cell>
          <cell r="I213" t="str">
            <v/>
          </cell>
          <cell r="J213" t="str">
            <v/>
          </cell>
          <cell r="U213" t="str">
            <v/>
          </cell>
          <cell r="V213" t="str">
            <v/>
          </cell>
        </row>
        <row r="214">
          <cell r="C214" t="str">
            <v/>
          </cell>
          <cell r="D214" t="str">
            <v/>
          </cell>
          <cell r="E214">
            <v>926507</v>
          </cell>
          <cell r="F214" t="str">
            <v/>
          </cell>
          <cell r="I214" t="str">
            <v/>
          </cell>
          <cell r="J214" t="str">
            <v/>
          </cell>
          <cell r="U214" t="str">
            <v/>
          </cell>
          <cell r="V214" t="str">
            <v/>
          </cell>
        </row>
        <row r="215">
          <cell r="C215" t="str">
            <v/>
          </cell>
          <cell r="D215" t="str">
            <v/>
          </cell>
          <cell r="E215">
            <v>926507</v>
          </cell>
          <cell r="F215" t="str">
            <v/>
          </cell>
          <cell r="I215" t="str">
            <v/>
          </cell>
          <cell r="J215" t="str">
            <v/>
          </cell>
          <cell r="U215" t="str">
            <v/>
          </cell>
          <cell r="V215" t="str">
            <v/>
          </cell>
        </row>
        <row r="216">
          <cell r="C216" t="str">
            <v/>
          </cell>
          <cell r="D216" t="str">
            <v/>
          </cell>
          <cell r="E216">
            <v>926507</v>
          </cell>
          <cell r="F216" t="str">
            <v/>
          </cell>
          <cell r="I216" t="str">
            <v/>
          </cell>
          <cell r="J216" t="str">
            <v/>
          </cell>
          <cell r="U216" t="str">
            <v/>
          </cell>
          <cell r="V216" t="str">
            <v/>
          </cell>
        </row>
        <row r="217">
          <cell r="C217" t="str">
            <v/>
          </cell>
          <cell r="D217" t="str">
            <v/>
          </cell>
          <cell r="E217">
            <v>926507</v>
          </cell>
          <cell r="F217" t="str">
            <v/>
          </cell>
          <cell r="I217" t="str">
            <v/>
          </cell>
          <cell r="J217" t="str">
            <v/>
          </cell>
          <cell r="U217" t="str">
            <v/>
          </cell>
          <cell r="V217" t="str">
            <v/>
          </cell>
        </row>
        <row r="218">
          <cell r="C218" t="str">
            <v/>
          </cell>
          <cell r="D218" t="str">
            <v/>
          </cell>
          <cell r="E218">
            <v>926507</v>
          </cell>
          <cell r="F218" t="str">
            <v/>
          </cell>
          <cell r="I218" t="str">
            <v/>
          </cell>
          <cell r="J218" t="str">
            <v/>
          </cell>
          <cell r="U218" t="str">
            <v/>
          </cell>
          <cell r="V218" t="str">
            <v/>
          </cell>
        </row>
        <row r="219">
          <cell r="C219" t="str">
            <v/>
          </cell>
          <cell r="D219" t="str">
            <v/>
          </cell>
          <cell r="E219">
            <v>926507</v>
          </cell>
          <cell r="F219" t="str">
            <v/>
          </cell>
          <cell r="I219" t="str">
            <v/>
          </cell>
          <cell r="J219" t="str">
            <v/>
          </cell>
          <cell r="U219" t="str">
            <v/>
          </cell>
          <cell r="V219" t="str">
            <v/>
          </cell>
        </row>
        <row r="220">
          <cell r="C220" t="str">
            <v/>
          </cell>
          <cell r="D220" t="str">
            <v/>
          </cell>
          <cell r="E220">
            <v>926507</v>
          </cell>
          <cell r="F220" t="str">
            <v/>
          </cell>
          <cell r="I220" t="str">
            <v/>
          </cell>
          <cell r="J220" t="str">
            <v/>
          </cell>
          <cell r="U220" t="str">
            <v/>
          </cell>
          <cell r="V220" t="str">
            <v/>
          </cell>
        </row>
        <row r="221">
          <cell r="C221" t="str">
            <v/>
          </cell>
          <cell r="D221" t="str">
            <v/>
          </cell>
          <cell r="E221">
            <v>926507</v>
          </cell>
          <cell r="F221" t="str">
            <v/>
          </cell>
          <cell r="I221" t="str">
            <v/>
          </cell>
          <cell r="J221" t="str">
            <v/>
          </cell>
          <cell r="U221" t="str">
            <v/>
          </cell>
          <cell r="V221" t="str">
            <v/>
          </cell>
        </row>
        <row r="222">
          <cell r="C222" t="str">
            <v/>
          </cell>
          <cell r="D222" t="str">
            <v/>
          </cell>
          <cell r="E222">
            <v>926507</v>
          </cell>
          <cell r="F222" t="str">
            <v/>
          </cell>
          <cell r="I222" t="str">
            <v/>
          </cell>
          <cell r="J222" t="str">
            <v/>
          </cell>
          <cell r="U222" t="str">
            <v/>
          </cell>
          <cell r="V222" t="str">
            <v/>
          </cell>
        </row>
        <row r="223">
          <cell r="C223" t="str">
            <v/>
          </cell>
          <cell r="D223" t="str">
            <v/>
          </cell>
          <cell r="E223">
            <v>926507</v>
          </cell>
          <cell r="F223" t="str">
            <v/>
          </cell>
          <cell r="I223" t="str">
            <v/>
          </cell>
          <cell r="J223" t="str">
            <v/>
          </cell>
          <cell r="U223" t="str">
            <v/>
          </cell>
          <cell r="V223" t="str">
            <v/>
          </cell>
        </row>
        <row r="224">
          <cell r="C224" t="str">
            <v/>
          </cell>
          <cell r="D224" t="str">
            <v/>
          </cell>
          <cell r="E224">
            <v>926507</v>
          </cell>
          <cell r="F224" t="str">
            <v/>
          </cell>
          <cell r="I224" t="str">
            <v/>
          </cell>
          <cell r="J224" t="str">
            <v/>
          </cell>
          <cell r="U224" t="str">
            <v/>
          </cell>
          <cell r="V224" t="str">
            <v/>
          </cell>
        </row>
        <row r="225">
          <cell r="C225" t="str">
            <v/>
          </cell>
          <cell r="D225" t="str">
            <v/>
          </cell>
          <cell r="E225">
            <v>926507</v>
          </cell>
          <cell r="F225" t="str">
            <v/>
          </cell>
          <cell r="I225" t="str">
            <v/>
          </cell>
          <cell r="J225" t="str">
            <v/>
          </cell>
          <cell r="U225" t="str">
            <v/>
          </cell>
          <cell r="V225" t="str">
            <v/>
          </cell>
        </row>
        <row r="226">
          <cell r="C226" t="str">
            <v/>
          </cell>
          <cell r="D226" t="str">
            <v/>
          </cell>
          <cell r="E226">
            <v>926507</v>
          </cell>
          <cell r="F226" t="str">
            <v/>
          </cell>
          <cell r="I226" t="str">
            <v/>
          </cell>
          <cell r="J226" t="str">
            <v/>
          </cell>
          <cell r="U226" t="str">
            <v/>
          </cell>
          <cell r="V226" t="str">
            <v/>
          </cell>
        </row>
        <row r="227">
          <cell r="C227" t="str">
            <v/>
          </cell>
          <cell r="D227" t="str">
            <v/>
          </cell>
          <cell r="E227">
            <v>926507</v>
          </cell>
          <cell r="F227" t="str">
            <v/>
          </cell>
          <cell r="I227" t="str">
            <v/>
          </cell>
          <cell r="J227" t="str">
            <v/>
          </cell>
          <cell r="U227" t="str">
            <v/>
          </cell>
          <cell r="V227" t="str">
            <v/>
          </cell>
        </row>
        <row r="228">
          <cell r="C228" t="str">
            <v/>
          </cell>
          <cell r="D228" t="str">
            <v/>
          </cell>
          <cell r="E228">
            <v>926507</v>
          </cell>
          <cell r="F228" t="str">
            <v/>
          </cell>
          <cell r="I228" t="str">
            <v/>
          </cell>
          <cell r="J228" t="str">
            <v/>
          </cell>
          <cell r="U228" t="str">
            <v/>
          </cell>
          <cell r="V228" t="str">
            <v/>
          </cell>
        </row>
        <row r="229">
          <cell r="C229" t="str">
            <v/>
          </cell>
          <cell r="D229" t="str">
            <v/>
          </cell>
          <cell r="E229">
            <v>926507</v>
          </cell>
          <cell r="F229" t="str">
            <v/>
          </cell>
          <cell r="I229" t="str">
            <v/>
          </cell>
          <cell r="J229" t="str">
            <v/>
          </cell>
          <cell r="U229" t="str">
            <v/>
          </cell>
          <cell r="V229" t="str">
            <v/>
          </cell>
        </row>
        <row r="230">
          <cell r="C230" t="str">
            <v/>
          </cell>
          <cell r="D230" t="str">
            <v/>
          </cell>
          <cell r="E230">
            <v>926507</v>
          </cell>
          <cell r="F230" t="str">
            <v/>
          </cell>
          <cell r="I230" t="str">
            <v/>
          </cell>
          <cell r="J230" t="str">
            <v/>
          </cell>
          <cell r="U230" t="str">
            <v/>
          </cell>
          <cell r="V230" t="str">
            <v/>
          </cell>
        </row>
        <row r="231">
          <cell r="C231" t="str">
            <v/>
          </cell>
          <cell r="D231" t="str">
            <v/>
          </cell>
          <cell r="E231">
            <v>926507</v>
          </cell>
          <cell r="F231" t="str">
            <v/>
          </cell>
          <cell r="I231" t="str">
            <v/>
          </cell>
          <cell r="J231" t="str">
            <v/>
          </cell>
          <cell r="U231" t="str">
            <v/>
          </cell>
          <cell r="V231" t="str">
            <v/>
          </cell>
        </row>
        <row r="232">
          <cell r="C232" t="str">
            <v/>
          </cell>
          <cell r="D232" t="str">
            <v/>
          </cell>
          <cell r="E232">
            <v>926507</v>
          </cell>
          <cell r="F232" t="str">
            <v/>
          </cell>
          <cell r="I232" t="str">
            <v/>
          </cell>
          <cell r="J232" t="str">
            <v/>
          </cell>
          <cell r="U232" t="str">
            <v/>
          </cell>
          <cell r="V232" t="str">
            <v/>
          </cell>
        </row>
        <row r="233">
          <cell r="C233" t="str">
            <v/>
          </cell>
          <cell r="D233" t="str">
            <v/>
          </cell>
          <cell r="E233">
            <v>926507</v>
          </cell>
          <cell r="F233" t="str">
            <v/>
          </cell>
          <cell r="I233" t="str">
            <v/>
          </cell>
          <cell r="J233" t="str">
            <v/>
          </cell>
          <cell r="U233" t="str">
            <v/>
          </cell>
          <cell r="V233" t="str">
            <v/>
          </cell>
        </row>
        <row r="234">
          <cell r="C234" t="str">
            <v/>
          </cell>
          <cell r="D234" t="str">
            <v/>
          </cell>
          <cell r="E234">
            <v>926507</v>
          </cell>
          <cell r="F234" t="str">
            <v/>
          </cell>
          <cell r="I234" t="str">
            <v/>
          </cell>
          <cell r="J234" t="str">
            <v/>
          </cell>
          <cell r="U234" t="str">
            <v/>
          </cell>
          <cell r="V234" t="str">
            <v/>
          </cell>
        </row>
        <row r="235">
          <cell r="C235" t="str">
            <v/>
          </cell>
          <cell r="D235" t="str">
            <v/>
          </cell>
          <cell r="E235">
            <v>926507</v>
          </cell>
          <cell r="F235" t="str">
            <v/>
          </cell>
          <cell r="I235" t="str">
            <v/>
          </cell>
          <cell r="J235" t="str">
            <v/>
          </cell>
          <cell r="U235" t="str">
            <v/>
          </cell>
          <cell r="V235" t="str">
            <v/>
          </cell>
        </row>
        <row r="236">
          <cell r="C236" t="str">
            <v/>
          </cell>
          <cell r="D236" t="str">
            <v/>
          </cell>
          <cell r="E236">
            <v>926507</v>
          </cell>
          <cell r="F236" t="str">
            <v/>
          </cell>
          <cell r="I236" t="str">
            <v/>
          </cell>
          <cell r="J236" t="str">
            <v/>
          </cell>
          <cell r="U236" t="str">
            <v/>
          </cell>
          <cell r="V236" t="str">
            <v/>
          </cell>
        </row>
        <row r="237">
          <cell r="C237" t="str">
            <v/>
          </cell>
          <cell r="D237" t="str">
            <v/>
          </cell>
          <cell r="E237">
            <v>926507</v>
          </cell>
          <cell r="F237" t="str">
            <v/>
          </cell>
          <cell r="I237" t="str">
            <v/>
          </cell>
          <cell r="J237" t="str">
            <v/>
          </cell>
          <cell r="U237" t="str">
            <v/>
          </cell>
          <cell r="V237" t="str">
            <v/>
          </cell>
        </row>
        <row r="238">
          <cell r="C238" t="str">
            <v/>
          </cell>
          <cell r="D238" t="str">
            <v/>
          </cell>
          <cell r="E238">
            <v>926507</v>
          </cell>
          <cell r="F238" t="str">
            <v/>
          </cell>
          <cell r="I238" t="str">
            <v/>
          </cell>
          <cell r="J238" t="str">
            <v/>
          </cell>
          <cell r="U238" t="str">
            <v/>
          </cell>
          <cell r="V238" t="str">
            <v/>
          </cell>
        </row>
        <row r="239">
          <cell r="C239" t="str">
            <v/>
          </cell>
          <cell r="D239" t="str">
            <v/>
          </cell>
          <cell r="E239">
            <v>926507</v>
          </cell>
          <cell r="F239" t="str">
            <v/>
          </cell>
          <cell r="I239" t="str">
            <v/>
          </cell>
          <cell r="J239" t="str">
            <v/>
          </cell>
          <cell r="U239" t="str">
            <v/>
          </cell>
          <cell r="V239" t="str">
            <v/>
          </cell>
        </row>
        <row r="240">
          <cell r="C240" t="str">
            <v/>
          </cell>
          <cell r="D240" t="str">
            <v/>
          </cell>
          <cell r="E240">
            <v>926507</v>
          </cell>
          <cell r="F240" t="str">
            <v/>
          </cell>
          <cell r="I240" t="str">
            <v/>
          </cell>
          <cell r="J240" t="str">
            <v/>
          </cell>
          <cell r="U240" t="str">
            <v/>
          </cell>
          <cell r="V240" t="str">
            <v/>
          </cell>
        </row>
        <row r="241">
          <cell r="C241" t="str">
            <v/>
          </cell>
          <cell r="D241" t="str">
            <v/>
          </cell>
          <cell r="E241">
            <v>926507</v>
          </cell>
          <cell r="F241" t="str">
            <v/>
          </cell>
          <cell r="I241" t="str">
            <v/>
          </cell>
          <cell r="J241" t="str">
            <v/>
          </cell>
          <cell r="U241" t="str">
            <v/>
          </cell>
          <cell r="V241" t="str">
            <v/>
          </cell>
        </row>
        <row r="242">
          <cell r="C242" t="str">
            <v/>
          </cell>
          <cell r="D242" t="str">
            <v/>
          </cell>
          <cell r="E242">
            <v>926507</v>
          </cell>
          <cell r="F242" t="str">
            <v/>
          </cell>
          <cell r="I242" t="str">
            <v/>
          </cell>
          <cell r="J242" t="str">
            <v/>
          </cell>
          <cell r="U242" t="str">
            <v/>
          </cell>
          <cell r="V242" t="str">
            <v/>
          </cell>
        </row>
        <row r="243">
          <cell r="C243" t="str">
            <v/>
          </cell>
          <cell r="D243" t="str">
            <v/>
          </cell>
          <cell r="E243">
            <v>926507</v>
          </cell>
          <cell r="F243" t="str">
            <v/>
          </cell>
          <cell r="I243" t="str">
            <v/>
          </cell>
          <cell r="J243" t="str">
            <v/>
          </cell>
          <cell r="U243" t="str">
            <v/>
          </cell>
          <cell r="V243" t="str">
            <v/>
          </cell>
        </row>
        <row r="244">
          <cell r="C244" t="str">
            <v/>
          </cell>
          <cell r="D244" t="str">
            <v/>
          </cell>
          <cell r="E244">
            <v>926507</v>
          </cell>
          <cell r="F244" t="str">
            <v/>
          </cell>
          <cell r="I244" t="str">
            <v/>
          </cell>
          <cell r="J244" t="str">
            <v/>
          </cell>
          <cell r="U244" t="str">
            <v/>
          </cell>
          <cell r="V244" t="str">
            <v/>
          </cell>
        </row>
        <row r="245">
          <cell r="C245" t="str">
            <v/>
          </cell>
          <cell r="D245" t="str">
            <v/>
          </cell>
          <cell r="E245">
            <v>926507</v>
          </cell>
          <cell r="F245" t="str">
            <v/>
          </cell>
          <cell r="I245" t="str">
            <v/>
          </cell>
          <cell r="J245" t="str">
            <v/>
          </cell>
          <cell r="U245" t="str">
            <v/>
          </cell>
          <cell r="V245" t="str">
            <v/>
          </cell>
        </row>
        <row r="246">
          <cell r="C246" t="str">
            <v/>
          </cell>
          <cell r="D246" t="str">
            <v/>
          </cell>
          <cell r="E246">
            <v>926507</v>
          </cell>
          <cell r="F246" t="str">
            <v/>
          </cell>
          <cell r="I246" t="str">
            <v/>
          </cell>
          <cell r="J246" t="str">
            <v/>
          </cell>
          <cell r="U246" t="str">
            <v/>
          </cell>
          <cell r="V246" t="str">
            <v/>
          </cell>
        </row>
        <row r="247">
          <cell r="C247" t="str">
            <v/>
          </cell>
          <cell r="D247" t="str">
            <v/>
          </cell>
          <cell r="E247">
            <v>926507</v>
          </cell>
          <cell r="F247" t="str">
            <v/>
          </cell>
          <cell r="I247" t="str">
            <v/>
          </cell>
          <cell r="J247" t="str">
            <v/>
          </cell>
          <cell r="U247" t="str">
            <v/>
          </cell>
          <cell r="V247" t="str">
            <v/>
          </cell>
        </row>
        <row r="248">
          <cell r="C248" t="str">
            <v/>
          </cell>
          <cell r="D248" t="str">
            <v/>
          </cell>
          <cell r="E248">
            <v>926507</v>
          </cell>
          <cell r="F248" t="str">
            <v/>
          </cell>
          <cell r="I248" t="str">
            <v/>
          </cell>
          <cell r="J248" t="str">
            <v/>
          </cell>
          <cell r="U248" t="str">
            <v/>
          </cell>
          <cell r="V248" t="str">
            <v/>
          </cell>
        </row>
        <row r="249">
          <cell r="C249" t="str">
            <v/>
          </cell>
          <cell r="D249" t="str">
            <v/>
          </cell>
          <cell r="E249">
            <v>926507</v>
          </cell>
          <cell r="F249" t="str">
            <v/>
          </cell>
          <cell r="I249" t="str">
            <v/>
          </cell>
          <cell r="J249" t="str">
            <v/>
          </cell>
          <cell r="U249" t="str">
            <v/>
          </cell>
          <cell r="V249" t="str">
            <v/>
          </cell>
        </row>
        <row r="250">
          <cell r="C250" t="str">
            <v/>
          </cell>
          <cell r="D250" t="str">
            <v/>
          </cell>
          <cell r="E250">
            <v>926507</v>
          </cell>
          <cell r="F250" t="str">
            <v/>
          </cell>
          <cell r="I250" t="str">
            <v/>
          </cell>
          <cell r="J250" t="str">
            <v/>
          </cell>
          <cell r="U250" t="str">
            <v/>
          </cell>
          <cell r="V250" t="str">
            <v/>
          </cell>
        </row>
        <row r="251">
          <cell r="C251" t="str">
            <v/>
          </cell>
          <cell r="D251" t="str">
            <v/>
          </cell>
          <cell r="E251">
            <v>926507</v>
          </cell>
          <cell r="F251" t="str">
            <v/>
          </cell>
          <cell r="I251" t="str">
            <v/>
          </cell>
          <cell r="J251" t="str">
            <v/>
          </cell>
          <cell r="U251" t="str">
            <v/>
          </cell>
          <cell r="V251" t="str">
            <v/>
          </cell>
        </row>
        <row r="252">
          <cell r="C252" t="str">
            <v/>
          </cell>
          <cell r="D252" t="str">
            <v/>
          </cell>
          <cell r="E252">
            <v>926507</v>
          </cell>
          <cell r="F252" t="str">
            <v/>
          </cell>
          <cell r="I252" t="str">
            <v/>
          </cell>
          <cell r="J252" t="str">
            <v/>
          </cell>
          <cell r="U252" t="str">
            <v/>
          </cell>
          <cell r="V252" t="str">
            <v/>
          </cell>
        </row>
        <row r="253">
          <cell r="C253" t="str">
            <v/>
          </cell>
          <cell r="D253" t="str">
            <v/>
          </cell>
          <cell r="E253">
            <v>926507</v>
          </cell>
          <cell r="F253" t="str">
            <v/>
          </cell>
          <cell r="I253" t="str">
            <v/>
          </cell>
          <cell r="J253" t="str">
            <v/>
          </cell>
          <cell r="U253" t="str">
            <v/>
          </cell>
          <cell r="V253" t="str">
            <v/>
          </cell>
        </row>
        <row r="254">
          <cell r="C254" t="str">
            <v/>
          </cell>
          <cell r="D254" t="str">
            <v/>
          </cell>
          <cell r="E254">
            <v>926507</v>
          </cell>
          <cell r="F254" t="str">
            <v/>
          </cell>
          <cell r="I254" t="str">
            <v/>
          </cell>
          <cell r="J254" t="str">
            <v/>
          </cell>
          <cell r="U254" t="str">
            <v/>
          </cell>
          <cell r="V254" t="str">
            <v/>
          </cell>
        </row>
        <row r="255">
          <cell r="C255" t="str">
            <v/>
          </cell>
          <cell r="D255" t="str">
            <v/>
          </cell>
          <cell r="E255">
            <v>926507</v>
          </cell>
          <cell r="F255" t="str">
            <v/>
          </cell>
          <cell r="I255" t="str">
            <v/>
          </cell>
          <cell r="J255" t="str">
            <v/>
          </cell>
          <cell r="U255" t="str">
            <v/>
          </cell>
          <cell r="V255" t="str">
            <v/>
          </cell>
        </row>
        <row r="256">
          <cell r="C256" t="str">
            <v/>
          </cell>
          <cell r="D256" t="str">
            <v/>
          </cell>
          <cell r="E256">
            <v>926507</v>
          </cell>
          <cell r="F256" t="str">
            <v/>
          </cell>
          <cell r="I256" t="str">
            <v/>
          </cell>
          <cell r="J256" t="str">
            <v/>
          </cell>
          <cell r="U256" t="str">
            <v/>
          </cell>
          <cell r="V256" t="str">
            <v/>
          </cell>
        </row>
        <row r="257">
          <cell r="C257" t="str">
            <v/>
          </cell>
          <cell r="D257" t="str">
            <v/>
          </cell>
          <cell r="E257">
            <v>926507</v>
          </cell>
          <cell r="F257" t="str">
            <v/>
          </cell>
          <cell r="I257" t="str">
            <v/>
          </cell>
          <cell r="J257" t="str">
            <v/>
          </cell>
          <cell r="U257" t="str">
            <v/>
          </cell>
          <cell r="V257" t="str">
            <v/>
          </cell>
        </row>
        <row r="258">
          <cell r="C258" t="str">
            <v/>
          </cell>
          <cell r="D258" t="str">
            <v/>
          </cell>
          <cell r="E258">
            <v>926507</v>
          </cell>
          <cell r="F258" t="str">
            <v/>
          </cell>
          <cell r="I258" t="str">
            <v/>
          </cell>
          <cell r="J258" t="str">
            <v/>
          </cell>
          <cell r="U258" t="str">
            <v/>
          </cell>
          <cell r="V258" t="str">
            <v/>
          </cell>
        </row>
        <row r="259">
          <cell r="C259" t="str">
            <v/>
          </cell>
          <cell r="D259" t="str">
            <v/>
          </cell>
          <cell r="E259">
            <v>926507</v>
          </cell>
          <cell r="F259" t="str">
            <v/>
          </cell>
          <cell r="I259" t="str">
            <v/>
          </cell>
          <cell r="J259" t="str">
            <v/>
          </cell>
          <cell r="U259" t="str">
            <v/>
          </cell>
          <cell r="V259" t="str">
            <v/>
          </cell>
        </row>
        <row r="260">
          <cell r="C260" t="str">
            <v/>
          </cell>
          <cell r="D260" t="str">
            <v/>
          </cell>
          <cell r="E260">
            <v>926507</v>
          </cell>
          <cell r="F260" t="str">
            <v/>
          </cell>
          <cell r="I260" t="str">
            <v/>
          </cell>
          <cell r="J260" t="str">
            <v/>
          </cell>
          <cell r="U260" t="str">
            <v/>
          </cell>
          <cell r="V260" t="str">
            <v/>
          </cell>
        </row>
        <row r="261">
          <cell r="C261" t="str">
            <v/>
          </cell>
          <cell r="D261" t="str">
            <v/>
          </cell>
          <cell r="E261">
            <v>926507</v>
          </cell>
          <cell r="F261" t="str">
            <v/>
          </cell>
          <cell r="I261" t="str">
            <v/>
          </cell>
          <cell r="J261" t="str">
            <v/>
          </cell>
          <cell r="U261" t="str">
            <v/>
          </cell>
          <cell r="V261" t="str">
            <v/>
          </cell>
        </row>
        <row r="262">
          <cell r="C262" t="str">
            <v/>
          </cell>
          <cell r="D262" t="str">
            <v/>
          </cell>
          <cell r="E262">
            <v>926507</v>
          </cell>
          <cell r="F262" t="str">
            <v/>
          </cell>
          <cell r="I262" t="str">
            <v/>
          </cell>
          <cell r="J262" t="str">
            <v/>
          </cell>
          <cell r="U262" t="str">
            <v/>
          </cell>
          <cell r="V262" t="str">
            <v/>
          </cell>
        </row>
        <row r="263">
          <cell r="C263" t="str">
            <v/>
          </cell>
          <cell r="D263" t="str">
            <v/>
          </cell>
          <cell r="E263">
            <v>926507</v>
          </cell>
          <cell r="F263" t="str">
            <v/>
          </cell>
          <cell r="I263" t="str">
            <v/>
          </cell>
          <cell r="J263" t="str">
            <v/>
          </cell>
          <cell r="U263" t="str">
            <v/>
          </cell>
          <cell r="V263" t="str">
            <v/>
          </cell>
        </row>
        <row r="264">
          <cell r="C264" t="str">
            <v/>
          </cell>
          <cell r="D264" t="str">
            <v/>
          </cell>
          <cell r="E264">
            <v>926507</v>
          </cell>
          <cell r="F264" t="str">
            <v/>
          </cell>
          <cell r="I264" t="str">
            <v/>
          </cell>
          <cell r="J264" t="str">
            <v/>
          </cell>
          <cell r="U264" t="str">
            <v/>
          </cell>
          <cell r="V264" t="str">
            <v/>
          </cell>
        </row>
        <row r="265">
          <cell r="C265" t="str">
            <v/>
          </cell>
          <cell r="D265" t="str">
            <v/>
          </cell>
          <cell r="E265">
            <v>926507</v>
          </cell>
          <cell r="F265" t="str">
            <v/>
          </cell>
          <cell r="I265" t="str">
            <v/>
          </cell>
          <cell r="J265" t="str">
            <v/>
          </cell>
          <cell r="U265" t="str">
            <v/>
          </cell>
          <cell r="V265" t="str">
            <v/>
          </cell>
        </row>
        <row r="266">
          <cell r="C266" t="str">
            <v/>
          </cell>
          <cell r="D266" t="str">
            <v/>
          </cell>
          <cell r="E266">
            <v>926507</v>
          </cell>
          <cell r="F266" t="str">
            <v/>
          </cell>
          <cell r="I266" t="str">
            <v/>
          </cell>
          <cell r="J266" t="str">
            <v/>
          </cell>
          <cell r="U266" t="str">
            <v/>
          </cell>
          <cell r="V266" t="str">
            <v/>
          </cell>
        </row>
        <row r="267">
          <cell r="C267" t="str">
            <v/>
          </cell>
          <cell r="D267" t="str">
            <v/>
          </cell>
          <cell r="E267">
            <v>926507</v>
          </cell>
          <cell r="F267" t="str">
            <v/>
          </cell>
          <cell r="I267" t="str">
            <v/>
          </cell>
          <cell r="J267" t="str">
            <v/>
          </cell>
          <cell r="U267" t="str">
            <v/>
          </cell>
          <cell r="V267" t="str">
            <v/>
          </cell>
        </row>
        <row r="268">
          <cell r="C268" t="str">
            <v/>
          </cell>
          <cell r="D268" t="str">
            <v/>
          </cell>
          <cell r="E268">
            <v>926507</v>
          </cell>
          <cell r="F268" t="str">
            <v/>
          </cell>
          <cell r="I268" t="str">
            <v/>
          </cell>
          <cell r="J268" t="str">
            <v/>
          </cell>
          <cell r="U268" t="str">
            <v/>
          </cell>
          <cell r="V268" t="str">
            <v/>
          </cell>
        </row>
        <row r="269">
          <cell r="C269" t="str">
            <v/>
          </cell>
          <cell r="D269" t="str">
            <v/>
          </cell>
          <cell r="E269">
            <v>926507</v>
          </cell>
          <cell r="F269" t="str">
            <v/>
          </cell>
          <cell r="I269" t="str">
            <v/>
          </cell>
          <cell r="J269" t="str">
            <v/>
          </cell>
          <cell r="U269" t="str">
            <v/>
          </cell>
          <cell r="V269" t="str">
            <v/>
          </cell>
        </row>
        <row r="270">
          <cell r="C270" t="str">
            <v/>
          </cell>
          <cell r="D270" t="str">
            <v/>
          </cell>
          <cell r="E270">
            <v>926507</v>
          </cell>
          <cell r="F270" t="str">
            <v/>
          </cell>
          <cell r="I270" t="str">
            <v/>
          </cell>
          <cell r="J270" t="str">
            <v/>
          </cell>
          <cell r="U270" t="str">
            <v/>
          </cell>
          <cell r="V270" t="str">
            <v/>
          </cell>
        </row>
        <row r="271">
          <cell r="C271" t="str">
            <v/>
          </cell>
          <cell r="D271" t="str">
            <v/>
          </cell>
          <cell r="E271">
            <v>926507</v>
          </cell>
          <cell r="F271" t="str">
            <v/>
          </cell>
          <cell r="I271" t="str">
            <v/>
          </cell>
          <cell r="J271" t="str">
            <v/>
          </cell>
          <cell r="U271" t="str">
            <v/>
          </cell>
          <cell r="V271" t="str">
            <v/>
          </cell>
        </row>
        <row r="272">
          <cell r="C272" t="str">
            <v/>
          </cell>
          <cell r="D272" t="str">
            <v/>
          </cell>
          <cell r="E272">
            <v>926507</v>
          </cell>
          <cell r="F272" t="str">
            <v/>
          </cell>
          <cell r="I272" t="str">
            <v/>
          </cell>
          <cell r="J272" t="str">
            <v/>
          </cell>
          <cell r="U272" t="str">
            <v/>
          </cell>
          <cell r="V272" t="str">
            <v/>
          </cell>
        </row>
        <row r="273">
          <cell r="C273" t="str">
            <v/>
          </cell>
          <cell r="D273" t="str">
            <v/>
          </cell>
          <cell r="E273">
            <v>926507</v>
          </cell>
          <cell r="F273" t="str">
            <v/>
          </cell>
          <cell r="I273" t="str">
            <v/>
          </cell>
          <cell r="J273" t="str">
            <v/>
          </cell>
          <cell r="U273" t="str">
            <v/>
          </cell>
          <cell r="V273" t="str">
            <v/>
          </cell>
        </row>
        <row r="274">
          <cell r="C274" t="str">
            <v/>
          </cell>
          <cell r="D274" t="str">
            <v/>
          </cell>
          <cell r="E274">
            <v>926507</v>
          </cell>
          <cell r="F274" t="str">
            <v/>
          </cell>
          <cell r="I274" t="str">
            <v/>
          </cell>
          <cell r="J274" t="str">
            <v/>
          </cell>
          <cell r="U274" t="str">
            <v/>
          </cell>
          <cell r="V274" t="str">
            <v/>
          </cell>
        </row>
        <row r="275">
          <cell r="C275" t="str">
            <v/>
          </cell>
          <cell r="D275" t="str">
            <v/>
          </cell>
          <cell r="E275">
            <v>926507</v>
          </cell>
          <cell r="F275" t="str">
            <v/>
          </cell>
          <cell r="I275" t="str">
            <v/>
          </cell>
          <cell r="J275" t="str">
            <v/>
          </cell>
          <cell r="U275" t="str">
            <v/>
          </cell>
          <cell r="V275" t="str">
            <v/>
          </cell>
        </row>
        <row r="276">
          <cell r="C276" t="str">
            <v/>
          </cell>
          <cell r="D276" t="str">
            <v/>
          </cell>
          <cell r="E276">
            <v>926507</v>
          </cell>
          <cell r="F276" t="str">
            <v/>
          </cell>
          <cell r="I276" t="str">
            <v/>
          </cell>
          <cell r="J276" t="str">
            <v/>
          </cell>
          <cell r="U276" t="str">
            <v/>
          </cell>
          <cell r="V276" t="str">
            <v/>
          </cell>
        </row>
        <row r="277">
          <cell r="C277" t="str">
            <v/>
          </cell>
          <cell r="D277" t="str">
            <v/>
          </cell>
          <cell r="E277">
            <v>926507</v>
          </cell>
          <cell r="F277" t="str">
            <v/>
          </cell>
          <cell r="I277" t="str">
            <v/>
          </cell>
          <cell r="J277" t="str">
            <v/>
          </cell>
          <cell r="U277" t="str">
            <v/>
          </cell>
          <cell r="V277" t="str">
            <v/>
          </cell>
        </row>
        <row r="278">
          <cell r="C278" t="str">
            <v/>
          </cell>
          <cell r="D278" t="str">
            <v/>
          </cell>
          <cell r="E278">
            <v>926507</v>
          </cell>
          <cell r="F278" t="str">
            <v/>
          </cell>
          <cell r="I278" t="str">
            <v/>
          </cell>
          <cell r="J278" t="str">
            <v/>
          </cell>
          <cell r="U278" t="str">
            <v/>
          </cell>
          <cell r="V278" t="str">
            <v/>
          </cell>
        </row>
        <row r="279">
          <cell r="C279" t="str">
            <v/>
          </cell>
          <cell r="D279" t="str">
            <v/>
          </cell>
          <cell r="E279">
            <v>926507</v>
          </cell>
          <cell r="F279" t="str">
            <v/>
          </cell>
          <cell r="I279" t="str">
            <v/>
          </cell>
          <cell r="J279" t="str">
            <v/>
          </cell>
          <cell r="U279" t="str">
            <v/>
          </cell>
          <cell r="V279" t="str">
            <v/>
          </cell>
        </row>
        <row r="280">
          <cell r="C280" t="str">
            <v/>
          </cell>
          <cell r="D280" t="str">
            <v/>
          </cell>
          <cell r="E280">
            <v>926507</v>
          </cell>
          <cell r="F280" t="str">
            <v/>
          </cell>
          <cell r="I280" t="str">
            <v/>
          </cell>
          <cell r="J280" t="str">
            <v/>
          </cell>
          <cell r="U280" t="str">
            <v/>
          </cell>
          <cell r="V280" t="str">
            <v/>
          </cell>
        </row>
        <row r="281">
          <cell r="C281" t="str">
            <v/>
          </cell>
          <cell r="D281" t="str">
            <v/>
          </cell>
          <cell r="E281">
            <v>926507</v>
          </cell>
          <cell r="F281" t="str">
            <v/>
          </cell>
          <cell r="I281" t="str">
            <v/>
          </cell>
          <cell r="J281" t="str">
            <v/>
          </cell>
          <cell r="U281" t="str">
            <v/>
          </cell>
          <cell r="V281" t="str">
            <v/>
          </cell>
        </row>
        <row r="282">
          <cell r="C282" t="str">
            <v/>
          </cell>
          <cell r="D282" t="str">
            <v/>
          </cell>
          <cell r="E282">
            <v>926507</v>
          </cell>
          <cell r="F282" t="str">
            <v/>
          </cell>
          <cell r="I282" t="str">
            <v/>
          </cell>
          <cell r="J282" t="str">
            <v/>
          </cell>
          <cell r="U282" t="str">
            <v/>
          </cell>
          <cell r="V282" t="str">
            <v/>
          </cell>
        </row>
        <row r="283">
          <cell r="C283" t="str">
            <v/>
          </cell>
          <cell r="D283" t="str">
            <v/>
          </cell>
          <cell r="E283">
            <v>926507</v>
          </cell>
          <cell r="F283" t="str">
            <v/>
          </cell>
          <cell r="I283" t="str">
            <v/>
          </cell>
          <cell r="J283" t="str">
            <v/>
          </cell>
          <cell r="U283" t="str">
            <v/>
          </cell>
          <cell r="V283" t="str">
            <v/>
          </cell>
        </row>
        <row r="284">
          <cell r="C284" t="str">
            <v/>
          </cell>
          <cell r="D284" t="str">
            <v/>
          </cell>
          <cell r="E284">
            <v>926507</v>
          </cell>
          <cell r="F284" t="str">
            <v/>
          </cell>
          <cell r="I284" t="str">
            <v/>
          </cell>
          <cell r="J284" t="str">
            <v/>
          </cell>
          <cell r="U284" t="str">
            <v/>
          </cell>
          <cell r="V284" t="str">
            <v/>
          </cell>
        </row>
        <row r="285">
          <cell r="C285" t="str">
            <v/>
          </cell>
          <cell r="D285" t="str">
            <v/>
          </cell>
          <cell r="E285">
            <v>926507</v>
          </cell>
          <cell r="F285" t="str">
            <v/>
          </cell>
          <cell r="I285" t="str">
            <v/>
          </cell>
          <cell r="J285" t="str">
            <v/>
          </cell>
          <cell r="U285" t="str">
            <v/>
          </cell>
          <cell r="V285" t="str">
            <v/>
          </cell>
        </row>
        <row r="286">
          <cell r="C286" t="str">
            <v/>
          </cell>
          <cell r="D286" t="str">
            <v/>
          </cell>
          <cell r="E286">
            <v>926507</v>
          </cell>
          <cell r="F286" t="str">
            <v/>
          </cell>
          <cell r="I286" t="str">
            <v/>
          </cell>
          <cell r="J286" t="str">
            <v/>
          </cell>
          <cell r="U286" t="str">
            <v/>
          </cell>
          <cell r="V286" t="str">
            <v/>
          </cell>
        </row>
        <row r="287">
          <cell r="C287" t="str">
            <v/>
          </cell>
          <cell r="D287" t="str">
            <v/>
          </cell>
          <cell r="E287">
            <v>926507</v>
          </cell>
          <cell r="F287" t="str">
            <v/>
          </cell>
          <cell r="I287" t="str">
            <v/>
          </cell>
          <cell r="J287" t="str">
            <v/>
          </cell>
          <cell r="U287" t="str">
            <v/>
          </cell>
          <cell r="V287" t="str">
            <v/>
          </cell>
        </row>
        <row r="288">
          <cell r="C288" t="str">
            <v/>
          </cell>
          <cell r="D288" t="str">
            <v/>
          </cell>
          <cell r="E288">
            <v>926507</v>
          </cell>
          <cell r="F288" t="str">
            <v/>
          </cell>
          <cell r="I288" t="str">
            <v/>
          </cell>
          <cell r="J288" t="str">
            <v/>
          </cell>
          <cell r="U288" t="str">
            <v/>
          </cell>
          <cell r="V288" t="str">
            <v/>
          </cell>
        </row>
        <row r="289">
          <cell r="C289" t="str">
            <v/>
          </cell>
          <cell r="D289" t="str">
            <v/>
          </cell>
          <cell r="E289">
            <v>926507</v>
          </cell>
          <cell r="F289" t="str">
            <v/>
          </cell>
          <cell r="I289" t="str">
            <v/>
          </cell>
          <cell r="J289" t="str">
            <v/>
          </cell>
          <cell r="U289" t="str">
            <v/>
          </cell>
          <cell r="V289" t="str">
            <v/>
          </cell>
        </row>
        <row r="290">
          <cell r="C290" t="str">
            <v/>
          </cell>
          <cell r="D290" t="str">
            <v/>
          </cell>
          <cell r="E290">
            <v>926507</v>
          </cell>
          <cell r="F290" t="str">
            <v/>
          </cell>
          <cell r="I290" t="str">
            <v/>
          </cell>
          <cell r="J290" t="str">
            <v/>
          </cell>
          <cell r="U290" t="str">
            <v/>
          </cell>
          <cell r="V290" t="str">
            <v/>
          </cell>
        </row>
        <row r="291">
          <cell r="C291" t="str">
            <v/>
          </cell>
          <cell r="D291" t="str">
            <v/>
          </cell>
          <cell r="E291">
            <v>926507</v>
          </cell>
          <cell r="F291" t="str">
            <v/>
          </cell>
          <cell r="I291" t="str">
            <v/>
          </cell>
          <cell r="J291" t="str">
            <v/>
          </cell>
          <cell r="U291" t="str">
            <v/>
          </cell>
          <cell r="V291" t="str">
            <v/>
          </cell>
        </row>
        <row r="292">
          <cell r="C292" t="str">
            <v/>
          </cell>
          <cell r="D292" t="str">
            <v/>
          </cell>
          <cell r="E292">
            <v>926507</v>
          </cell>
          <cell r="F292" t="str">
            <v/>
          </cell>
          <cell r="I292" t="str">
            <v/>
          </cell>
          <cell r="J292" t="str">
            <v/>
          </cell>
          <cell r="U292" t="str">
            <v/>
          </cell>
          <cell r="V292" t="str">
            <v/>
          </cell>
        </row>
        <row r="293">
          <cell r="C293" t="str">
            <v/>
          </cell>
          <cell r="D293" t="str">
            <v/>
          </cell>
          <cell r="E293">
            <v>926507</v>
          </cell>
          <cell r="F293" t="str">
            <v/>
          </cell>
          <cell r="I293" t="str">
            <v/>
          </cell>
          <cell r="J293" t="str">
            <v/>
          </cell>
          <cell r="U293" t="str">
            <v/>
          </cell>
          <cell r="V293" t="str">
            <v/>
          </cell>
        </row>
        <row r="294">
          <cell r="C294" t="str">
            <v/>
          </cell>
          <cell r="D294" t="str">
            <v/>
          </cell>
          <cell r="E294">
            <v>926507</v>
          </cell>
          <cell r="F294" t="str">
            <v/>
          </cell>
          <cell r="I294" t="str">
            <v/>
          </cell>
          <cell r="J294" t="str">
            <v/>
          </cell>
          <cell r="U294" t="str">
            <v/>
          </cell>
          <cell r="V294" t="str">
            <v/>
          </cell>
        </row>
        <row r="295">
          <cell r="C295" t="str">
            <v/>
          </cell>
          <cell r="D295" t="str">
            <v/>
          </cell>
          <cell r="E295">
            <v>926507</v>
          </cell>
          <cell r="F295" t="str">
            <v/>
          </cell>
          <cell r="I295" t="str">
            <v/>
          </cell>
          <cell r="J295" t="str">
            <v/>
          </cell>
          <cell r="U295" t="str">
            <v/>
          </cell>
          <cell r="V295" t="str">
            <v/>
          </cell>
        </row>
        <row r="296">
          <cell r="C296" t="str">
            <v/>
          </cell>
          <cell r="D296" t="str">
            <v/>
          </cell>
          <cell r="E296">
            <v>926507</v>
          </cell>
          <cell r="F296" t="str">
            <v/>
          </cell>
          <cell r="I296" t="str">
            <v/>
          </cell>
          <cell r="J296" t="str">
            <v/>
          </cell>
          <cell r="U296" t="str">
            <v/>
          </cell>
          <cell r="V296" t="str">
            <v/>
          </cell>
        </row>
        <row r="297">
          <cell r="C297" t="str">
            <v/>
          </cell>
          <cell r="D297" t="str">
            <v/>
          </cell>
          <cell r="E297">
            <v>926507</v>
          </cell>
          <cell r="F297" t="str">
            <v/>
          </cell>
          <cell r="I297" t="str">
            <v/>
          </cell>
          <cell r="J297" t="str">
            <v/>
          </cell>
          <cell r="U297" t="str">
            <v/>
          </cell>
          <cell r="V297" t="str">
            <v/>
          </cell>
        </row>
        <row r="298">
          <cell r="C298" t="str">
            <v/>
          </cell>
          <cell r="D298" t="str">
            <v/>
          </cell>
          <cell r="E298">
            <v>926507</v>
          </cell>
          <cell r="F298" t="str">
            <v/>
          </cell>
          <cell r="I298" t="str">
            <v/>
          </cell>
          <cell r="J298" t="str">
            <v/>
          </cell>
          <cell r="U298" t="str">
            <v/>
          </cell>
          <cell r="V298" t="str">
            <v/>
          </cell>
        </row>
        <row r="299">
          <cell r="C299" t="str">
            <v/>
          </cell>
          <cell r="D299" t="str">
            <v/>
          </cell>
          <cell r="E299">
            <v>926507</v>
          </cell>
          <cell r="F299" t="str">
            <v/>
          </cell>
          <cell r="I299" t="str">
            <v/>
          </cell>
          <cell r="J299" t="str">
            <v/>
          </cell>
          <cell r="U299" t="str">
            <v/>
          </cell>
          <cell r="V299" t="str">
            <v/>
          </cell>
        </row>
        <row r="300">
          <cell r="C300" t="str">
            <v/>
          </cell>
          <cell r="D300" t="str">
            <v/>
          </cell>
          <cell r="E300">
            <v>926507</v>
          </cell>
          <cell r="F300" t="str">
            <v/>
          </cell>
          <cell r="I300" t="str">
            <v/>
          </cell>
          <cell r="J300" t="str">
            <v/>
          </cell>
          <cell r="U300" t="str">
            <v/>
          </cell>
          <cell r="V300" t="str">
            <v/>
          </cell>
        </row>
        <row r="301">
          <cell r="C301" t="str">
            <v/>
          </cell>
          <cell r="D301" t="str">
            <v/>
          </cell>
          <cell r="E301">
            <v>926507</v>
          </cell>
          <cell r="F301" t="str">
            <v/>
          </cell>
          <cell r="I301" t="str">
            <v/>
          </cell>
          <cell r="J301" t="str">
            <v/>
          </cell>
          <cell r="U301" t="str">
            <v/>
          </cell>
          <cell r="V301" t="str">
            <v/>
          </cell>
        </row>
        <row r="302">
          <cell r="C302" t="str">
            <v/>
          </cell>
          <cell r="D302" t="str">
            <v/>
          </cell>
          <cell r="E302">
            <v>926507</v>
          </cell>
          <cell r="F302" t="str">
            <v/>
          </cell>
          <cell r="I302" t="str">
            <v/>
          </cell>
          <cell r="J302" t="str">
            <v/>
          </cell>
          <cell r="U302" t="str">
            <v/>
          </cell>
          <cell r="V302" t="str">
            <v/>
          </cell>
        </row>
        <row r="303">
          <cell r="C303" t="str">
            <v/>
          </cell>
          <cell r="D303" t="str">
            <v/>
          </cell>
          <cell r="E303">
            <v>926507</v>
          </cell>
          <cell r="F303" t="str">
            <v/>
          </cell>
          <cell r="I303" t="str">
            <v/>
          </cell>
          <cell r="J303" t="str">
            <v/>
          </cell>
          <cell r="U303" t="str">
            <v/>
          </cell>
          <cell r="V303" t="str">
            <v/>
          </cell>
        </row>
        <row r="304">
          <cell r="C304" t="str">
            <v/>
          </cell>
          <cell r="D304" t="str">
            <v/>
          </cell>
          <cell r="E304">
            <v>926507</v>
          </cell>
          <cell r="F304" t="str">
            <v/>
          </cell>
          <cell r="I304" t="str">
            <v/>
          </cell>
          <cell r="J304" t="str">
            <v/>
          </cell>
          <cell r="U304" t="str">
            <v/>
          </cell>
          <cell r="V304" t="str">
            <v/>
          </cell>
        </row>
        <row r="305">
          <cell r="C305" t="str">
            <v/>
          </cell>
          <cell r="D305" t="str">
            <v/>
          </cell>
          <cell r="E305">
            <v>926507</v>
          </cell>
          <cell r="F305" t="str">
            <v/>
          </cell>
          <cell r="I305" t="str">
            <v/>
          </cell>
          <cell r="J305" t="str">
            <v/>
          </cell>
          <cell r="U305" t="str">
            <v/>
          </cell>
          <cell r="V305" t="str">
            <v/>
          </cell>
        </row>
        <row r="306">
          <cell r="C306" t="str">
            <v/>
          </cell>
          <cell r="D306" t="str">
            <v/>
          </cell>
          <cell r="E306">
            <v>926507</v>
          </cell>
          <cell r="F306" t="str">
            <v/>
          </cell>
          <cell r="I306" t="str">
            <v/>
          </cell>
          <cell r="J306" t="str">
            <v/>
          </cell>
          <cell r="U306" t="str">
            <v/>
          </cell>
          <cell r="V306" t="str">
            <v/>
          </cell>
        </row>
        <row r="307">
          <cell r="C307" t="str">
            <v/>
          </cell>
          <cell r="D307" t="str">
            <v/>
          </cell>
          <cell r="E307">
            <v>926507</v>
          </cell>
          <cell r="F307" t="str">
            <v/>
          </cell>
          <cell r="I307" t="str">
            <v/>
          </cell>
          <cell r="J307" t="str">
            <v/>
          </cell>
          <cell r="U307" t="str">
            <v/>
          </cell>
          <cell r="V307" t="str">
            <v/>
          </cell>
        </row>
        <row r="308">
          <cell r="C308" t="str">
            <v/>
          </cell>
          <cell r="D308" t="str">
            <v/>
          </cell>
          <cell r="E308">
            <v>926507</v>
          </cell>
          <cell r="F308" t="str">
            <v/>
          </cell>
          <cell r="I308" t="str">
            <v/>
          </cell>
          <cell r="J308" t="str">
            <v/>
          </cell>
          <cell r="U308" t="str">
            <v/>
          </cell>
          <cell r="V308" t="str">
            <v/>
          </cell>
        </row>
        <row r="309">
          <cell r="C309" t="str">
            <v/>
          </cell>
          <cell r="D309" t="str">
            <v/>
          </cell>
          <cell r="E309">
            <v>926507</v>
          </cell>
          <cell r="F309" t="str">
            <v/>
          </cell>
          <cell r="I309" t="str">
            <v/>
          </cell>
          <cell r="J309" t="str">
            <v/>
          </cell>
          <cell r="U309" t="str">
            <v/>
          </cell>
          <cell r="V309" t="str">
            <v/>
          </cell>
        </row>
        <row r="310">
          <cell r="C310" t="str">
            <v/>
          </cell>
          <cell r="D310" t="str">
            <v/>
          </cell>
          <cell r="E310">
            <v>926507</v>
          </cell>
          <cell r="F310" t="str">
            <v/>
          </cell>
          <cell r="I310" t="str">
            <v/>
          </cell>
          <cell r="J310" t="str">
            <v/>
          </cell>
          <cell r="U310" t="str">
            <v/>
          </cell>
          <cell r="V310" t="str">
            <v/>
          </cell>
        </row>
        <row r="311">
          <cell r="C311" t="str">
            <v/>
          </cell>
          <cell r="D311" t="str">
            <v/>
          </cell>
          <cell r="E311">
            <v>926507</v>
          </cell>
          <cell r="F311" t="str">
            <v/>
          </cell>
          <cell r="I311" t="str">
            <v/>
          </cell>
          <cell r="J311" t="str">
            <v/>
          </cell>
          <cell r="U311" t="str">
            <v/>
          </cell>
          <cell r="V311" t="str">
            <v/>
          </cell>
        </row>
        <row r="312">
          <cell r="C312" t="str">
            <v/>
          </cell>
          <cell r="D312" t="str">
            <v/>
          </cell>
          <cell r="E312">
            <v>926507</v>
          </cell>
          <cell r="F312" t="str">
            <v/>
          </cell>
          <cell r="I312" t="str">
            <v/>
          </cell>
          <cell r="J312" t="str">
            <v/>
          </cell>
          <cell r="U312" t="str">
            <v/>
          </cell>
          <cell r="V312" t="str">
            <v/>
          </cell>
        </row>
        <row r="313">
          <cell r="C313" t="str">
            <v/>
          </cell>
          <cell r="D313" t="str">
            <v/>
          </cell>
          <cell r="E313">
            <v>926507</v>
          </cell>
          <cell r="F313" t="str">
            <v/>
          </cell>
          <cell r="I313" t="str">
            <v/>
          </cell>
          <cell r="J313" t="str">
            <v/>
          </cell>
          <cell r="U313" t="str">
            <v/>
          </cell>
          <cell r="V313" t="str">
            <v/>
          </cell>
        </row>
        <row r="314">
          <cell r="C314" t="str">
            <v/>
          </cell>
          <cell r="D314" t="str">
            <v/>
          </cell>
          <cell r="E314">
            <v>926507</v>
          </cell>
          <cell r="F314" t="str">
            <v/>
          </cell>
          <cell r="I314" t="str">
            <v/>
          </cell>
          <cell r="J314" t="str">
            <v/>
          </cell>
          <cell r="U314" t="str">
            <v/>
          </cell>
          <cell r="V314" t="str">
            <v/>
          </cell>
        </row>
        <row r="315">
          <cell r="C315" t="str">
            <v/>
          </cell>
          <cell r="D315" t="str">
            <v/>
          </cell>
          <cell r="E315">
            <v>926507</v>
          </cell>
          <cell r="F315" t="str">
            <v/>
          </cell>
          <cell r="I315" t="str">
            <v/>
          </cell>
          <cell r="J315" t="str">
            <v/>
          </cell>
          <cell r="U315" t="str">
            <v/>
          </cell>
          <cell r="V315" t="str">
            <v/>
          </cell>
        </row>
        <row r="316">
          <cell r="C316" t="str">
            <v/>
          </cell>
          <cell r="D316" t="str">
            <v/>
          </cell>
          <cell r="E316">
            <v>926507</v>
          </cell>
          <cell r="F316" t="str">
            <v/>
          </cell>
          <cell r="I316" t="str">
            <v/>
          </cell>
          <cell r="J316" t="str">
            <v/>
          </cell>
          <cell r="U316" t="str">
            <v/>
          </cell>
          <cell r="V316" t="str">
            <v/>
          </cell>
        </row>
        <row r="317">
          <cell r="C317" t="str">
            <v/>
          </cell>
          <cell r="D317" t="str">
            <v/>
          </cell>
          <cell r="E317">
            <v>926507</v>
          </cell>
          <cell r="F317" t="str">
            <v/>
          </cell>
          <cell r="I317" t="str">
            <v/>
          </cell>
          <cell r="J317" t="str">
            <v/>
          </cell>
          <cell r="U317" t="str">
            <v/>
          </cell>
          <cell r="V317" t="str">
            <v/>
          </cell>
        </row>
        <row r="318">
          <cell r="C318" t="str">
            <v/>
          </cell>
          <cell r="D318" t="str">
            <v/>
          </cell>
          <cell r="E318">
            <v>926507</v>
          </cell>
          <cell r="F318" t="str">
            <v/>
          </cell>
          <cell r="I318" t="str">
            <v/>
          </cell>
          <cell r="J318" t="str">
            <v/>
          </cell>
          <cell r="U318" t="str">
            <v/>
          </cell>
          <cell r="V318" t="str">
            <v/>
          </cell>
        </row>
        <row r="319">
          <cell r="C319" t="str">
            <v/>
          </cell>
          <cell r="D319" t="str">
            <v/>
          </cell>
          <cell r="E319">
            <v>926507</v>
          </cell>
          <cell r="F319" t="str">
            <v/>
          </cell>
          <cell r="I319" t="str">
            <v/>
          </cell>
          <cell r="J319" t="str">
            <v/>
          </cell>
          <cell r="U319" t="str">
            <v/>
          </cell>
          <cell r="V319" t="str">
            <v/>
          </cell>
        </row>
        <row r="320">
          <cell r="C320" t="str">
            <v/>
          </cell>
          <cell r="D320" t="str">
            <v/>
          </cell>
          <cell r="E320">
            <v>926507</v>
          </cell>
          <cell r="F320" t="str">
            <v/>
          </cell>
          <cell r="I320" t="str">
            <v/>
          </cell>
          <cell r="J320" t="str">
            <v/>
          </cell>
          <cell r="U320" t="str">
            <v/>
          </cell>
          <cell r="V320" t="str">
            <v/>
          </cell>
        </row>
        <row r="321">
          <cell r="C321" t="str">
            <v/>
          </cell>
          <cell r="D321" t="str">
            <v/>
          </cell>
          <cell r="E321">
            <v>926507</v>
          </cell>
          <cell r="F321" t="str">
            <v/>
          </cell>
          <cell r="I321" t="str">
            <v/>
          </cell>
          <cell r="J321" t="str">
            <v/>
          </cell>
          <cell r="U321" t="str">
            <v/>
          </cell>
          <cell r="V321" t="str">
            <v/>
          </cell>
        </row>
        <row r="322">
          <cell r="C322" t="str">
            <v/>
          </cell>
          <cell r="D322" t="str">
            <v/>
          </cell>
          <cell r="E322">
            <v>926507</v>
          </cell>
          <cell r="F322" t="str">
            <v/>
          </cell>
          <cell r="I322" t="str">
            <v/>
          </cell>
          <cell r="J322" t="str">
            <v/>
          </cell>
          <cell r="U322" t="str">
            <v/>
          </cell>
          <cell r="V322" t="str">
            <v/>
          </cell>
        </row>
        <row r="323">
          <cell r="C323" t="str">
            <v/>
          </cell>
          <cell r="D323" t="str">
            <v/>
          </cell>
          <cell r="E323">
            <v>926507</v>
          </cell>
          <cell r="F323" t="str">
            <v/>
          </cell>
          <cell r="I323" t="str">
            <v/>
          </cell>
          <cell r="J323" t="str">
            <v/>
          </cell>
          <cell r="U323" t="str">
            <v/>
          </cell>
          <cell r="V323" t="str">
            <v/>
          </cell>
        </row>
        <row r="324">
          <cell r="C324" t="str">
            <v/>
          </cell>
          <cell r="D324" t="str">
            <v/>
          </cell>
          <cell r="E324">
            <v>926507</v>
          </cell>
          <cell r="F324" t="str">
            <v/>
          </cell>
          <cell r="I324" t="str">
            <v/>
          </cell>
          <cell r="J324" t="str">
            <v/>
          </cell>
          <cell r="U324" t="str">
            <v/>
          </cell>
          <cell r="V324" t="str">
            <v/>
          </cell>
        </row>
        <row r="325">
          <cell r="C325" t="str">
            <v/>
          </cell>
          <cell r="D325" t="str">
            <v/>
          </cell>
          <cell r="E325">
            <v>926507</v>
          </cell>
          <cell r="F325" t="str">
            <v/>
          </cell>
          <cell r="I325" t="str">
            <v/>
          </cell>
          <cell r="J325" t="str">
            <v/>
          </cell>
          <cell r="U325" t="str">
            <v/>
          </cell>
          <cell r="V325" t="str">
            <v/>
          </cell>
        </row>
        <row r="326">
          <cell r="C326" t="str">
            <v/>
          </cell>
          <cell r="D326" t="str">
            <v/>
          </cell>
          <cell r="E326">
            <v>926507</v>
          </cell>
          <cell r="F326" t="str">
            <v/>
          </cell>
          <cell r="I326" t="str">
            <v/>
          </cell>
          <cell r="J326" t="str">
            <v/>
          </cell>
          <cell r="U326" t="str">
            <v/>
          </cell>
          <cell r="V326" t="str">
            <v/>
          </cell>
        </row>
        <row r="327">
          <cell r="C327" t="str">
            <v/>
          </cell>
          <cell r="D327" t="str">
            <v/>
          </cell>
          <cell r="E327">
            <v>926507</v>
          </cell>
          <cell r="F327" t="str">
            <v/>
          </cell>
          <cell r="I327" t="str">
            <v/>
          </cell>
          <cell r="J327" t="str">
            <v/>
          </cell>
          <cell r="U327" t="str">
            <v/>
          </cell>
          <cell r="V327" t="str">
            <v/>
          </cell>
        </row>
        <row r="328">
          <cell r="C328" t="str">
            <v/>
          </cell>
          <cell r="D328" t="str">
            <v/>
          </cell>
          <cell r="E328">
            <v>926507</v>
          </cell>
          <cell r="F328" t="str">
            <v/>
          </cell>
          <cell r="I328" t="str">
            <v/>
          </cell>
          <cell r="J328" t="str">
            <v/>
          </cell>
          <cell r="U328" t="str">
            <v/>
          </cell>
          <cell r="V328" t="str">
            <v/>
          </cell>
        </row>
        <row r="329">
          <cell r="C329" t="str">
            <v/>
          </cell>
          <cell r="D329" t="str">
            <v/>
          </cell>
          <cell r="E329">
            <v>926507</v>
          </cell>
          <cell r="F329" t="str">
            <v/>
          </cell>
          <cell r="I329" t="str">
            <v/>
          </cell>
          <cell r="J329" t="str">
            <v/>
          </cell>
          <cell r="U329" t="str">
            <v/>
          </cell>
          <cell r="V329" t="str">
            <v/>
          </cell>
        </row>
        <row r="330">
          <cell r="C330" t="str">
            <v/>
          </cell>
          <cell r="D330" t="str">
            <v/>
          </cell>
          <cell r="E330">
            <v>926507</v>
          </cell>
          <cell r="F330" t="str">
            <v/>
          </cell>
          <cell r="I330" t="str">
            <v/>
          </cell>
          <cell r="J330" t="str">
            <v/>
          </cell>
          <cell r="U330" t="str">
            <v/>
          </cell>
          <cell r="V330" t="str">
            <v/>
          </cell>
        </row>
        <row r="331">
          <cell r="C331" t="str">
            <v/>
          </cell>
          <cell r="D331" t="str">
            <v/>
          </cell>
          <cell r="E331">
            <v>926507</v>
          </cell>
          <cell r="F331" t="str">
            <v/>
          </cell>
          <cell r="I331" t="str">
            <v/>
          </cell>
          <cell r="J331" t="str">
            <v/>
          </cell>
          <cell r="U331" t="str">
            <v/>
          </cell>
          <cell r="V331" t="str">
            <v/>
          </cell>
        </row>
        <row r="332">
          <cell r="C332" t="str">
            <v/>
          </cell>
          <cell r="D332" t="str">
            <v/>
          </cell>
          <cell r="E332">
            <v>926507</v>
          </cell>
          <cell r="F332" t="str">
            <v/>
          </cell>
          <cell r="I332" t="str">
            <v/>
          </cell>
          <cell r="J332" t="str">
            <v/>
          </cell>
          <cell r="U332" t="str">
            <v/>
          </cell>
          <cell r="V332" t="str">
            <v/>
          </cell>
        </row>
        <row r="333">
          <cell r="C333" t="str">
            <v/>
          </cell>
          <cell r="D333" t="str">
            <v/>
          </cell>
          <cell r="E333">
            <v>926507</v>
          </cell>
          <cell r="F333" t="str">
            <v/>
          </cell>
          <cell r="I333" t="str">
            <v/>
          </cell>
          <cell r="J333" t="str">
            <v/>
          </cell>
          <cell r="U333" t="str">
            <v/>
          </cell>
          <cell r="V333" t="str">
            <v/>
          </cell>
        </row>
        <row r="334">
          <cell r="C334" t="str">
            <v/>
          </cell>
          <cell r="D334" t="str">
            <v/>
          </cell>
          <cell r="E334">
            <v>926507</v>
          </cell>
          <cell r="F334" t="str">
            <v/>
          </cell>
          <cell r="I334" t="str">
            <v/>
          </cell>
          <cell r="J334" t="str">
            <v/>
          </cell>
          <cell r="U334" t="str">
            <v/>
          </cell>
          <cell r="V334" t="str">
            <v/>
          </cell>
        </row>
        <row r="335">
          <cell r="C335" t="str">
            <v/>
          </cell>
          <cell r="D335" t="str">
            <v/>
          </cell>
          <cell r="E335">
            <v>926507</v>
          </cell>
          <cell r="F335" t="str">
            <v/>
          </cell>
          <cell r="I335" t="str">
            <v/>
          </cell>
          <cell r="J335" t="str">
            <v/>
          </cell>
          <cell r="U335" t="str">
            <v/>
          </cell>
          <cell r="V335" t="str">
            <v/>
          </cell>
        </row>
        <row r="336">
          <cell r="C336" t="str">
            <v/>
          </cell>
          <cell r="D336" t="str">
            <v/>
          </cell>
          <cell r="E336">
            <v>926507</v>
          </cell>
          <cell r="F336" t="str">
            <v/>
          </cell>
          <cell r="I336" t="str">
            <v/>
          </cell>
          <cell r="J336" t="str">
            <v/>
          </cell>
          <cell r="U336" t="str">
            <v/>
          </cell>
          <cell r="V336" t="str">
            <v/>
          </cell>
        </row>
        <row r="337">
          <cell r="C337" t="str">
            <v/>
          </cell>
          <cell r="D337" t="str">
            <v/>
          </cell>
          <cell r="E337">
            <v>926507</v>
          </cell>
          <cell r="F337" t="str">
            <v/>
          </cell>
          <cell r="I337" t="str">
            <v/>
          </cell>
          <cell r="J337" t="str">
            <v/>
          </cell>
          <cell r="U337" t="str">
            <v/>
          </cell>
          <cell r="V337" t="str">
            <v/>
          </cell>
        </row>
        <row r="338">
          <cell r="C338" t="str">
            <v/>
          </cell>
          <cell r="D338" t="str">
            <v/>
          </cell>
          <cell r="E338">
            <v>926507</v>
          </cell>
          <cell r="F338" t="str">
            <v/>
          </cell>
          <cell r="I338" t="str">
            <v/>
          </cell>
          <cell r="J338" t="str">
            <v/>
          </cell>
          <cell r="U338" t="str">
            <v/>
          </cell>
          <cell r="V338" t="str">
            <v/>
          </cell>
        </row>
        <row r="339">
          <cell r="C339" t="str">
            <v/>
          </cell>
          <cell r="D339" t="str">
            <v/>
          </cell>
          <cell r="E339">
            <v>926507</v>
          </cell>
          <cell r="F339" t="str">
            <v/>
          </cell>
          <cell r="I339" t="str">
            <v/>
          </cell>
          <cell r="J339" t="str">
            <v/>
          </cell>
          <cell r="U339" t="str">
            <v/>
          </cell>
          <cell r="V339" t="str">
            <v/>
          </cell>
        </row>
        <row r="340">
          <cell r="C340" t="str">
            <v/>
          </cell>
          <cell r="D340" t="str">
            <v/>
          </cell>
          <cell r="E340">
            <v>926507</v>
          </cell>
          <cell r="F340" t="str">
            <v/>
          </cell>
          <cell r="I340" t="str">
            <v/>
          </cell>
          <cell r="J340" t="str">
            <v/>
          </cell>
          <cell r="U340" t="str">
            <v/>
          </cell>
          <cell r="V340" t="str">
            <v/>
          </cell>
        </row>
        <row r="341">
          <cell r="C341" t="str">
            <v/>
          </cell>
          <cell r="D341" t="str">
            <v/>
          </cell>
          <cell r="E341">
            <v>926507</v>
          </cell>
          <cell r="F341" t="str">
            <v/>
          </cell>
          <cell r="I341" t="str">
            <v/>
          </cell>
          <cell r="J341" t="str">
            <v/>
          </cell>
          <cell r="U341" t="str">
            <v/>
          </cell>
          <cell r="V341" t="str">
            <v/>
          </cell>
        </row>
        <row r="342">
          <cell r="C342" t="str">
            <v/>
          </cell>
          <cell r="D342" t="str">
            <v/>
          </cell>
          <cell r="E342">
            <v>926507</v>
          </cell>
          <cell r="F342" t="str">
            <v/>
          </cell>
          <cell r="I342" t="str">
            <v/>
          </cell>
          <cell r="J342" t="str">
            <v/>
          </cell>
          <cell r="U342" t="str">
            <v/>
          </cell>
          <cell r="V342" t="str">
            <v/>
          </cell>
        </row>
        <row r="343">
          <cell r="C343" t="str">
            <v/>
          </cell>
          <cell r="D343" t="str">
            <v/>
          </cell>
          <cell r="E343">
            <v>926507</v>
          </cell>
          <cell r="F343" t="str">
            <v/>
          </cell>
          <cell r="I343" t="str">
            <v/>
          </cell>
          <cell r="J343" t="str">
            <v/>
          </cell>
          <cell r="U343" t="str">
            <v/>
          </cell>
          <cell r="V343" t="str">
            <v/>
          </cell>
        </row>
        <row r="344">
          <cell r="C344" t="str">
            <v/>
          </cell>
          <cell r="D344" t="str">
            <v/>
          </cell>
          <cell r="E344">
            <v>926507</v>
          </cell>
          <cell r="F344" t="str">
            <v/>
          </cell>
          <cell r="I344" t="str">
            <v/>
          </cell>
          <cell r="J344" t="str">
            <v/>
          </cell>
          <cell r="U344" t="str">
            <v/>
          </cell>
          <cell r="V344" t="str">
            <v/>
          </cell>
        </row>
        <row r="345">
          <cell r="C345" t="str">
            <v/>
          </cell>
          <cell r="D345" t="str">
            <v/>
          </cell>
          <cell r="E345">
            <v>926507</v>
          </cell>
          <cell r="F345" t="str">
            <v/>
          </cell>
          <cell r="I345" t="str">
            <v/>
          </cell>
          <cell r="J345" t="str">
            <v/>
          </cell>
          <cell r="U345" t="str">
            <v/>
          </cell>
          <cell r="V345" t="str">
            <v/>
          </cell>
        </row>
        <row r="346">
          <cell r="C346" t="str">
            <v/>
          </cell>
          <cell r="D346" t="str">
            <v/>
          </cell>
          <cell r="E346">
            <v>926507</v>
          </cell>
          <cell r="F346" t="str">
            <v/>
          </cell>
          <cell r="I346" t="str">
            <v/>
          </cell>
          <cell r="J346" t="str">
            <v/>
          </cell>
          <cell r="U346" t="str">
            <v/>
          </cell>
          <cell r="V346" t="str">
            <v/>
          </cell>
        </row>
        <row r="347">
          <cell r="C347" t="str">
            <v/>
          </cell>
          <cell r="D347" t="str">
            <v/>
          </cell>
          <cell r="E347">
            <v>926507</v>
          </cell>
          <cell r="F347" t="str">
            <v/>
          </cell>
          <cell r="I347" t="str">
            <v/>
          </cell>
          <cell r="J347" t="str">
            <v/>
          </cell>
          <cell r="U347" t="str">
            <v/>
          </cell>
          <cell r="V347" t="str">
            <v/>
          </cell>
        </row>
        <row r="348">
          <cell r="C348" t="str">
            <v/>
          </cell>
          <cell r="D348" t="str">
            <v/>
          </cell>
          <cell r="E348">
            <v>926507</v>
          </cell>
          <cell r="F348" t="str">
            <v/>
          </cell>
          <cell r="I348" t="str">
            <v/>
          </cell>
          <cell r="J348" t="str">
            <v/>
          </cell>
          <cell r="U348" t="str">
            <v/>
          </cell>
          <cell r="V348" t="str">
            <v/>
          </cell>
        </row>
        <row r="349">
          <cell r="C349" t="str">
            <v/>
          </cell>
          <cell r="D349" t="str">
            <v/>
          </cell>
          <cell r="E349">
            <v>926507</v>
          </cell>
          <cell r="F349" t="str">
            <v/>
          </cell>
          <cell r="I349" t="str">
            <v/>
          </cell>
          <cell r="J349" t="str">
            <v/>
          </cell>
          <cell r="U349" t="str">
            <v/>
          </cell>
          <cell r="V349" t="str">
            <v/>
          </cell>
        </row>
        <row r="350">
          <cell r="C350" t="str">
            <v/>
          </cell>
          <cell r="D350" t="str">
            <v/>
          </cell>
          <cell r="E350">
            <v>926507</v>
          </cell>
          <cell r="F350" t="str">
            <v/>
          </cell>
          <cell r="I350" t="str">
            <v/>
          </cell>
          <cell r="J350" t="str">
            <v/>
          </cell>
          <cell r="U350" t="str">
            <v/>
          </cell>
          <cell r="V350" t="str">
            <v/>
          </cell>
        </row>
        <row r="351">
          <cell r="C351" t="str">
            <v/>
          </cell>
          <cell r="D351" t="str">
            <v/>
          </cell>
          <cell r="E351">
            <v>926507</v>
          </cell>
          <cell r="F351" t="str">
            <v/>
          </cell>
          <cell r="I351" t="str">
            <v/>
          </cell>
          <cell r="J351" t="str">
            <v/>
          </cell>
          <cell r="U351" t="str">
            <v/>
          </cell>
          <cell r="V351" t="str">
            <v/>
          </cell>
        </row>
        <row r="352">
          <cell r="C352" t="str">
            <v/>
          </cell>
          <cell r="D352" t="str">
            <v/>
          </cell>
          <cell r="E352">
            <v>926507</v>
          </cell>
          <cell r="F352" t="str">
            <v/>
          </cell>
          <cell r="I352" t="str">
            <v/>
          </cell>
          <cell r="J352" t="str">
            <v/>
          </cell>
          <cell r="U352" t="str">
            <v/>
          </cell>
          <cell r="V352" t="str">
            <v/>
          </cell>
        </row>
        <row r="353">
          <cell r="C353" t="str">
            <v/>
          </cell>
          <cell r="D353" t="str">
            <v/>
          </cell>
          <cell r="E353">
            <v>926507</v>
          </cell>
          <cell r="F353" t="str">
            <v/>
          </cell>
          <cell r="I353" t="str">
            <v/>
          </cell>
          <cell r="J353" t="str">
            <v/>
          </cell>
          <cell r="U353" t="str">
            <v/>
          </cell>
          <cell r="V353" t="str">
            <v/>
          </cell>
        </row>
        <row r="354">
          <cell r="C354" t="str">
            <v/>
          </cell>
          <cell r="D354" t="str">
            <v/>
          </cell>
          <cell r="E354">
            <v>926507</v>
          </cell>
          <cell r="F354" t="str">
            <v/>
          </cell>
          <cell r="I354" t="str">
            <v/>
          </cell>
          <cell r="J354" t="str">
            <v/>
          </cell>
          <cell r="U354" t="str">
            <v/>
          </cell>
          <cell r="V354" t="str">
            <v/>
          </cell>
        </row>
        <row r="355">
          <cell r="C355" t="str">
            <v/>
          </cell>
          <cell r="D355" t="str">
            <v/>
          </cell>
          <cell r="E355">
            <v>926507</v>
          </cell>
          <cell r="F355" t="str">
            <v/>
          </cell>
          <cell r="I355" t="str">
            <v/>
          </cell>
          <cell r="J355" t="str">
            <v/>
          </cell>
          <cell r="U355" t="str">
            <v/>
          </cell>
          <cell r="V355" t="str">
            <v/>
          </cell>
        </row>
        <row r="356">
          <cell r="C356" t="str">
            <v/>
          </cell>
          <cell r="D356" t="str">
            <v/>
          </cell>
          <cell r="E356">
            <v>926507</v>
          </cell>
          <cell r="F356" t="str">
            <v/>
          </cell>
          <cell r="I356" t="str">
            <v/>
          </cell>
          <cell r="J356" t="str">
            <v/>
          </cell>
          <cell r="U356" t="str">
            <v/>
          </cell>
          <cell r="V356" t="str">
            <v/>
          </cell>
        </row>
        <row r="357">
          <cell r="C357" t="str">
            <v/>
          </cell>
          <cell r="D357" t="str">
            <v/>
          </cell>
          <cell r="E357">
            <v>926507</v>
          </cell>
          <cell r="F357" t="str">
            <v/>
          </cell>
          <cell r="I357" t="str">
            <v/>
          </cell>
          <cell r="J357" t="str">
            <v/>
          </cell>
          <cell r="U357" t="str">
            <v/>
          </cell>
          <cell r="V357" t="str">
            <v/>
          </cell>
        </row>
        <row r="358">
          <cell r="C358" t="str">
            <v/>
          </cell>
          <cell r="D358" t="str">
            <v/>
          </cell>
          <cell r="E358">
            <v>926507</v>
          </cell>
          <cell r="F358" t="str">
            <v/>
          </cell>
          <cell r="I358" t="str">
            <v/>
          </cell>
          <cell r="J358" t="str">
            <v/>
          </cell>
          <cell r="U358" t="str">
            <v/>
          </cell>
          <cell r="V358" t="str">
            <v/>
          </cell>
        </row>
        <row r="359">
          <cell r="C359" t="str">
            <v/>
          </cell>
          <cell r="D359" t="str">
            <v/>
          </cell>
          <cell r="E359">
            <v>926507</v>
          </cell>
          <cell r="F359" t="str">
            <v/>
          </cell>
          <cell r="I359" t="str">
            <v/>
          </cell>
          <cell r="J359" t="str">
            <v/>
          </cell>
          <cell r="U359" t="str">
            <v/>
          </cell>
          <cell r="V359" t="str">
            <v/>
          </cell>
        </row>
        <row r="360">
          <cell r="C360" t="str">
            <v/>
          </cell>
          <cell r="D360" t="str">
            <v/>
          </cell>
          <cell r="E360">
            <v>926507</v>
          </cell>
          <cell r="F360" t="str">
            <v/>
          </cell>
          <cell r="I360" t="str">
            <v/>
          </cell>
          <cell r="J360" t="str">
            <v/>
          </cell>
          <cell r="U360" t="str">
            <v/>
          </cell>
          <cell r="V360" t="str">
            <v/>
          </cell>
        </row>
        <row r="361">
          <cell r="C361" t="str">
            <v/>
          </cell>
          <cell r="D361" t="str">
            <v/>
          </cell>
          <cell r="E361">
            <v>926507</v>
          </cell>
          <cell r="F361" t="str">
            <v/>
          </cell>
          <cell r="I361" t="str">
            <v/>
          </cell>
          <cell r="J361" t="str">
            <v/>
          </cell>
          <cell r="U361" t="str">
            <v/>
          </cell>
          <cell r="V361" t="str">
            <v/>
          </cell>
        </row>
        <row r="362">
          <cell r="C362" t="str">
            <v/>
          </cell>
          <cell r="D362" t="str">
            <v/>
          </cell>
          <cell r="E362">
            <v>926507</v>
          </cell>
          <cell r="F362" t="str">
            <v/>
          </cell>
          <cell r="I362" t="str">
            <v/>
          </cell>
          <cell r="J362" t="str">
            <v/>
          </cell>
          <cell r="U362" t="str">
            <v/>
          </cell>
          <cell r="V362" t="str">
            <v/>
          </cell>
        </row>
        <row r="363">
          <cell r="C363" t="str">
            <v/>
          </cell>
          <cell r="D363" t="str">
            <v/>
          </cell>
          <cell r="E363">
            <v>926507</v>
          </cell>
          <cell r="F363" t="str">
            <v/>
          </cell>
          <cell r="I363" t="str">
            <v/>
          </cell>
          <cell r="J363" t="str">
            <v/>
          </cell>
          <cell r="U363" t="str">
            <v/>
          </cell>
          <cell r="V363" t="str">
            <v/>
          </cell>
        </row>
        <row r="364">
          <cell r="C364" t="str">
            <v/>
          </cell>
          <cell r="D364" t="str">
            <v/>
          </cell>
          <cell r="E364">
            <v>926507</v>
          </cell>
          <cell r="F364" t="str">
            <v/>
          </cell>
          <cell r="I364" t="str">
            <v/>
          </cell>
          <cell r="J364" t="str">
            <v/>
          </cell>
          <cell r="U364" t="str">
            <v/>
          </cell>
          <cell r="V364" t="str">
            <v/>
          </cell>
        </row>
        <row r="365">
          <cell r="C365" t="str">
            <v/>
          </cell>
          <cell r="D365" t="str">
            <v/>
          </cell>
          <cell r="E365">
            <v>926507</v>
          </cell>
          <cell r="F365" t="str">
            <v/>
          </cell>
          <cell r="I365" t="str">
            <v/>
          </cell>
          <cell r="J365" t="str">
            <v/>
          </cell>
          <cell r="U365" t="str">
            <v/>
          </cell>
          <cell r="V365" t="str">
            <v/>
          </cell>
        </row>
        <row r="366">
          <cell r="C366" t="str">
            <v/>
          </cell>
          <cell r="D366" t="str">
            <v/>
          </cell>
          <cell r="E366">
            <v>926507</v>
          </cell>
          <cell r="F366" t="str">
            <v/>
          </cell>
          <cell r="I366" t="str">
            <v/>
          </cell>
          <cell r="J366" t="str">
            <v/>
          </cell>
          <cell r="U366" t="str">
            <v/>
          </cell>
          <cell r="V366" t="str">
            <v/>
          </cell>
        </row>
        <row r="367">
          <cell r="C367" t="str">
            <v/>
          </cell>
          <cell r="D367" t="str">
            <v/>
          </cell>
          <cell r="E367">
            <v>926507</v>
          </cell>
          <cell r="F367" t="str">
            <v/>
          </cell>
          <cell r="I367" t="str">
            <v/>
          </cell>
          <cell r="J367" t="str">
            <v/>
          </cell>
          <cell r="U367" t="str">
            <v/>
          </cell>
          <cell r="V367" t="str">
            <v/>
          </cell>
        </row>
        <row r="368">
          <cell r="C368" t="str">
            <v/>
          </cell>
          <cell r="D368" t="str">
            <v/>
          </cell>
          <cell r="E368">
            <v>926507</v>
          </cell>
          <cell r="F368" t="str">
            <v/>
          </cell>
          <cell r="I368" t="str">
            <v/>
          </cell>
          <cell r="J368" t="str">
            <v/>
          </cell>
          <cell r="U368" t="str">
            <v/>
          </cell>
          <cell r="V368" t="str">
            <v/>
          </cell>
        </row>
        <row r="369">
          <cell r="C369" t="str">
            <v/>
          </cell>
          <cell r="D369" t="str">
            <v/>
          </cell>
          <cell r="E369">
            <v>926507</v>
          </cell>
          <cell r="F369" t="str">
            <v/>
          </cell>
          <cell r="I369" t="str">
            <v/>
          </cell>
          <cell r="J369" t="str">
            <v/>
          </cell>
          <cell r="U369" t="str">
            <v/>
          </cell>
          <cell r="V369" t="str">
            <v/>
          </cell>
        </row>
        <row r="370">
          <cell r="C370" t="str">
            <v/>
          </cell>
          <cell r="D370" t="str">
            <v/>
          </cell>
          <cell r="E370">
            <v>926507</v>
          </cell>
          <cell r="F370" t="str">
            <v/>
          </cell>
          <cell r="I370" t="str">
            <v/>
          </cell>
          <cell r="J370" t="str">
            <v/>
          </cell>
          <cell r="U370" t="str">
            <v/>
          </cell>
          <cell r="V370" t="str">
            <v/>
          </cell>
        </row>
        <row r="371">
          <cell r="C371" t="str">
            <v/>
          </cell>
          <cell r="D371" t="str">
            <v/>
          </cell>
          <cell r="E371">
            <v>926507</v>
          </cell>
          <cell r="F371" t="str">
            <v/>
          </cell>
          <cell r="I371" t="str">
            <v/>
          </cell>
          <cell r="J371" t="str">
            <v/>
          </cell>
          <cell r="U371" t="str">
            <v/>
          </cell>
          <cell r="V371" t="str">
            <v/>
          </cell>
        </row>
        <row r="372">
          <cell r="C372" t="str">
            <v/>
          </cell>
          <cell r="D372" t="str">
            <v/>
          </cell>
          <cell r="E372">
            <v>926507</v>
          </cell>
          <cell r="F372" t="str">
            <v/>
          </cell>
          <cell r="I372" t="str">
            <v/>
          </cell>
          <cell r="J372" t="str">
            <v/>
          </cell>
          <cell r="U372" t="str">
            <v/>
          </cell>
          <cell r="V372" t="str">
            <v/>
          </cell>
        </row>
        <row r="373">
          <cell r="C373" t="str">
            <v/>
          </cell>
          <cell r="D373" t="str">
            <v/>
          </cell>
          <cell r="E373">
            <v>926507</v>
          </cell>
          <cell r="F373" t="str">
            <v/>
          </cell>
          <cell r="I373" t="str">
            <v/>
          </cell>
          <cell r="J373" t="str">
            <v/>
          </cell>
          <cell r="U373" t="str">
            <v/>
          </cell>
          <cell r="V373" t="str">
            <v/>
          </cell>
        </row>
        <row r="374">
          <cell r="C374" t="str">
            <v/>
          </cell>
          <cell r="D374" t="str">
            <v/>
          </cell>
          <cell r="E374">
            <v>926507</v>
          </cell>
          <cell r="F374" t="str">
            <v/>
          </cell>
          <cell r="I374" t="str">
            <v/>
          </cell>
          <cell r="J374" t="str">
            <v/>
          </cell>
          <cell r="U374" t="str">
            <v/>
          </cell>
          <cell r="V374" t="str">
            <v/>
          </cell>
        </row>
        <row r="375">
          <cell r="C375" t="str">
            <v/>
          </cell>
          <cell r="D375" t="str">
            <v/>
          </cell>
          <cell r="E375">
            <v>926507</v>
          </cell>
          <cell r="F375" t="str">
            <v/>
          </cell>
          <cell r="I375" t="str">
            <v/>
          </cell>
          <cell r="J375" t="str">
            <v/>
          </cell>
          <cell r="U375" t="str">
            <v/>
          </cell>
          <cell r="V375" t="str">
            <v/>
          </cell>
        </row>
        <row r="376">
          <cell r="C376" t="str">
            <v/>
          </cell>
          <cell r="D376" t="str">
            <v/>
          </cell>
          <cell r="E376">
            <v>926507</v>
          </cell>
          <cell r="F376" t="str">
            <v/>
          </cell>
          <cell r="I376" t="str">
            <v/>
          </cell>
          <cell r="J376" t="str">
            <v/>
          </cell>
          <cell r="U376" t="str">
            <v/>
          </cell>
          <cell r="V376" t="str">
            <v/>
          </cell>
        </row>
        <row r="377">
          <cell r="C377" t="str">
            <v/>
          </cell>
          <cell r="D377" t="str">
            <v/>
          </cell>
          <cell r="E377">
            <v>926507</v>
          </cell>
          <cell r="F377" t="str">
            <v/>
          </cell>
          <cell r="I377" t="str">
            <v/>
          </cell>
          <cell r="J377" t="str">
            <v/>
          </cell>
          <cell r="U377" t="str">
            <v/>
          </cell>
          <cell r="V377" t="str">
            <v/>
          </cell>
        </row>
        <row r="378">
          <cell r="C378" t="str">
            <v/>
          </cell>
          <cell r="D378" t="str">
            <v/>
          </cell>
          <cell r="E378">
            <v>926507</v>
          </cell>
          <cell r="F378" t="str">
            <v/>
          </cell>
          <cell r="I378" t="str">
            <v/>
          </cell>
          <cell r="J378" t="str">
            <v/>
          </cell>
          <cell r="U378" t="str">
            <v/>
          </cell>
          <cell r="V378" t="str">
            <v/>
          </cell>
        </row>
        <row r="379">
          <cell r="C379" t="str">
            <v/>
          </cell>
          <cell r="D379" t="str">
            <v/>
          </cell>
          <cell r="E379">
            <v>926507</v>
          </cell>
          <cell r="F379" t="str">
            <v/>
          </cell>
          <cell r="I379" t="str">
            <v/>
          </cell>
          <cell r="J379" t="str">
            <v/>
          </cell>
          <cell r="U379" t="str">
            <v/>
          </cell>
          <cell r="V379" t="str">
            <v/>
          </cell>
        </row>
        <row r="380">
          <cell r="C380" t="str">
            <v/>
          </cell>
          <cell r="D380" t="str">
            <v/>
          </cell>
          <cell r="E380">
            <v>926507</v>
          </cell>
          <cell r="F380" t="str">
            <v/>
          </cell>
          <cell r="I380" t="str">
            <v/>
          </cell>
          <cell r="J380" t="str">
            <v/>
          </cell>
          <cell r="U380" t="str">
            <v/>
          </cell>
          <cell r="V380" t="str">
            <v/>
          </cell>
        </row>
        <row r="381">
          <cell r="C381" t="str">
            <v/>
          </cell>
          <cell r="D381" t="str">
            <v/>
          </cell>
          <cell r="E381">
            <v>926507</v>
          </cell>
          <cell r="F381" t="str">
            <v/>
          </cell>
          <cell r="I381" t="str">
            <v/>
          </cell>
          <cell r="J381" t="str">
            <v/>
          </cell>
          <cell r="U381" t="str">
            <v/>
          </cell>
          <cell r="V381" t="str">
            <v/>
          </cell>
        </row>
        <row r="382">
          <cell r="C382" t="str">
            <v/>
          </cell>
          <cell r="D382" t="str">
            <v/>
          </cell>
          <cell r="E382">
            <v>926507</v>
          </cell>
          <cell r="F382" t="str">
            <v/>
          </cell>
          <cell r="I382" t="str">
            <v/>
          </cell>
          <cell r="J382" t="str">
            <v/>
          </cell>
          <cell r="U382" t="str">
            <v/>
          </cell>
          <cell r="V382" t="str">
            <v/>
          </cell>
        </row>
        <row r="383">
          <cell r="C383" t="str">
            <v/>
          </cell>
          <cell r="D383" t="str">
            <v/>
          </cell>
          <cell r="E383">
            <v>926507</v>
          </cell>
          <cell r="F383" t="str">
            <v/>
          </cell>
          <cell r="I383" t="str">
            <v/>
          </cell>
          <cell r="J383" t="str">
            <v/>
          </cell>
          <cell r="U383" t="str">
            <v/>
          </cell>
          <cell r="V383" t="str">
            <v/>
          </cell>
        </row>
        <row r="384">
          <cell r="C384" t="str">
            <v/>
          </cell>
          <cell r="D384" t="str">
            <v/>
          </cell>
          <cell r="E384">
            <v>926507</v>
          </cell>
          <cell r="F384" t="str">
            <v/>
          </cell>
          <cell r="I384" t="str">
            <v/>
          </cell>
          <cell r="J384" t="str">
            <v/>
          </cell>
          <cell r="U384" t="str">
            <v/>
          </cell>
          <cell r="V384" t="str">
            <v/>
          </cell>
        </row>
        <row r="385">
          <cell r="C385" t="str">
            <v/>
          </cell>
          <cell r="D385" t="str">
            <v/>
          </cell>
          <cell r="E385">
            <v>926507</v>
          </cell>
          <cell r="F385" t="str">
            <v/>
          </cell>
          <cell r="I385" t="str">
            <v/>
          </cell>
          <cell r="J385" t="str">
            <v/>
          </cell>
          <cell r="U385" t="str">
            <v/>
          </cell>
          <cell r="V385" t="str">
            <v/>
          </cell>
        </row>
        <row r="386">
          <cell r="C386" t="str">
            <v/>
          </cell>
          <cell r="D386" t="str">
            <v/>
          </cell>
          <cell r="E386">
            <v>926507</v>
          </cell>
          <cell r="F386" t="str">
            <v/>
          </cell>
          <cell r="I386" t="str">
            <v/>
          </cell>
          <cell r="J386" t="str">
            <v/>
          </cell>
          <cell r="U386" t="str">
            <v/>
          </cell>
          <cell r="V386" t="str">
            <v/>
          </cell>
        </row>
        <row r="387">
          <cell r="C387" t="str">
            <v/>
          </cell>
          <cell r="D387" t="str">
            <v/>
          </cell>
          <cell r="E387">
            <v>926507</v>
          </cell>
          <cell r="F387" t="str">
            <v/>
          </cell>
          <cell r="I387" t="str">
            <v/>
          </cell>
          <cell r="J387" t="str">
            <v/>
          </cell>
          <cell r="U387" t="str">
            <v/>
          </cell>
          <cell r="V387" t="str">
            <v/>
          </cell>
        </row>
        <row r="388">
          <cell r="C388" t="str">
            <v/>
          </cell>
          <cell r="D388" t="str">
            <v/>
          </cell>
          <cell r="E388">
            <v>926507</v>
          </cell>
          <cell r="F388" t="str">
            <v/>
          </cell>
          <cell r="I388" t="str">
            <v/>
          </cell>
          <cell r="J388" t="str">
            <v/>
          </cell>
          <cell r="U388" t="str">
            <v/>
          </cell>
          <cell r="V388" t="str">
            <v/>
          </cell>
        </row>
        <row r="389">
          <cell r="C389" t="str">
            <v/>
          </cell>
          <cell r="D389" t="str">
            <v/>
          </cell>
          <cell r="E389">
            <v>926507</v>
          </cell>
          <cell r="F389" t="str">
            <v/>
          </cell>
          <cell r="I389" t="str">
            <v/>
          </cell>
          <cell r="J389" t="str">
            <v/>
          </cell>
          <cell r="U389" t="str">
            <v/>
          </cell>
          <cell r="V389" t="str">
            <v/>
          </cell>
        </row>
        <row r="390">
          <cell r="C390" t="str">
            <v/>
          </cell>
          <cell r="D390" t="str">
            <v/>
          </cell>
          <cell r="E390">
            <v>926507</v>
          </cell>
          <cell r="F390" t="str">
            <v/>
          </cell>
          <cell r="I390" t="str">
            <v/>
          </cell>
          <cell r="J390" t="str">
            <v/>
          </cell>
          <cell r="U390" t="str">
            <v/>
          </cell>
          <cell r="V390" t="str">
            <v/>
          </cell>
        </row>
        <row r="391">
          <cell r="C391" t="str">
            <v/>
          </cell>
          <cell r="D391" t="str">
            <v/>
          </cell>
          <cell r="E391">
            <v>926507</v>
          </cell>
          <cell r="F391" t="str">
            <v/>
          </cell>
          <cell r="I391" t="str">
            <v/>
          </cell>
          <cell r="J391" t="str">
            <v/>
          </cell>
          <cell r="U391" t="str">
            <v/>
          </cell>
          <cell r="V391" t="str">
            <v/>
          </cell>
        </row>
        <row r="392">
          <cell r="C392" t="str">
            <v/>
          </cell>
          <cell r="D392" t="str">
            <v/>
          </cell>
          <cell r="E392">
            <v>926507</v>
          </cell>
          <cell r="F392" t="str">
            <v/>
          </cell>
          <cell r="I392" t="str">
            <v/>
          </cell>
          <cell r="J392" t="str">
            <v/>
          </cell>
          <cell r="U392" t="str">
            <v/>
          </cell>
          <cell r="V392" t="str">
            <v/>
          </cell>
        </row>
        <row r="393">
          <cell r="C393" t="str">
            <v/>
          </cell>
          <cell r="D393" t="str">
            <v/>
          </cell>
          <cell r="E393">
            <v>926507</v>
          </cell>
          <cell r="F393" t="str">
            <v/>
          </cell>
          <cell r="I393" t="str">
            <v/>
          </cell>
          <cell r="J393" t="str">
            <v/>
          </cell>
          <cell r="U393" t="str">
            <v/>
          </cell>
          <cell r="V393" t="str">
            <v/>
          </cell>
        </row>
        <row r="394">
          <cell r="C394" t="str">
            <v/>
          </cell>
          <cell r="D394" t="str">
            <v/>
          </cell>
          <cell r="E394">
            <v>926507</v>
          </cell>
          <cell r="F394" t="str">
            <v/>
          </cell>
          <cell r="I394" t="str">
            <v/>
          </cell>
          <cell r="J394" t="str">
            <v/>
          </cell>
          <cell r="U394" t="str">
            <v/>
          </cell>
          <cell r="V394" t="str">
            <v/>
          </cell>
        </row>
        <row r="395">
          <cell r="C395" t="str">
            <v/>
          </cell>
          <cell r="D395" t="str">
            <v/>
          </cell>
          <cell r="E395">
            <v>926507</v>
          </cell>
          <cell r="F395" t="str">
            <v/>
          </cell>
          <cell r="I395" t="str">
            <v/>
          </cell>
          <cell r="J395" t="str">
            <v/>
          </cell>
          <cell r="U395" t="str">
            <v/>
          </cell>
          <cell r="V395" t="str">
            <v/>
          </cell>
        </row>
        <row r="396">
          <cell r="C396" t="str">
            <v/>
          </cell>
          <cell r="D396" t="str">
            <v/>
          </cell>
          <cell r="E396">
            <v>926507</v>
          </cell>
          <cell r="F396" t="str">
            <v/>
          </cell>
          <cell r="I396" t="str">
            <v/>
          </cell>
          <cell r="J396" t="str">
            <v/>
          </cell>
          <cell r="U396" t="str">
            <v/>
          </cell>
          <cell r="V396" t="str">
            <v/>
          </cell>
        </row>
        <row r="397">
          <cell r="C397" t="str">
            <v/>
          </cell>
          <cell r="D397" t="str">
            <v/>
          </cell>
          <cell r="E397">
            <v>926507</v>
          </cell>
          <cell r="F397" t="str">
            <v/>
          </cell>
          <cell r="I397" t="str">
            <v/>
          </cell>
          <cell r="J397" t="str">
            <v/>
          </cell>
          <cell r="U397" t="str">
            <v/>
          </cell>
          <cell r="V397" t="str">
            <v/>
          </cell>
        </row>
        <row r="398">
          <cell r="C398" t="str">
            <v/>
          </cell>
          <cell r="D398" t="str">
            <v/>
          </cell>
          <cell r="E398">
            <v>926507</v>
          </cell>
          <cell r="F398" t="str">
            <v/>
          </cell>
          <cell r="I398" t="str">
            <v/>
          </cell>
          <cell r="J398" t="str">
            <v/>
          </cell>
          <cell r="U398" t="str">
            <v/>
          </cell>
          <cell r="V398" t="str">
            <v/>
          </cell>
        </row>
        <row r="399">
          <cell r="C399" t="str">
            <v/>
          </cell>
          <cell r="D399" t="str">
            <v/>
          </cell>
          <cell r="E399">
            <v>926507</v>
          </cell>
          <cell r="F399" t="str">
            <v/>
          </cell>
          <cell r="I399" t="str">
            <v/>
          </cell>
          <cell r="J399" t="str">
            <v/>
          </cell>
          <cell r="U399" t="str">
            <v/>
          </cell>
          <cell r="V399" t="str">
            <v/>
          </cell>
        </row>
        <row r="400">
          <cell r="C400" t="str">
            <v/>
          </cell>
          <cell r="D400" t="str">
            <v/>
          </cell>
          <cell r="E400">
            <v>926507</v>
          </cell>
          <cell r="F400" t="str">
            <v/>
          </cell>
          <cell r="I400" t="str">
            <v/>
          </cell>
          <cell r="J400" t="str">
            <v/>
          </cell>
          <cell r="U400" t="str">
            <v/>
          </cell>
          <cell r="V400" t="str">
            <v/>
          </cell>
        </row>
        <row r="401">
          <cell r="C401" t="str">
            <v/>
          </cell>
          <cell r="D401" t="str">
            <v/>
          </cell>
          <cell r="E401">
            <v>926507</v>
          </cell>
          <cell r="F401" t="str">
            <v/>
          </cell>
          <cell r="I401" t="str">
            <v/>
          </cell>
          <cell r="J401" t="str">
            <v/>
          </cell>
          <cell r="U401" t="str">
            <v/>
          </cell>
          <cell r="V401" t="str">
            <v/>
          </cell>
        </row>
        <row r="402">
          <cell r="C402" t="str">
            <v/>
          </cell>
          <cell r="D402" t="str">
            <v/>
          </cell>
          <cell r="E402">
            <v>926507</v>
          </cell>
          <cell r="F402" t="str">
            <v/>
          </cell>
          <cell r="I402" t="str">
            <v/>
          </cell>
          <cell r="J402" t="str">
            <v/>
          </cell>
          <cell r="U402" t="str">
            <v/>
          </cell>
          <cell r="V402" t="str">
            <v/>
          </cell>
        </row>
        <row r="403">
          <cell r="C403" t="str">
            <v/>
          </cell>
          <cell r="D403" t="str">
            <v/>
          </cell>
          <cell r="E403">
            <v>926507</v>
          </cell>
          <cell r="F403" t="str">
            <v/>
          </cell>
          <cell r="I403" t="str">
            <v/>
          </cell>
          <cell r="J403" t="str">
            <v/>
          </cell>
          <cell r="U403" t="str">
            <v/>
          </cell>
          <cell r="V403" t="str">
            <v/>
          </cell>
        </row>
        <row r="404">
          <cell r="C404" t="str">
            <v/>
          </cell>
          <cell r="D404" t="str">
            <v/>
          </cell>
          <cell r="E404">
            <v>926507</v>
          </cell>
          <cell r="F404" t="str">
            <v/>
          </cell>
          <cell r="I404" t="str">
            <v/>
          </cell>
          <cell r="J404" t="str">
            <v/>
          </cell>
          <cell r="U404" t="str">
            <v/>
          </cell>
          <cell r="V404" t="str">
            <v/>
          </cell>
        </row>
        <row r="405">
          <cell r="C405" t="str">
            <v/>
          </cell>
          <cell r="D405" t="str">
            <v/>
          </cell>
          <cell r="E405">
            <v>926507</v>
          </cell>
          <cell r="F405" t="str">
            <v/>
          </cell>
          <cell r="I405" t="str">
            <v/>
          </cell>
          <cell r="J405" t="str">
            <v/>
          </cell>
          <cell r="U405" t="str">
            <v/>
          </cell>
          <cell r="V405" t="str">
            <v/>
          </cell>
        </row>
        <row r="406">
          <cell r="C406" t="str">
            <v/>
          </cell>
          <cell r="D406" t="str">
            <v/>
          </cell>
          <cell r="E406">
            <v>926507</v>
          </cell>
          <cell r="F406" t="str">
            <v/>
          </cell>
          <cell r="I406" t="str">
            <v/>
          </cell>
          <cell r="J406" t="str">
            <v/>
          </cell>
          <cell r="U406" t="str">
            <v/>
          </cell>
          <cell r="V406" t="str">
            <v/>
          </cell>
        </row>
        <row r="407">
          <cell r="C407" t="str">
            <v/>
          </cell>
          <cell r="D407" t="str">
            <v/>
          </cell>
          <cell r="E407">
            <v>926507</v>
          </cell>
          <cell r="F407" t="str">
            <v/>
          </cell>
          <cell r="I407" t="str">
            <v/>
          </cell>
          <cell r="J407" t="str">
            <v/>
          </cell>
          <cell r="U407" t="str">
            <v/>
          </cell>
          <cell r="V407" t="str">
            <v/>
          </cell>
        </row>
        <row r="408">
          <cell r="C408" t="str">
            <v/>
          </cell>
          <cell r="D408" t="str">
            <v/>
          </cell>
          <cell r="E408">
            <v>926507</v>
          </cell>
          <cell r="F408" t="str">
            <v/>
          </cell>
          <cell r="I408" t="str">
            <v/>
          </cell>
          <cell r="J408" t="str">
            <v/>
          </cell>
          <cell r="U408" t="str">
            <v/>
          </cell>
          <cell r="V408" t="str">
            <v/>
          </cell>
        </row>
        <row r="409">
          <cell r="C409" t="str">
            <v/>
          </cell>
          <cell r="D409" t="str">
            <v/>
          </cell>
          <cell r="E409">
            <v>926507</v>
          </cell>
          <cell r="F409" t="str">
            <v/>
          </cell>
          <cell r="I409" t="str">
            <v/>
          </cell>
          <cell r="J409" t="str">
            <v/>
          </cell>
          <cell r="U409" t="str">
            <v/>
          </cell>
          <cell r="V409" t="str">
            <v/>
          </cell>
        </row>
        <row r="410">
          <cell r="C410" t="str">
            <v/>
          </cell>
          <cell r="D410" t="str">
            <v/>
          </cell>
          <cell r="E410">
            <v>926507</v>
          </cell>
          <cell r="F410" t="str">
            <v/>
          </cell>
          <cell r="I410" t="str">
            <v/>
          </cell>
          <cell r="J410" t="str">
            <v/>
          </cell>
          <cell r="U410" t="str">
            <v/>
          </cell>
          <cell r="V410" t="str">
            <v/>
          </cell>
        </row>
        <row r="411">
          <cell r="C411" t="str">
            <v/>
          </cell>
          <cell r="D411" t="str">
            <v/>
          </cell>
          <cell r="E411">
            <v>926507</v>
          </cell>
          <cell r="F411" t="str">
            <v/>
          </cell>
          <cell r="I411" t="str">
            <v/>
          </cell>
          <cell r="J411" t="str">
            <v/>
          </cell>
          <cell r="U411" t="str">
            <v/>
          </cell>
          <cell r="V411" t="str">
            <v/>
          </cell>
        </row>
        <row r="412">
          <cell r="C412" t="str">
            <v/>
          </cell>
          <cell r="D412" t="str">
            <v/>
          </cell>
          <cell r="E412">
            <v>926507</v>
          </cell>
          <cell r="F412" t="str">
            <v/>
          </cell>
          <cell r="I412" t="str">
            <v/>
          </cell>
          <cell r="J412" t="str">
            <v/>
          </cell>
          <cell r="U412" t="str">
            <v/>
          </cell>
          <cell r="V412" t="str">
            <v/>
          </cell>
        </row>
        <row r="413">
          <cell r="C413" t="str">
            <v/>
          </cell>
          <cell r="D413" t="str">
            <v/>
          </cell>
          <cell r="E413">
            <v>926507</v>
          </cell>
          <cell r="F413" t="str">
            <v/>
          </cell>
          <cell r="I413" t="str">
            <v/>
          </cell>
          <cell r="J413" t="str">
            <v/>
          </cell>
          <cell r="U413" t="str">
            <v/>
          </cell>
          <cell r="V413" t="str">
            <v/>
          </cell>
        </row>
        <row r="414">
          <cell r="C414" t="str">
            <v/>
          </cell>
          <cell r="D414" t="str">
            <v/>
          </cell>
          <cell r="E414">
            <v>926507</v>
          </cell>
          <cell r="F414" t="str">
            <v/>
          </cell>
          <cell r="I414" t="str">
            <v/>
          </cell>
          <cell r="J414" t="str">
            <v/>
          </cell>
          <cell r="U414" t="str">
            <v/>
          </cell>
          <cell r="V414" t="str">
            <v/>
          </cell>
        </row>
        <row r="415">
          <cell r="C415" t="str">
            <v/>
          </cell>
          <cell r="D415" t="str">
            <v/>
          </cell>
          <cell r="E415">
            <v>926507</v>
          </cell>
          <cell r="F415" t="str">
            <v/>
          </cell>
          <cell r="I415" t="str">
            <v/>
          </cell>
          <cell r="J415" t="str">
            <v/>
          </cell>
          <cell r="U415" t="str">
            <v/>
          </cell>
          <cell r="V415" t="str">
            <v/>
          </cell>
        </row>
        <row r="416">
          <cell r="C416" t="str">
            <v/>
          </cell>
          <cell r="D416" t="str">
            <v/>
          </cell>
          <cell r="E416">
            <v>926507</v>
          </cell>
          <cell r="F416" t="str">
            <v/>
          </cell>
          <cell r="I416" t="str">
            <v/>
          </cell>
          <cell r="J416" t="str">
            <v/>
          </cell>
          <cell r="U416" t="str">
            <v/>
          </cell>
          <cell r="V416" t="str">
            <v/>
          </cell>
        </row>
        <row r="417">
          <cell r="C417" t="str">
            <v/>
          </cell>
          <cell r="D417" t="str">
            <v/>
          </cell>
          <cell r="E417">
            <v>926507</v>
          </cell>
          <cell r="F417" t="str">
            <v/>
          </cell>
          <cell r="I417" t="str">
            <v/>
          </cell>
          <cell r="J417" t="str">
            <v/>
          </cell>
          <cell r="U417" t="str">
            <v/>
          </cell>
          <cell r="V417" t="str">
            <v/>
          </cell>
        </row>
        <row r="418">
          <cell r="C418" t="str">
            <v/>
          </cell>
          <cell r="D418" t="str">
            <v/>
          </cell>
          <cell r="E418">
            <v>926507</v>
          </cell>
          <cell r="F418" t="str">
            <v/>
          </cell>
          <cell r="I418" t="str">
            <v/>
          </cell>
          <cell r="J418" t="str">
            <v/>
          </cell>
          <cell r="U418" t="str">
            <v/>
          </cell>
          <cell r="V418" t="str">
            <v/>
          </cell>
        </row>
        <row r="419">
          <cell r="C419" t="str">
            <v/>
          </cell>
          <cell r="D419" t="str">
            <v/>
          </cell>
          <cell r="E419">
            <v>926507</v>
          </cell>
          <cell r="F419" t="str">
            <v/>
          </cell>
          <cell r="I419" t="str">
            <v/>
          </cell>
          <cell r="J419" t="str">
            <v/>
          </cell>
          <cell r="U419" t="str">
            <v/>
          </cell>
          <cell r="V419" t="str">
            <v/>
          </cell>
        </row>
        <row r="420">
          <cell r="C420" t="str">
            <v/>
          </cell>
          <cell r="D420" t="str">
            <v/>
          </cell>
          <cell r="E420">
            <v>926507</v>
          </cell>
          <cell r="F420" t="str">
            <v/>
          </cell>
          <cell r="I420" t="str">
            <v/>
          </cell>
          <cell r="J420" t="str">
            <v/>
          </cell>
          <cell r="U420" t="str">
            <v/>
          </cell>
          <cell r="V420" t="str">
            <v/>
          </cell>
        </row>
        <row r="421">
          <cell r="C421" t="str">
            <v/>
          </cell>
          <cell r="D421" t="str">
            <v/>
          </cell>
          <cell r="E421">
            <v>926507</v>
          </cell>
          <cell r="F421" t="str">
            <v/>
          </cell>
          <cell r="I421" t="str">
            <v/>
          </cell>
          <cell r="J421" t="str">
            <v/>
          </cell>
          <cell r="U421" t="str">
            <v/>
          </cell>
          <cell r="V421" t="str">
            <v/>
          </cell>
        </row>
        <row r="422">
          <cell r="C422" t="str">
            <v/>
          </cell>
          <cell r="D422" t="str">
            <v/>
          </cell>
          <cell r="E422">
            <v>926507</v>
          </cell>
          <cell r="F422" t="str">
            <v/>
          </cell>
          <cell r="I422" t="str">
            <v/>
          </cell>
          <cell r="J422" t="str">
            <v/>
          </cell>
          <cell r="U422" t="str">
            <v/>
          </cell>
          <cell r="V422" t="str">
            <v/>
          </cell>
        </row>
        <row r="423">
          <cell r="C423" t="str">
            <v/>
          </cell>
          <cell r="D423" t="str">
            <v/>
          </cell>
          <cell r="E423">
            <v>926507</v>
          </cell>
          <cell r="F423" t="str">
            <v/>
          </cell>
          <cell r="I423" t="str">
            <v/>
          </cell>
          <cell r="J423" t="str">
            <v/>
          </cell>
          <cell r="U423" t="str">
            <v/>
          </cell>
          <cell r="V423" t="str">
            <v/>
          </cell>
        </row>
        <row r="424">
          <cell r="C424" t="str">
            <v/>
          </cell>
          <cell r="D424" t="str">
            <v/>
          </cell>
          <cell r="E424">
            <v>926507</v>
          </cell>
          <cell r="F424" t="str">
            <v/>
          </cell>
          <cell r="I424" t="str">
            <v/>
          </cell>
          <cell r="J424" t="str">
            <v/>
          </cell>
          <cell r="U424" t="str">
            <v/>
          </cell>
          <cell r="V424" t="str">
            <v/>
          </cell>
        </row>
        <row r="425">
          <cell r="C425" t="str">
            <v/>
          </cell>
          <cell r="D425" t="str">
            <v/>
          </cell>
          <cell r="E425">
            <v>926507</v>
          </cell>
          <cell r="F425" t="str">
            <v/>
          </cell>
          <cell r="I425" t="str">
            <v/>
          </cell>
          <cell r="J425" t="str">
            <v/>
          </cell>
          <cell r="U425" t="str">
            <v/>
          </cell>
          <cell r="V425" t="str">
            <v/>
          </cell>
        </row>
        <row r="426">
          <cell r="C426" t="str">
            <v/>
          </cell>
          <cell r="D426" t="str">
            <v/>
          </cell>
          <cell r="E426">
            <v>926507</v>
          </cell>
          <cell r="F426" t="str">
            <v/>
          </cell>
          <cell r="I426" t="str">
            <v/>
          </cell>
          <cell r="J426" t="str">
            <v/>
          </cell>
          <cell r="U426" t="str">
            <v/>
          </cell>
          <cell r="V426" t="str">
            <v/>
          </cell>
        </row>
        <row r="427">
          <cell r="C427" t="str">
            <v/>
          </cell>
          <cell r="D427" t="str">
            <v/>
          </cell>
          <cell r="E427">
            <v>926507</v>
          </cell>
          <cell r="F427" t="str">
            <v/>
          </cell>
          <cell r="I427" t="str">
            <v/>
          </cell>
          <cell r="J427" t="str">
            <v/>
          </cell>
          <cell r="U427" t="str">
            <v/>
          </cell>
          <cell r="V427" t="str">
            <v/>
          </cell>
        </row>
        <row r="428">
          <cell r="C428" t="str">
            <v/>
          </cell>
          <cell r="D428" t="str">
            <v/>
          </cell>
          <cell r="E428">
            <v>926507</v>
          </cell>
          <cell r="F428" t="str">
            <v/>
          </cell>
          <cell r="I428" t="str">
            <v/>
          </cell>
          <cell r="J428" t="str">
            <v/>
          </cell>
          <cell r="U428" t="str">
            <v/>
          </cell>
          <cell r="V428" t="str">
            <v/>
          </cell>
        </row>
        <row r="429">
          <cell r="C429" t="str">
            <v/>
          </cell>
          <cell r="D429" t="str">
            <v/>
          </cell>
          <cell r="E429">
            <v>926507</v>
          </cell>
          <cell r="F429" t="str">
            <v/>
          </cell>
          <cell r="I429" t="str">
            <v/>
          </cell>
          <cell r="J429" t="str">
            <v/>
          </cell>
          <cell r="U429" t="str">
            <v/>
          </cell>
          <cell r="V429" t="str">
            <v/>
          </cell>
        </row>
        <row r="430">
          <cell r="C430" t="str">
            <v/>
          </cell>
          <cell r="D430" t="str">
            <v/>
          </cell>
          <cell r="E430">
            <v>926507</v>
          </cell>
          <cell r="F430" t="str">
            <v/>
          </cell>
          <cell r="I430" t="str">
            <v/>
          </cell>
          <cell r="J430" t="str">
            <v/>
          </cell>
          <cell r="U430" t="str">
            <v/>
          </cell>
          <cell r="V430" t="str">
            <v/>
          </cell>
        </row>
        <row r="431">
          <cell r="C431" t="str">
            <v/>
          </cell>
          <cell r="D431" t="str">
            <v/>
          </cell>
          <cell r="E431">
            <v>926507</v>
          </cell>
          <cell r="F431" t="str">
            <v/>
          </cell>
          <cell r="I431" t="str">
            <v/>
          </cell>
          <cell r="J431" t="str">
            <v/>
          </cell>
          <cell r="U431" t="str">
            <v/>
          </cell>
          <cell r="V431" t="str">
            <v/>
          </cell>
        </row>
        <row r="432">
          <cell r="C432" t="str">
            <v/>
          </cell>
          <cell r="D432" t="str">
            <v/>
          </cell>
          <cell r="E432">
            <v>926507</v>
          </cell>
          <cell r="F432" t="str">
            <v/>
          </cell>
          <cell r="I432" t="str">
            <v/>
          </cell>
          <cell r="J432" t="str">
            <v/>
          </cell>
          <cell r="U432" t="str">
            <v/>
          </cell>
          <cell r="V432" t="str">
            <v/>
          </cell>
        </row>
        <row r="433">
          <cell r="C433" t="str">
            <v/>
          </cell>
          <cell r="D433" t="str">
            <v/>
          </cell>
          <cell r="E433">
            <v>926507</v>
          </cell>
          <cell r="F433" t="str">
            <v/>
          </cell>
          <cell r="I433" t="str">
            <v/>
          </cell>
          <cell r="J433" t="str">
            <v/>
          </cell>
          <cell r="U433" t="str">
            <v/>
          </cell>
          <cell r="V433" t="str">
            <v/>
          </cell>
        </row>
        <row r="434">
          <cell r="C434" t="str">
            <v/>
          </cell>
          <cell r="D434" t="str">
            <v/>
          </cell>
          <cell r="E434">
            <v>926507</v>
          </cell>
          <cell r="F434" t="str">
            <v/>
          </cell>
          <cell r="I434" t="str">
            <v/>
          </cell>
          <cell r="J434" t="str">
            <v/>
          </cell>
          <cell r="U434" t="str">
            <v/>
          </cell>
          <cell r="V434" t="str">
            <v/>
          </cell>
        </row>
        <row r="435">
          <cell r="C435" t="str">
            <v/>
          </cell>
          <cell r="D435" t="str">
            <v/>
          </cell>
          <cell r="E435">
            <v>926507</v>
          </cell>
          <cell r="F435" t="str">
            <v/>
          </cell>
          <cell r="I435" t="str">
            <v/>
          </cell>
          <cell r="J435" t="str">
            <v/>
          </cell>
          <cell r="U435" t="str">
            <v/>
          </cell>
          <cell r="V435" t="str">
            <v/>
          </cell>
        </row>
        <row r="436">
          <cell r="C436" t="str">
            <v/>
          </cell>
          <cell r="D436" t="str">
            <v/>
          </cell>
          <cell r="E436">
            <v>926507</v>
          </cell>
          <cell r="F436" t="str">
            <v/>
          </cell>
          <cell r="I436" t="str">
            <v/>
          </cell>
          <cell r="J436" t="str">
            <v/>
          </cell>
          <cell r="U436" t="str">
            <v/>
          </cell>
          <cell r="V436" t="str">
            <v/>
          </cell>
        </row>
        <row r="437">
          <cell r="C437" t="str">
            <v/>
          </cell>
          <cell r="D437" t="str">
            <v/>
          </cell>
          <cell r="E437">
            <v>926507</v>
          </cell>
          <cell r="F437" t="str">
            <v/>
          </cell>
          <cell r="I437" t="str">
            <v/>
          </cell>
          <cell r="J437" t="str">
            <v/>
          </cell>
          <cell r="U437" t="str">
            <v/>
          </cell>
          <cell r="V437" t="str">
            <v/>
          </cell>
        </row>
        <row r="438">
          <cell r="C438" t="str">
            <v/>
          </cell>
          <cell r="D438" t="str">
            <v/>
          </cell>
          <cell r="E438">
            <v>926507</v>
          </cell>
          <cell r="F438" t="str">
            <v/>
          </cell>
          <cell r="I438" t="str">
            <v/>
          </cell>
          <cell r="J438" t="str">
            <v/>
          </cell>
          <cell r="U438" t="str">
            <v/>
          </cell>
          <cell r="V438" t="str">
            <v/>
          </cell>
        </row>
        <row r="439">
          <cell r="C439" t="str">
            <v/>
          </cell>
          <cell r="D439" t="str">
            <v/>
          </cell>
          <cell r="E439">
            <v>926507</v>
          </cell>
          <cell r="F439" t="str">
            <v/>
          </cell>
          <cell r="I439" t="str">
            <v/>
          </cell>
          <cell r="J439" t="str">
            <v/>
          </cell>
          <cell r="U439" t="str">
            <v/>
          </cell>
          <cell r="V439" t="str">
            <v/>
          </cell>
        </row>
        <row r="440">
          <cell r="C440" t="str">
            <v/>
          </cell>
          <cell r="D440" t="str">
            <v/>
          </cell>
          <cell r="E440">
            <v>926507</v>
          </cell>
          <cell r="F440" t="str">
            <v/>
          </cell>
          <cell r="I440" t="str">
            <v/>
          </cell>
          <cell r="J440" t="str">
            <v/>
          </cell>
          <cell r="U440" t="str">
            <v/>
          </cell>
          <cell r="V440" t="str">
            <v/>
          </cell>
        </row>
        <row r="441">
          <cell r="C441" t="str">
            <v/>
          </cell>
          <cell r="D441" t="str">
            <v/>
          </cell>
          <cell r="E441">
            <v>926507</v>
          </cell>
          <cell r="F441" t="str">
            <v/>
          </cell>
          <cell r="I441" t="str">
            <v/>
          </cell>
          <cell r="J441" t="str">
            <v/>
          </cell>
          <cell r="U441" t="str">
            <v/>
          </cell>
          <cell r="V441" t="str">
            <v/>
          </cell>
        </row>
        <row r="442">
          <cell r="C442" t="str">
            <v/>
          </cell>
          <cell r="D442" t="str">
            <v/>
          </cell>
          <cell r="E442">
            <v>926507</v>
          </cell>
          <cell r="F442" t="str">
            <v/>
          </cell>
          <cell r="I442" t="str">
            <v/>
          </cell>
          <cell r="J442" t="str">
            <v/>
          </cell>
          <cell r="U442" t="str">
            <v/>
          </cell>
          <cell r="V442" t="str">
            <v/>
          </cell>
        </row>
        <row r="443">
          <cell r="C443" t="str">
            <v/>
          </cell>
          <cell r="D443" t="str">
            <v/>
          </cell>
          <cell r="E443">
            <v>926507</v>
          </cell>
          <cell r="F443" t="str">
            <v/>
          </cell>
          <cell r="I443" t="str">
            <v/>
          </cell>
          <cell r="J443" t="str">
            <v/>
          </cell>
          <cell r="U443" t="str">
            <v/>
          </cell>
          <cell r="V443" t="str">
            <v/>
          </cell>
        </row>
        <row r="444">
          <cell r="C444" t="str">
            <v/>
          </cell>
          <cell r="D444" t="str">
            <v/>
          </cell>
          <cell r="E444">
            <v>926507</v>
          </cell>
          <cell r="F444" t="str">
            <v/>
          </cell>
          <cell r="I444" t="str">
            <v/>
          </cell>
          <cell r="J444" t="str">
            <v/>
          </cell>
          <cell r="U444" t="str">
            <v/>
          </cell>
          <cell r="V444" t="str">
            <v/>
          </cell>
        </row>
        <row r="445">
          <cell r="C445" t="str">
            <v/>
          </cell>
          <cell r="D445" t="str">
            <v/>
          </cell>
          <cell r="E445">
            <v>926507</v>
          </cell>
          <cell r="F445" t="str">
            <v/>
          </cell>
          <cell r="I445" t="str">
            <v/>
          </cell>
          <cell r="J445" t="str">
            <v/>
          </cell>
          <cell r="U445" t="str">
            <v/>
          </cell>
          <cell r="V445" t="str">
            <v/>
          </cell>
        </row>
        <row r="446">
          <cell r="C446" t="str">
            <v/>
          </cell>
          <cell r="D446" t="str">
            <v/>
          </cell>
          <cell r="E446">
            <v>926507</v>
          </cell>
          <cell r="F446" t="str">
            <v/>
          </cell>
          <cell r="I446" t="str">
            <v/>
          </cell>
          <cell r="J446" t="str">
            <v/>
          </cell>
          <cell r="U446" t="str">
            <v/>
          </cell>
          <cell r="V446" t="str">
            <v/>
          </cell>
        </row>
        <row r="447">
          <cell r="C447" t="str">
            <v/>
          </cell>
          <cell r="D447" t="str">
            <v/>
          </cell>
          <cell r="E447">
            <v>926507</v>
          </cell>
          <cell r="F447" t="str">
            <v/>
          </cell>
          <cell r="I447" t="str">
            <v/>
          </cell>
          <cell r="J447" t="str">
            <v/>
          </cell>
          <cell r="U447" t="str">
            <v/>
          </cell>
          <cell r="V447" t="str">
            <v/>
          </cell>
        </row>
        <row r="448">
          <cell r="C448" t="str">
            <v/>
          </cell>
          <cell r="D448" t="str">
            <v/>
          </cell>
          <cell r="E448">
            <v>926507</v>
          </cell>
          <cell r="F448" t="str">
            <v/>
          </cell>
          <cell r="I448" t="str">
            <v/>
          </cell>
          <cell r="J448" t="str">
            <v/>
          </cell>
          <cell r="U448" t="str">
            <v/>
          </cell>
          <cell r="V448" t="str">
            <v/>
          </cell>
        </row>
        <row r="449">
          <cell r="C449" t="str">
            <v/>
          </cell>
          <cell r="D449" t="str">
            <v/>
          </cell>
          <cell r="E449">
            <v>926507</v>
          </cell>
          <cell r="F449" t="str">
            <v/>
          </cell>
          <cell r="I449" t="str">
            <v/>
          </cell>
          <cell r="J449" t="str">
            <v/>
          </cell>
          <cell r="U449" t="str">
            <v/>
          </cell>
          <cell r="V449" t="str">
            <v/>
          </cell>
        </row>
        <row r="450">
          <cell r="C450" t="str">
            <v/>
          </cell>
          <cell r="D450" t="str">
            <v/>
          </cell>
          <cell r="E450">
            <v>926507</v>
          </cell>
          <cell r="F450" t="str">
            <v/>
          </cell>
          <cell r="I450" t="str">
            <v/>
          </cell>
          <cell r="J450" t="str">
            <v/>
          </cell>
          <cell r="U450" t="str">
            <v/>
          </cell>
          <cell r="V450" t="str">
            <v/>
          </cell>
        </row>
        <row r="451">
          <cell r="C451" t="str">
            <v/>
          </cell>
          <cell r="D451" t="str">
            <v/>
          </cell>
          <cell r="E451">
            <v>926507</v>
          </cell>
          <cell r="F451" t="str">
            <v/>
          </cell>
          <cell r="I451" t="str">
            <v/>
          </cell>
          <cell r="J451" t="str">
            <v/>
          </cell>
          <cell r="U451" t="str">
            <v/>
          </cell>
          <cell r="V451" t="str">
            <v/>
          </cell>
        </row>
        <row r="452">
          <cell r="C452" t="str">
            <v/>
          </cell>
          <cell r="D452" t="str">
            <v/>
          </cell>
          <cell r="E452">
            <v>926507</v>
          </cell>
          <cell r="F452" t="str">
            <v/>
          </cell>
          <cell r="I452" t="str">
            <v/>
          </cell>
          <cell r="J452" t="str">
            <v/>
          </cell>
          <cell r="U452" t="str">
            <v/>
          </cell>
          <cell r="V452" t="str">
            <v/>
          </cell>
        </row>
        <row r="453">
          <cell r="C453" t="str">
            <v/>
          </cell>
          <cell r="D453" t="str">
            <v/>
          </cell>
          <cell r="E453">
            <v>926507</v>
          </cell>
          <cell r="F453" t="str">
            <v/>
          </cell>
          <cell r="I453" t="str">
            <v/>
          </cell>
          <cell r="J453" t="str">
            <v/>
          </cell>
          <cell r="U453" t="str">
            <v/>
          </cell>
          <cell r="V453" t="str">
            <v/>
          </cell>
        </row>
        <row r="454">
          <cell r="C454" t="str">
            <v/>
          </cell>
          <cell r="D454" t="str">
            <v/>
          </cell>
          <cell r="E454">
            <v>926507</v>
          </cell>
          <cell r="F454" t="str">
            <v/>
          </cell>
          <cell r="I454" t="str">
            <v/>
          </cell>
          <cell r="J454" t="str">
            <v/>
          </cell>
          <cell r="U454" t="str">
            <v/>
          </cell>
          <cell r="V454" t="str">
            <v/>
          </cell>
        </row>
        <row r="455">
          <cell r="C455" t="str">
            <v/>
          </cell>
          <cell r="D455" t="str">
            <v/>
          </cell>
          <cell r="E455">
            <v>926507</v>
          </cell>
          <cell r="F455" t="str">
            <v/>
          </cell>
          <cell r="I455" t="str">
            <v/>
          </cell>
          <cell r="J455" t="str">
            <v/>
          </cell>
          <cell r="U455" t="str">
            <v/>
          </cell>
          <cell r="V455" t="str">
            <v/>
          </cell>
        </row>
        <row r="456">
          <cell r="C456" t="str">
            <v/>
          </cell>
          <cell r="D456" t="str">
            <v/>
          </cell>
          <cell r="E456">
            <v>926507</v>
          </cell>
          <cell r="F456" t="str">
            <v/>
          </cell>
          <cell r="I456" t="str">
            <v/>
          </cell>
          <cell r="J456" t="str">
            <v/>
          </cell>
          <cell r="U456" t="str">
            <v/>
          </cell>
          <cell r="V456" t="str">
            <v/>
          </cell>
        </row>
        <row r="457">
          <cell r="C457" t="str">
            <v/>
          </cell>
          <cell r="D457" t="str">
            <v/>
          </cell>
          <cell r="E457">
            <v>926507</v>
          </cell>
          <cell r="F457" t="str">
            <v/>
          </cell>
          <cell r="I457" t="str">
            <v/>
          </cell>
          <cell r="J457" t="str">
            <v/>
          </cell>
          <cell r="U457" t="str">
            <v/>
          </cell>
          <cell r="V457" t="str">
            <v/>
          </cell>
        </row>
        <row r="458">
          <cell r="C458" t="str">
            <v/>
          </cell>
          <cell r="D458" t="str">
            <v/>
          </cell>
          <cell r="E458">
            <v>926507</v>
          </cell>
          <cell r="F458" t="str">
            <v/>
          </cell>
          <cell r="I458" t="str">
            <v/>
          </cell>
          <cell r="J458" t="str">
            <v/>
          </cell>
          <cell r="U458" t="str">
            <v/>
          </cell>
          <cell r="V458" t="str">
            <v/>
          </cell>
        </row>
        <row r="459">
          <cell r="C459" t="str">
            <v/>
          </cell>
          <cell r="D459" t="str">
            <v/>
          </cell>
          <cell r="E459">
            <v>926507</v>
          </cell>
          <cell r="F459" t="str">
            <v/>
          </cell>
          <cell r="I459" t="str">
            <v/>
          </cell>
          <cell r="J459" t="str">
            <v/>
          </cell>
          <cell r="U459" t="str">
            <v/>
          </cell>
          <cell r="V459" t="str">
            <v/>
          </cell>
        </row>
        <row r="460">
          <cell r="C460" t="str">
            <v/>
          </cell>
          <cell r="D460" t="str">
            <v/>
          </cell>
          <cell r="E460">
            <v>926507</v>
          </cell>
          <cell r="F460" t="str">
            <v/>
          </cell>
          <cell r="I460" t="str">
            <v/>
          </cell>
          <cell r="J460" t="str">
            <v/>
          </cell>
          <cell r="U460" t="str">
            <v/>
          </cell>
          <cell r="V460" t="str">
            <v/>
          </cell>
        </row>
        <row r="461">
          <cell r="C461" t="str">
            <v/>
          </cell>
          <cell r="D461" t="str">
            <v/>
          </cell>
          <cell r="E461">
            <v>926507</v>
          </cell>
          <cell r="F461" t="str">
            <v/>
          </cell>
          <cell r="I461" t="str">
            <v/>
          </cell>
          <cell r="J461" t="str">
            <v/>
          </cell>
          <cell r="U461" t="str">
            <v/>
          </cell>
          <cell r="V461" t="str">
            <v/>
          </cell>
        </row>
        <row r="462">
          <cell r="C462" t="str">
            <v/>
          </cell>
          <cell r="D462" t="str">
            <v/>
          </cell>
          <cell r="E462">
            <v>926507</v>
          </cell>
          <cell r="F462" t="str">
            <v/>
          </cell>
          <cell r="I462" t="str">
            <v/>
          </cell>
          <cell r="J462" t="str">
            <v/>
          </cell>
          <cell r="U462" t="str">
            <v/>
          </cell>
          <cell r="V462" t="str">
            <v/>
          </cell>
        </row>
        <row r="463">
          <cell r="C463" t="str">
            <v/>
          </cell>
          <cell r="D463" t="str">
            <v/>
          </cell>
          <cell r="E463">
            <v>926507</v>
          </cell>
          <cell r="F463" t="str">
            <v/>
          </cell>
          <cell r="I463" t="str">
            <v/>
          </cell>
          <cell r="J463" t="str">
            <v/>
          </cell>
          <cell r="U463" t="str">
            <v/>
          </cell>
          <cell r="V463" t="str">
            <v/>
          </cell>
        </row>
        <row r="464">
          <cell r="C464" t="str">
            <v/>
          </cell>
          <cell r="D464" t="str">
            <v/>
          </cell>
          <cell r="E464">
            <v>926507</v>
          </cell>
          <cell r="F464" t="str">
            <v/>
          </cell>
          <cell r="I464" t="str">
            <v/>
          </cell>
          <cell r="J464" t="str">
            <v/>
          </cell>
          <cell r="U464" t="str">
            <v/>
          </cell>
          <cell r="V464" t="str">
            <v/>
          </cell>
        </row>
        <row r="465">
          <cell r="C465" t="str">
            <v/>
          </cell>
          <cell r="D465" t="str">
            <v/>
          </cell>
          <cell r="E465">
            <v>926507</v>
          </cell>
          <cell r="F465" t="str">
            <v/>
          </cell>
          <cell r="I465" t="str">
            <v/>
          </cell>
          <cell r="J465" t="str">
            <v/>
          </cell>
          <cell r="U465" t="str">
            <v/>
          </cell>
          <cell r="V465" t="str">
            <v/>
          </cell>
        </row>
        <row r="466">
          <cell r="C466" t="str">
            <v/>
          </cell>
          <cell r="D466" t="str">
            <v/>
          </cell>
          <cell r="E466">
            <v>926507</v>
          </cell>
          <cell r="F466" t="str">
            <v/>
          </cell>
          <cell r="I466" t="str">
            <v/>
          </cell>
          <cell r="J466" t="str">
            <v/>
          </cell>
          <cell r="U466" t="str">
            <v/>
          </cell>
          <cell r="V466" t="str">
            <v/>
          </cell>
        </row>
        <row r="467">
          <cell r="C467" t="str">
            <v/>
          </cell>
          <cell r="D467" t="str">
            <v/>
          </cell>
          <cell r="E467">
            <v>926507</v>
          </cell>
          <cell r="F467" t="str">
            <v/>
          </cell>
          <cell r="I467" t="str">
            <v/>
          </cell>
          <cell r="J467" t="str">
            <v/>
          </cell>
          <cell r="U467" t="str">
            <v/>
          </cell>
          <cell r="V467" t="str">
            <v/>
          </cell>
        </row>
        <row r="468">
          <cell r="C468" t="str">
            <v/>
          </cell>
          <cell r="D468" t="str">
            <v/>
          </cell>
          <cell r="E468">
            <v>926507</v>
          </cell>
          <cell r="F468" t="str">
            <v/>
          </cell>
          <cell r="I468" t="str">
            <v/>
          </cell>
          <cell r="J468" t="str">
            <v/>
          </cell>
          <cell r="U468" t="str">
            <v/>
          </cell>
          <cell r="V468" t="str">
            <v/>
          </cell>
        </row>
        <row r="469">
          <cell r="C469" t="str">
            <v/>
          </cell>
          <cell r="D469" t="str">
            <v/>
          </cell>
          <cell r="E469">
            <v>926507</v>
          </cell>
          <cell r="F469" t="str">
            <v/>
          </cell>
          <cell r="I469" t="str">
            <v/>
          </cell>
          <cell r="J469" t="str">
            <v/>
          </cell>
          <cell r="U469" t="str">
            <v/>
          </cell>
          <cell r="V469" t="str">
            <v/>
          </cell>
        </row>
        <row r="470">
          <cell r="C470" t="str">
            <v/>
          </cell>
          <cell r="D470" t="str">
            <v/>
          </cell>
          <cell r="E470">
            <v>926507</v>
          </cell>
          <cell r="F470" t="str">
            <v/>
          </cell>
          <cell r="I470" t="str">
            <v/>
          </cell>
          <cell r="J470" t="str">
            <v/>
          </cell>
          <cell r="U470" t="str">
            <v/>
          </cell>
          <cell r="V470" t="str">
            <v/>
          </cell>
        </row>
        <row r="471">
          <cell r="C471" t="str">
            <v/>
          </cell>
          <cell r="D471" t="str">
            <v/>
          </cell>
          <cell r="E471">
            <v>926507</v>
          </cell>
          <cell r="F471" t="str">
            <v/>
          </cell>
          <cell r="I471" t="str">
            <v/>
          </cell>
          <cell r="J471" t="str">
            <v/>
          </cell>
          <cell r="U471" t="str">
            <v/>
          </cell>
          <cell r="V471" t="str">
            <v/>
          </cell>
        </row>
        <row r="472">
          <cell r="C472" t="str">
            <v/>
          </cell>
          <cell r="D472" t="str">
            <v/>
          </cell>
          <cell r="E472">
            <v>926507</v>
          </cell>
          <cell r="F472" t="str">
            <v/>
          </cell>
          <cell r="I472" t="str">
            <v/>
          </cell>
          <cell r="J472" t="str">
            <v/>
          </cell>
          <cell r="U472" t="str">
            <v/>
          </cell>
          <cell r="V472" t="str">
            <v/>
          </cell>
        </row>
        <row r="473">
          <cell r="C473" t="str">
            <v/>
          </cell>
          <cell r="D473" t="str">
            <v/>
          </cell>
          <cell r="E473">
            <v>926507</v>
          </cell>
          <cell r="F473" t="str">
            <v/>
          </cell>
          <cell r="I473" t="str">
            <v/>
          </cell>
          <cell r="J473" t="str">
            <v/>
          </cell>
          <cell r="U473" t="str">
            <v/>
          </cell>
          <cell r="V473" t="str">
            <v/>
          </cell>
        </row>
        <row r="474">
          <cell r="C474" t="str">
            <v/>
          </cell>
          <cell r="D474" t="str">
            <v/>
          </cell>
          <cell r="E474">
            <v>926507</v>
          </cell>
          <cell r="F474" t="str">
            <v/>
          </cell>
          <cell r="I474" t="str">
            <v/>
          </cell>
          <cell r="J474" t="str">
            <v/>
          </cell>
          <cell r="U474" t="str">
            <v/>
          </cell>
          <cell r="V474" t="str">
            <v/>
          </cell>
        </row>
        <row r="475">
          <cell r="C475" t="str">
            <v/>
          </cell>
          <cell r="D475" t="str">
            <v/>
          </cell>
          <cell r="E475">
            <v>926507</v>
          </cell>
          <cell r="F475" t="str">
            <v/>
          </cell>
          <cell r="I475" t="str">
            <v/>
          </cell>
          <cell r="J475" t="str">
            <v/>
          </cell>
          <cell r="U475" t="str">
            <v/>
          </cell>
          <cell r="V475" t="str">
            <v/>
          </cell>
        </row>
        <row r="476">
          <cell r="C476" t="str">
            <v/>
          </cell>
          <cell r="D476" t="str">
            <v/>
          </cell>
          <cell r="E476">
            <v>926507</v>
          </cell>
          <cell r="F476" t="str">
            <v/>
          </cell>
          <cell r="I476" t="str">
            <v/>
          </cell>
          <cell r="J476" t="str">
            <v/>
          </cell>
          <cell r="U476" t="str">
            <v/>
          </cell>
          <cell r="V476" t="str">
            <v/>
          </cell>
        </row>
        <row r="477">
          <cell r="C477" t="str">
            <v/>
          </cell>
          <cell r="D477" t="str">
            <v/>
          </cell>
          <cell r="E477">
            <v>926507</v>
          </cell>
          <cell r="F477" t="str">
            <v/>
          </cell>
          <cell r="I477" t="str">
            <v/>
          </cell>
          <cell r="J477" t="str">
            <v/>
          </cell>
          <cell r="U477" t="str">
            <v/>
          </cell>
          <cell r="V477" t="str">
            <v/>
          </cell>
        </row>
        <row r="478">
          <cell r="C478" t="str">
            <v/>
          </cell>
          <cell r="D478" t="str">
            <v/>
          </cell>
          <cell r="E478">
            <v>926507</v>
          </cell>
          <cell r="F478" t="str">
            <v/>
          </cell>
          <cell r="I478" t="str">
            <v/>
          </cell>
          <cell r="J478" t="str">
            <v/>
          </cell>
          <cell r="U478" t="str">
            <v/>
          </cell>
          <cell r="V478" t="str">
            <v/>
          </cell>
        </row>
        <row r="479">
          <cell r="C479" t="str">
            <v/>
          </cell>
          <cell r="D479" t="str">
            <v/>
          </cell>
          <cell r="E479">
            <v>926507</v>
          </cell>
          <cell r="F479" t="str">
            <v/>
          </cell>
          <cell r="I479" t="str">
            <v/>
          </cell>
          <cell r="J479" t="str">
            <v/>
          </cell>
          <cell r="U479" t="str">
            <v/>
          </cell>
          <cell r="V479" t="str">
            <v/>
          </cell>
        </row>
        <row r="480">
          <cell r="C480" t="str">
            <v/>
          </cell>
          <cell r="D480" t="str">
            <v/>
          </cell>
          <cell r="E480">
            <v>926507</v>
          </cell>
          <cell r="F480" t="str">
            <v/>
          </cell>
          <cell r="I480" t="str">
            <v/>
          </cell>
          <cell r="J480" t="str">
            <v/>
          </cell>
          <cell r="U480" t="str">
            <v/>
          </cell>
          <cell r="V480" t="str">
            <v/>
          </cell>
        </row>
        <row r="481">
          <cell r="C481" t="str">
            <v/>
          </cell>
          <cell r="D481" t="str">
            <v/>
          </cell>
          <cell r="E481">
            <v>926507</v>
          </cell>
          <cell r="F481" t="str">
            <v/>
          </cell>
          <cell r="I481" t="str">
            <v/>
          </cell>
          <cell r="J481" t="str">
            <v/>
          </cell>
          <cell r="U481" t="str">
            <v/>
          </cell>
          <cell r="V481" t="str">
            <v/>
          </cell>
        </row>
        <row r="482">
          <cell r="C482" t="str">
            <v/>
          </cell>
          <cell r="D482" t="str">
            <v/>
          </cell>
          <cell r="E482">
            <v>926507</v>
          </cell>
          <cell r="F482" t="str">
            <v/>
          </cell>
          <cell r="I482" t="str">
            <v/>
          </cell>
          <cell r="J482" t="str">
            <v/>
          </cell>
          <cell r="U482" t="str">
            <v/>
          </cell>
          <cell r="V482" t="str">
            <v/>
          </cell>
        </row>
        <row r="483">
          <cell r="C483" t="str">
            <v/>
          </cell>
          <cell r="D483" t="str">
            <v/>
          </cell>
          <cell r="E483">
            <v>926507</v>
          </cell>
          <cell r="F483" t="str">
            <v/>
          </cell>
          <cell r="I483" t="str">
            <v/>
          </cell>
          <cell r="J483" t="str">
            <v/>
          </cell>
          <cell r="U483" t="str">
            <v/>
          </cell>
          <cell r="V483" t="str">
            <v/>
          </cell>
        </row>
        <row r="484">
          <cell r="C484" t="str">
            <v/>
          </cell>
          <cell r="D484" t="str">
            <v/>
          </cell>
          <cell r="E484">
            <v>926507</v>
          </cell>
          <cell r="F484" t="str">
            <v/>
          </cell>
          <cell r="I484" t="str">
            <v/>
          </cell>
          <cell r="J484" t="str">
            <v/>
          </cell>
          <cell r="U484" t="str">
            <v/>
          </cell>
          <cell r="V484" t="str">
            <v/>
          </cell>
        </row>
        <row r="485">
          <cell r="C485" t="str">
            <v/>
          </cell>
          <cell r="D485" t="str">
            <v/>
          </cell>
          <cell r="E485">
            <v>926507</v>
          </cell>
          <cell r="F485" t="str">
            <v/>
          </cell>
          <cell r="I485" t="str">
            <v/>
          </cell>
          <cell r="J485" t="str">
            <v/>
          </cell>
          <cell r="U485" t="str">
            <v/>
          </cell>
          <cell r="V485" t="str">
            <v/>
          </cell>
        </row>
        <row r="486">
          <cell r="C486" t="str">
            <v/>
          </cell>
          <cell r="D486" t="str">
            <v/>
          </cell>
          <cell r="E486">
            <v>926507</v>
          </cell>
          <cell r="F486" t="str">
            <v/>
          </cell>
          <cell r="I486" t="str">
            <v/>
          </cell>
          <cell r="J486" t="str">
            <v/>
          </cell>
          <cell r="U486" t="str">
            <v/>
          </cell>
          <cell r="V486" t="str">
            <v/>
          </cell>
        </row>
        <row r="487">
          <cell r="C487" t="str">
            <v/>
          </cell>
          <cell r="D487" t="str">
            <v/>
          </cell>
          <cell r="E487">
            <v>926507</v>
          </cell>
          <cell r="F487" t="str">
            <v/>
          </cell>
          <cell r="I487" t="str">
            <v/>
          </cell>
          <cell r="J487" t="str">
            <v/>
          </cell>
          <cell r="U487" t="str">
            <v/>
          </cell>
          <cell r="V487" t="str">
            <v/>
          </cell>
        </row>
        <row r="488">
          <cell r="C488" t="str">
            <v/>
          </cell>
          <cell r="D488" t="str">
            <v/>
          </cell>
          <cell r="E488">
            <v>926507</v>
          </cell>
          <cell r="F488" t="str">
            <v/>
          </cell>
          <cell r="I488" t="str">
            <v/>
          </cell>
          <cell r="J488" t="str">
            <v/>
          </cell>
          <cell r="U488" t="str">
            <v/>
          </cell>
          <cell r="V488" t="str">
            <v/>
          </cell>
        </row>
        <row r="489">
          <cell r="C489" t="str">
            <v/>
          </cell>
          <cell r="D489" t="str">
            <v/>
          </cell>
          <cell r="E489">
            <v>926507</v>
          </cell>
          <cell r="F489" t="str">
            <v/>
          </cell>
          <cell r="I489" t="str">
            <v/>
          </cell>
          <cell r="J489" t="str">
            <v/>
          </cell>
          <cell r="U489" t="str">
            <v/>
          </cell>
          <cell r="V489" t="str">
            <v/>
          </cell>
        </row>
        <row r="490">
          <cell r="C490" t="str">
            <v/>
          </cell>
          <cell r="D490" t="str">
            <v/>
          </cell>
          <cell r="E490">
            <v>926507</v>
          </cell>
          <cell r="F490" t="str">
            <v/>
          </cell>
          <cell r="I490" t="str">
            <v/>
          </cell>
          <cell r="J490" t="str">
            <v/>
          </cell>
          <cell r="U490" t="str">
            <v/>
          </cell>
          <cell r="V490" t="str">
            <v/>
          </cell>
        </row>
        <row r="491">
          <cell r="C491" t="str">
            <v/>
          </cell>
          <cell r="D491" t="str">
            <v/>
          </cell>
          <cell r="E491">
            <v>926507</v>
          </cell>
          <cell r="F491" t="str">
            <v/>
          </cell>
          <cell r="I491" t="str">
            <v/>
          </cell>
          <cell r="J491" t="str">
            <v/>
          </cell>
          <cell r="U491" t="str">
            <v/>
          </cell>
          <cell r="V491" t="str">
            <v/>
          </cell>
        </row>
        <row r="492">
          <cell r="C492" t="str">
            <v/>
          </cell>
          <cell r="D492" t="str">
            <v/>
          </cell>
          <cell r="E492">
            <v>926507</v>
          </cell>
          <cell r="F492" t="str">
            <v/>
          </cell>
          <cell r="I492" t="str">
            <v/>
          </cell>
          <cell r="J492" t="str">
            <v/>
          </cell>
          <cell r="U492" t="str">
            <v/>
          </cell>
          <cell r="V492" t="str">
            <v/>
          </cell>
        </row>
        <row r="493">
          <cell r="C493" t="str">
            <v/>
          </cell>
          <cell r="D493" t="str">
            <v/>
          </cell>
          <cell r="E493">
            <v>926507</v>
          </cell>
          <cell r="F493" t="str">
            <v/>
          </cell>
          <cell r="I493" t="str">
            <v/>
          </cell>
          <cell r="J493" t="str">
            <v/>
          </cell>
          <cell r="U493" t="str">
            <v/>
          </cell>
          <cell r="V493" t="str">
            <v/>
          </cell>
        </row>
        <row r="494">
          <cell r="C494" t="str">
            <v/>
          </cell>
          <cell r="D494" t="str">
            <v/>
          </cell>
          <cell r="E494">
            <v>926507</v>
          </cell>
          <cell r="F494" t="str">
            <v/>
          </cell>
          <cell r="I494" t="str">
            <v/>
          </cell>
          <cell r="J494" t="str">
            <v/>
          </cell>
          <cell r="U494" t="str">
            <v/>
          </cell>
          <cell r="V494" t="str">
            <v/>
          </cell>
        </row>
        <row r="495">
          <cell r="C495" t="str">
            <v/>
          </cell>
          <cell r="D495" t="str">
            <v/>
          </cell>
          <cell r="E495">
            <v>926507</v>
          </cell>
          <cell r="F495" t="str">
            <v/>
          </cell>
          <cell r="I495" t="str">
            <v/>
          </cell>
          <cell r="J495" t="str">
            <v/>
          </cell>
          <cell r="U495" t="str">
            <v/>
          </cell>
          <cell r="V495" t="str">
            <v/>
          </cell>
        </row>
        <row r="496">
          <cell r="C496" t="str">
            <v/>
          </cell>
          <cell r="D496" t="str">
            <v/>
          </cell>
          <cell r="E496">
            <v>926507</v>
          </cell>
          <cell r="F496" t="str">
            <v/>
          </cell>
          <cell r="I496" t="str">
            <v/>
          </cell>
          <cell r="J496" t="str">
            <v/>
          </cell>
          <cell r="U496" t="str">
            <v/>
          </cell>
          <cell r="V496" t="str">
            <v/>
          </cell>
        </row>
        <row r="497">
          <cell r="C497" t="str">
            <v/>
          </cell>
          <cell r="D497" t="str">
            <v/>
          </cell>
          <cell r="E497">
            <v>926507</v>
          </cell>
          <cell r="F497" t="str">
            <v/>
          </cell>
          <cell r="I497" t="str">
            <v/>
          </cell>
          <cell r="J497" t="str">
            <v/>
          </cell>
          <cell r="U497" t="str">
            <v/>
          </cell>
          <cell r="V497" t="str">
            <v/>
          </cell>
        </row>
        <row r="498">
          <cell r="C498" t="str">
            <v/>
          </cell>
          <cell r="D498" t="str">
            <v/>
          </cell>
          <cell r="E498">
            <v>926507</v>
          </cell>
          <cell r="F498" t="str">
            <v/>
          </cell>
          <cell r="I498" t="str">
            <v/>
          </cell>
          <cell r="J498" t="str">
            <v/>
          </cell>
          <cell r="U498" t="str">
            <v/>
          </cell>
          <cell r="V498" t="str">
            <v/>
          </cell>
        </row>
        <row r="499">
          <cell r="C499" t="str">
            <v/>
          </cell>
          <cell r="D499" t="str">
            <v/>
          </cell>
          <cell r="E499">
            <v>926507</v>
          </cell>
          <cell r="F499" t="str">
            <v/>
          </cell>
          <cell r="I499" t="str">
            <v/>
          </cell>
          <cell r="J499" t="str">
            <v/>
          </cell>
          <cell r="U499" t="str">
            <v/>
          </cell>
          <cell r="V499" t="str">
            <v/>
          </cell>
        </row>
        <row r="500">
          <cell r="C500" t="str">
            <v/>
          </cell>
          <cell r="D500" t="str">
            <v/>
          </cell>
          <cell r="E500">
            <v>926507</v>
          </cell>
          <cell r="F500" t="str">
            <v/>
          </cell>
          <cell r="I500" t="str">
            <v/>
          </cell>
          <cell r="J500" t="str">
            <v/>
          </cell>
          <cell r="U500" t="str">
            <v/>
          </cell>
          <cell r="V500" t="str">
            <v/>
          </cell>
        </row>
        <row r="501">
          <cell r="C501" t="str">
            <v/>
          </cell>
          <cell r="D501" t="str">
            <v/>
          </cell>
          <cell r="E501">
            <v>926507</v>
          </cell>
          <cell r="F501" t="str">
            <v/>
          </cell>
          <cell r="I501" t="str">
            <v/>
          </cell>
          <cell r="J501" t="str">
            <v/>
          </cell>
          <cell r="U501" t="str">
            <v/>
          </cell>
          <cell r="V501" t="str">
            <v/>
          </cell>
        </row>
        <row r="502">
          <cell r="C502" t="str">
            <v/>
          </cell>
          <cell r="D502" t="str">
            <v/>
          </cell>
          <cell r="E502">
            <v>926507</v>
          </cell>
          <cell r="F502" t="str">
            <v/>
          </cell>
          <cell r="I502" t="str">
            <v/>
          </cell>
          <cell r="J502" t="str">
            <v/>
          </cell>
          <cell r="U502" t="str">
            <v/>
          </cell>
          <cell r="V502" t="str">
            <v/>
          </cell>
        </row>
        <row r="503">
          <cell r="C503" t="str">
            <v/>
          </cell>
          <cell r="D503" t="str">
            <v/>
          </cell>
          <cell r="E503">
            <v>926507</v>
          </cell>
          <cell r="F503" t="str">
            <v/>
          </cell>
          <cell r="I503" t="str">
            <v/>
          </cell>
          <cell r="J503" t="str">
            <v/>
          </cell>
          <cell r="U503" t="str">
            <v/>
          </cell>
          <cell r="V503" t="str">
            <v/>
          </cell>
        </row>
        <row r="504">
          <cell r="C504" t="str">
            <v/>
          </cell>
          <cell r="D504" t="str">
            <v/>
          </cell>
          <cell r="E504">
            <v>926507</v>
          </cell>
          <cell r="F504" t="str">
            <v/>
          </cell>
          <cell r="I504" t="str">
            <v/>
          </cell>
          <cell r="J504" t="str">
            <v/>
          </cell>
          <cell r="U504" t="str">
            <v/>
          </cell>
          <cell r="V504" t="str">
            <v/>
          </cell>
        </row>
        <row r="505">
          <cell r="C505" t="str">
            <v/>
          </cell>
          <cell r="D505" t="str">
            <v/>
          </cell>
          <cell r="E505">
            <v>926507</v>
          </cell>
          <cell r="F505" t="str">
            <v/>
          </cell>
          <cell r="I505" t="str">
            <v/>
          </cell>
          <cell r="J505" t="str">
            <v/>
          </cell>
          <cell r="U505" t="str">
            <v/>
          </cell>
          <cell r="V505" t="str">
            <v/>
          </cell>
        </row>
        <row r="506">
          <cell r="C506" t="str">
            <v/>
          </cell>
          <cell r="D506" t="str">
            <v/>
          </cell>
          <cell r="E506">
            <v>926507</v>
          </cell>
          <cell r="F506" t="str">
            <v/>
          </cell>
          <cell r="I506" t="str">
            <v/>
          </cell>
          <cell r="J506" t="str">
            <v/>
          </cell>
          <cell r="U506" t="str">
            <v/>
          </cell>
          <cell r="V506" t="str">
            <v/>
          </cell>
        </row>
        <row r="507">
          <cell r="C507" t="str">
            <v/>
          </cell>
          <cell r="D507" t="str">
            <v/>
          </cell>
          <cell r="E507">
            <v>926507</v>
          </cell>
          <cell r="F507" t="str">
            <v/>
          </cell>
          <cell r="I507" t="str">
            <v/>
          </cell>
          <cell r="J507" t="str">
            <v/>
          </cell>
          <cell r="U507" t="str">
            <v/>
          </cell>
          <cell r="V507" t="str">
            <v/>
          </cell>
        </row>
        <row r="508">
          <cell r="C508" t="str">
            <v/>
          </cell>
          <cell r="D508" t="str">
            <v/>
          </cell>
          <cell r="E508">
            <v>926507</v>
          </cell>
          <cell r="F508" t="str">
            <v/>
          </cell>
          <cell r="I508" t="str">
            <v/>
          </cell>
          <cell r="J508" t="str">
            <v/>
          </cell>
          <cell r="U508" t="str">
            <v/>
          </cell>
          <cell r="V508" t="str">
            <v/>
          </cell>
        </row>
        <row r="509">
          <cell r="C509" t="str">
            <v/>
          </cell>
          <cell r="D509" t="str">
            <v/>
          </cell>
          <cell r="E509">
            <v>926507</v>
          </cell>
          <cell r="F509" t="str">
            <v/>
          </cell>
          <cell r="I509" t="str">
            <v/>
          </cell>
          <cell r="J509" t="str">
            <v/>
          </cell>
          <cell r="U509" t="str">
            <v/>
          </cell>
          <cell r="V509" t="str">
            <v/>
          </cell>
        </row>
        <row r="510">
          <cell r="C510" t="str">
            <v/>
          </cell>
          <cell r="D510" t="str">
            <v/>
          </cell>
          <cell r="E510">
            <v>926507</v>
          </cell>
          <cell r="F510" t="str">
            <v/>
          </cell>
          <cell r="I510" t="str">
            <v/>
          </cell>
          <cell r="J510" t="str">
            <v/>
          </cell>
          <cell r="U510" t="str">
            <v/>
          </cell>
          <cell r="V510" t="str">
            <v/>
          </cell>
        </row>
        <row r="511">
          <cell r="C511" t="str">
            <v/>
          </cell>
          <cell r="D511" t="str">
            <v/>
          </cell>
          <cell r="E511">
            <v>926507</v>
          </cell>
          <cell r="F511" t="str">
            <v/>
          </cell>
          <cell r="I511" t="str">
            <v/>
          </cell>
          <cell r="J511" t="str">
            <v/>
          </cell>
          <cell r="U511" t="str">
            <v/>
          </cell>
          <cell r="V511" t="str">
            <v/>
          </cell>
        </row>
        <row r="512">
          <cell r="C512" t="str">
            <v/>
          </cell>
          <cell r="D512" t="str">
            <v/>
          </cell>
          <cell r="E512">
            <v>926507</v>
          </cell>
          <cell r="F512" t="str">
            <v/>
          </cell>
          <cell r="I512" t="str">
            <v/>
          </cell>
          <cell r="J512" t="str">
            <v/>
          </cell>
          <cell r="U512" t="str">
            <v/>
          </cell>
          <cell r="V512" t="str">
            <v/>
          </cell>
        </row>
        <row r="513">
          <cell r="C513" t="str">
            <v/>
          </cell>
          <cell r="D513" t="str">
            <v/>
          </cell>
          <cell r="E513">
            <v>926507</v>
          </cell>
          <cell r="F513" t="str">
            <v/>
          </cell>
          <cell r="I513" t="str">
            <v/>
          </cell>
          <cell r="J513" t="str">
            <v/>
          </cell>
          <cell r="U513" t="str">
            <v/>
          </cell>
          <cell r="V513" t="str">
            <v/>
          </cell>
        </row>
        <row r="514">
          <cell r="C514" t="str">
            <v/>
          </cell>
          <cell r="D514" t="str">
            <v/>
          </cell>
          <cell r="E514">
            <v>926507</v>
          </cell>
          <cell r="F514" t="str">
            <v/>
          </cell>
          <cell r="I514" t="str">
            <v/>
          </cell>
          <cell r="J514" t="str">
            <v/>
          </cell>
          <cell r="U514" t="str">
            <v/>
          </cell>
          <cell r="V514" t="str">
            <v/>
          </cell>
        </row>
        <row r="515">
          <cell r="C515" t="str">
            <v/>
          </cell>
          <cell r="D515" t="str">
            <v/>
          </cell>
          <cell r="E515">
            <v>926507</v>
          </cell>
          <cell r="F515" t="str">
            <v/>
          </cell>
          <cell r="I515" t="str">
            <v/>
          </cell>
          <cell r="J515" t="str">
            <v/>
          </cell>
          <cell r="U515" t="str">
            <v/>
          </cell>
          <cell r="V515" t="str">
            <v/>
          </cell>
        </row>
        <row r="516">
          <cell r="C516" t="str">
            <v/>
          </cell>
          <cell r="D516" t="str">
            <v/>
          </cell>
          <cell r="E516">
            <v>926507</v>
          </cell>
          <cell r="F516" t="str">
            <v/>
          </cell>
          <cell r="I516" t="str">
            <v/>
          </cell>
          <cell r="J516" t="str">
            <v/>
          </cell>
          <cell r="U516" t="str">
            <v/>
          </cell>
          <cell r="V516" t="str">
            <v/>
          </cell>
        </row>
        <row r="517">
          <cell r="C517" t="str">
            <v/>
          </cell>
          <cell r="D517" t="str">
            <v/>
          </cell>
          <cell r="E517">
            <v>926507</v>
          </cell>
          <cell r="F517" t="str">
            <v/>
          </cell>
          <cell r="I517" t="str">
            <v/>
          </cell>
          <cell r="J517" t="str">
            <v/>
          </cell>
          <cell r="U517" t="str">
            <v/>
          </cell>
          <cell r="V517" t="str">
            <v/>
          </cell>
        </row>
        <row r="518">
          <cell r="C518" t="str">
            <v/>
          </cell>
          <cell r="D518" t="str">
            <v/>
          </cell>
          <cell r="E518">
            <v>926507</v>
          </cell>
          <cell r="F518" t="str">
            <v/>
          </cell>
          <cell r="I518" t="str">
            <v/>
          </cell>
          <cell r="J518" t="str">
            <v/>
          </cell>
          <cell r="U518" t="str">
            <v/>
          </cell>
          <cell r="V518" t="str">
            <v/>
          </cell>
        </row>
        <row r="519">
          <cell r="C519" t="str">
            <v/>
          </cell>
          <cell r="D519" t="str">
            <v/>
          </cell>
          <cell r="E519">
            <v>926507</v>
          </cell>
          <cell r="F519" t="str">
            <v/>
          </cell>
          <cell r="I519" t="str">
            <v/>
          </cell>
          <cell r="J519" t="str">
            <v/>
          </cell>
          <cell r="U519" t="str">
            <v/>
          </cell>
          <cell r="V519" t="str">
            <v/>
          </cell>
        </row>
        <row r="520">
          <cell r="C520" t="str">
            <v/>
          </cell>
          <cell r="D520" t="str">
            <v/>
          </cell>
          <cell r="E520">
            <v>926507</v>
          </cell>
          <cell r="F520" t="str">
            <v/>
          </cell>
          <cell r="I520" t="str">
            <v/>
          </cell>
          <cell r="J520" t="str">
            <v/>
          </cell>
          <cell r="U520" t="str">
            <v/>
          </cell>
          <cell r="V520" t="str">
            <v/>
          </cell>
        </row>
        <row r="521">
          <cell r="C521" t="str">
            <v/>
          </cell>
          <cell r="D521" t="str">
            <v/>
          </cell>
          <cell r="E521">
            <v>926507</v>
          </cell>
          <cell r="F521" t="str">
            <v/>
          </cell>
          <cell r="I521" t="str">
            <v/>
          </cell>
          <cell r="J521" t="str">
            <v/>
          </cell>
          <cell r="U521" t="str">
            <v/>
          </cell>
          <cell r="V521" t="str">
            <v/>
          </cell>
        </row>
        <row r="522">
          <cell r="C522" t="str">
            <v/>
          </cell>
          <cell r="D522" t="str">
            <v/>
          </cell>
          <cell r="E522">
            <v>926507</v>
          </cell>
          <cell r="F522" t="str">
            <v/>
          </cell>
          <cell r="I522" t="str">
            <v/>
          </cell>
          <cell r="J522" t="str">
            <v/>
          </cell>
          <cell r="U522" t="str">
            <v/>
          </cell>
          <cell r="V522" t="str">
            <v/>
          </cell>
        </row>
        <row r="523">
          <cell r="C523" t="str">
            <v/>
          </cell>
          <cell r="D523" t="str">
            <v/>
          </cell>
          <cell r="E523">
            <v>926507</v>
          </cell>
          <cell r="F523" t="str">
            <v/>
          </cell>
          <cell r="I523" t="str">
            <v/>
          </cell>
          <cell r="J523" t="str">
            <v/>
          </cell>
          <cell r="U523" t="str">
            <v/>
          </cell>
          <cell r="V523" t="str">
            <v/>
          </cell>
        </row>
        <row r="524">
          <cell r="C524" t="str">
            <v/>
          </cell>
          <cell r="D524" t="str">
            <v/>
          </cell>
          <cell r="E524">
            <v>926507</v>
          </cell>
          <cell r="F524" t="str">
            <v/>
          </cell>
          <cell r="I524" t="str">
            <v/>
          </cell>
          <cell r="J524" t="str">
            <v/>
          </cell>
          <cell r="U524" t="str">
            <v/>
          </cell>
          <cell r="V524" t="str">
            <v/>
          </cell>
        </row>
        <row r="525">
          <cell r="C525" t="str">
            <v/>
          </cell>
          <cell r="D525" t="str">
            <v/>
          </cell>
          <cell r="E525">
            <v>926507</v>
          </cell>
          <cell r="F525" t="str">
            <v/>
          </cell>
          <cell r="I525" t="str">
            <v/>
          </cell>
          <cell r="J525" t="str">
            <v/>
          </cell>
          <cell r="U525" t="str">
            <v/>
          </cell>
          <cell r="V525" t="str">
            <v/>
          </cell>
        </row>
        <row r="526">
          <cell r="C526" t="str">
            <v/>
          </cell>
          <cell r="D526" t="str">
            <v/>
          </cell>
          <cell r="E526">
            <v>926507</v>
          </cell>
          <cell r="F526" t="str">
            <v/>
          </cell>
          <cell r="I526" t="str">
            <v/>
          </cell>
          <cell r="J526" t="str">
            <v/>
          </cell>
          <cell r="U526" t="str">
            <v/>
          </cell>
          <cell r="V526" t="str">
            <v/>
          </cell>
        </row>
        <row r="527">
          <cell r="C527" t="str">
            <v/>
          </cell>
          <cell r="D527" t="str">
            <v/>
          </cell>
          <cell r="E527">
            <v>926507</v>
          </cell>
          <cell r="F527" t="str">
            <v/>
          </cell>
          <cell r="I527" t="str">
            <v/>
          </cell>
          <cell r="J527" t="str">
            <v/>
          </cell>
          <cell r="U527" t="str">
            <v/>
          </cell>
          <cell r="V527" t="str">
            <v/>
          </cell>
        </row>
        <row r="528">
          <cell r="C528" t="str">
            <v/>
          </cell>
          <cell r="D528" t="str">
            <v/>
          </cell>
          <cell r="E528">
            <v>926507</v>
          </cell>
          <cell r="F528" t="str">
            <v/>
          </cell>
          <cell r="I528" t="str">
            <v/>
          </cell>
          <cell r="J528" t="str">
            <v/>
          </cell>
          <cell r="U528" t="str">
            <v/>
          </cell>
          <cell r="V528" t="str">
            <v/>
          </cell>
        </row>
        <row r="529">
          <cell r="C529" t="str">
            <v/>
          </cell>
          <cell r="D529" t="str">
            <v/>
          </cell>
          <cell r="E529">
            <v>926507</v>
          </cell>
          <cell r="F529" t="str">
            <v/>
          </cell>
          <cell r="I529" t="str">
            <v/>
          </cell>
          <cell r="J529" t="str">
            <v/>
          </cell>
          <cell r="U529" t="str">
            <v/>
          </cell>
          <cell r="V529" t="str">
            <v/>
          </cell>
        </row>
        <row r="530">
          <cell r="C530" t="str">
            <v/>
          </cell>
          <cell r="D530" t="str">
            <v/>
          </cell>
          <cell r="E530">
            <v>926507</v>
          </cell>
          <cell r="F530" t="str">
            <v/>
          </cell>
          <cell r="I530" t="str">
            <v/>
          </cell>
          <cell r="J530" t="str">
            <v/>
          </cell>
          <cell r="U530" t="str">
            <v/>
          </cell>
          <cell r="V530" t="str">
            <v/>
          </cell>
        </row>
        <row r="531">
          <cell r="C531" t="str">
            <v/>
          </cell>
          <cell r="D531" t="str">
            <v/>
          </cell>
          <cell r="E531">
            <v>926507</v>
          </cell>
          <cell r="F531" t="str">
            <v/>
          </cell>
          <cell r="I531" t="str">
            <v/>
          </cell>
          <cell r="J531" t="str">
            <v/>
          </cell>
          <cell r="U531" t="str">
            <v/>
          </cell>
          <cell r="V531" t="str">
            <v/>
          </cell>
        </row>
        <row r="532">
          <cell r="C532" t="str">
            <v/>
          </cell>
          <cell r="D532" t="str">
            <v/>
          </cell>
          <cell r="E532">
            <v>926507</v>
          </cell>
          <cell r="F532" t="str">
            <v/>
          </cell>
          <cell r="I532" t="str">
            <v/>
          </cell>
          <cell r="J532" t="str">
            <v/>
          </cell>
          <cell r="U532" t="str">
            <v/>
          </cell>
          <cell r="V532" t="str">
            <v/>
          </cell>
        </row>
        <row r="533">
          <cell r="C533" t="str">
            <v/>
          </cell>
          <cell r="D533" t="str">
            <v/>
          </cell>
          <cell r="E533">
            <v>926507</v>
          </cell>
          <cell r="F533" t="str">
            <v/>
          </cell>
          <cell r="I533" t="str">
            <v/>
          </cell>
          <cell r="J533" t="str">
            <v/>
          </cell>
          <cell r="U533" t="str">
            <v/>
          </cell>
          <cell r="V533" t="str">
            <v/>
          </cell>
        </row>
        <row r="534">
          <cell r="C534" t="str">
            <v/>
          </cell>
          <cell r="D534" t="str">
            <v/>
          </cell>
          <cell r="E534">
            <v>926507</v>
          </cell>
          <cell r="F534" t="str">
            <v/>
          </cell>
          <cell r="I534" t="str">
            <v/>
          </cell>
          <cell r="J534" t="str">
            <v/>
          </cell>
          <cell r="U534" t="str">
            <v/>
          </cell>
          <cell r="V534" t="str">
            <v/>
          </cell>
        </row>
        <row r="535">
          <cell r="C535" t="str">
            <v/>
          </cell>
          <cell r="D535" t="str">
            <v/>
          </cell>
          <cell r="E535">
            <v>926507</v>
          </cell>
          <cell r="F535" t="str">
            <v/>
          </cell>
          <cell r="I535" t="str">
            <v/>
          </cell>
          <cell r="J535" t="str">
            <v/>
          </cell>
          <cell r="U535" t="str">
            <v/>
          </cell>
          <cell r="V535" t="str">
            <v/>
          </cell>
        </row>
        <row r="536">
          <cell r="C536" t="str">
            <v/>
          </cell>
          <cell r="D536" t="str">
            <v/>
          </cell>
          <cell r="E536">
            <v>926507</v>
          </cell>
          <cell r="F536" t="str">
            <v/>
          </cell>
          <cell r="I536" t="str">
            <v/>
          </cell>
          <cell r="J536" t="str">
            <v/>
          </cell>
          <cell r="U536" t="str">
            <v/>
          </cell>
          <cell r="V536" t="str">
            <v/>
          </cell>
        </row>
        <row r="537">
          <cell r="C537" t="str">
            <v/>
          </cell>
          <cell r="D537" t="str">
            <v/>
          </cell>
          <cell r="E537">
            <v>926507</v>
          </cell>
          <cell r="F537" t="str">
            <v/>
          </cell>
          <cell r="I537" t="str">
            <v/>
          </cell>
          <cell r="J537" t="str">
            <v/>
          </cell>
          <cell r="U537" t="str">
            <v/>
          </cell>
          <cell r="V537" t="str">
            <v/>
          </cell>
        </row>
        <row r="538">
          <cell r="C538" t="str">
            <v/>
          </cell>
          <cell r="D538" t="str">
            <v/>
          </cell>
          <cell r="E538">
            <v>926507</v>
          </cell>
          <cell r="F538" t="str">
            <v/>
          </cell>
          <cell r="I538" t="str">
            <v/>
          </cell>
          <cell r="J538" t="str">
            <v/>
          </cell>
          <cell r="U538" t="str">
            <v/>
          </cell>
          <cell r="V538" t="str">
            <v/>
          </cell>
        </row>
        <row r="539">
          <cell r="C539" t="str">
            <v/>
          </cell>
          <cell r="D539" t="str">
            <v/>
          </cell>
          <cell r="E539">
            <v>926507</v>
          </cell>
          <cell r="F539" t="str">
            <v/>
          </cell>
          <cell r="I539" t="str">
            <v/>
          </cell>
          <cell r="J539" t="str">
            <v/>
          </cell>
          <cell r="U539" t="str">
            <v/>
          </cell>
          <cell r="V539" t="str">
            <v/>
          </cell>
        </row>
        <row r="540">
          <cell r="C540" t="str">
            <v/>
          </cell>
          <cell r="D540" t="str">
            <v/>
          </cell>
          <cell r="E540">
            <v>926507</v>
          </cell>
          <cell r="F540" t="str">
            <v/>
          </cell>
          <cell r="I540" t="str">
            <v/>
          </cell>
          <cell r="J540" t="str">
            <v/>
          </cell>
          <cell r="U540" t="str">
            <v/>
          </cell>
          <cell r="V540" t="str">
            <v/>
          </cell>
        </row>
        <row r="541">
          <cell r="C541" t="str">
            <v/>
          </cell>
          <cell r="D541" t="str">
            <v/>
          </cell>
          <cell r="E541">
            <v>926507</v>
          </cell>
          <cell r="F541" t="str">
            <v/>
          </cell>
          <cell r="I541" t="str">
            <v/>
          </cell>
          <cell r="J541" t="str">
            <v/>
          </cell>
          <cell r="U541" t="str">
            <v/>
          </cell>
          <cell r="V541" t="str">
            <v/>
          </cell>
        </row>
        <row r="542">
          <cell r="C542" t="str">
            <v/>
          </cell>
          <cell r="D542" t="str">
            <v/>
          </cell>
          <cell r="E542">
            <v>926507</v>
          </cell>
          <cell r="F542" t="str">
            <v/>
          </cell>
          <cell r="I542" t="str">
            <v/>
          </cell>
          <cell r="J542" t="str">
            <v/>
          </cell>
          <cell r="U542" t="str">
            <v/>
          </cell>
          <cell r="V542" t="str">
            <v/>
          </cell>
        </row>
        <row r="543">
          <cell r="C543" t="str">
            <v/>
          </cell>
          <cell r="D543" t="str">
            <v/>
          </cell>
          <cell r="E543">
            <v>926507</v>
          </cell>
          <cell r="F543" t="str">
            <v/>
          </cell>
          <cell r="I543" t="str">
            <v/>
          </cell>
          <cell r="J543" t="str">
            <v/>
          </cell>
          <cell r="U543" t="str">
            <v/>
          </cell>
          <cell r="V543" t="str">
            <v/>
          </cell>
        </row>
        <row r="544">
          <cell r="C544" t="str">
            <v/>
          </cell>
          <cell r="D544" t="str">
            <v/>
          </cell>
          <cell r="E544">
            <v>926507</v>
          </cell>
          <cell r="F544" t="str">
            <v/>
          </cell>
          <cell r="I544" t="str">
            <v/>
          </cell>
          <cell r="J544" t="str">
            <v/>
          </cell>
          <cell r="U544" t="str">
            <v/>
          </cell>
          <cell r="V544" t="str">
            <v/>
          </cell>
        </row>
        <row r="545">
          <cell r="C545" t="str">
            <v/>
          </cell>
          <cell r="D545" t="str">
            <v/>
          </cell>
          <cell r="E545">
            <v>926507</v>
          </cell>
          <cell r="F545" t="str">
            <v/>
          </cell>
          <cell r="I545" t="str">
            <v/>
          </cell>
          <cell r="J545" t="str">
            <v/>
          </cell>
          <cell r="U545" t="str">
            <v/>
          </cell>
          <cell r="V545" t="str">
            <v/>
          </cell>
        </row>
        <row r="546">
          <cell r="C546" t="str">
            <v/>
          </cell>
          <cell r="D546" t="str">
            <v/>
          </cell>
          <cell r="E546">
            <v>926507</v>
          </cell>
          <cell r="F546" t="str">
            <v/>
          </cell>
          <cell r="I546" t="str">
            <v/>
          </cell>
          <cell r="J546" t="str">
            <v/>
          </cell>
          <cell r="U546" t="str">
            <v/>
          </cell>
          <cell r="V546" t="str">
            <v/>
          </cell>
        </row>
        <row r="547">
          <cell r="C547" t="str">
            <v/>
          </cell>
          <cell r="D547" t="str">
            <v/>
          </cell>
          <cell r="E547">
            <v>926507</v>
          </cell>
          <cell r="F547" t="str">
            <v/>
          </cell>
          <cell r="I547" t="str">
            <v/>
          </cell>
          <cell r="J547" t="str">
            <v/>
          </cell>
          <cell r="U547" t="str">
            <v/>
          </cell>
          <cell r="V547" t="str">
            <v/>
          </cell>
        </row>
        <row r="548">
          <cell r="C548" t="str">
            <v/>
          </cell>
          <cell r="D548" t="str">
            <v/>
          </cell>
          <cell r="E548">
            <v>926507</v>
          </cell>
          <cell r="F548" t="str">
            <v/>
          </cell>
          <cell r="I548" t="str">
            <v/>
          </cell>
          <cell r="J548" t="str">
            <v/>
          </cell>
          <cell r="U548" t="str">
            <v/>
          </cell>
          <cell r="V548" t="str">
            <v/>
          </cell>
        </row>
        <row r="549">
          <cell r="C549" t="str">
            <v/>
          </cell>
          <cell r="D549" t="str">
            <v/>
          </cell>
          <cell r="E549">
            <v>926507</v>
          </cell>
          <cell r="F549" t="str">
            <v/>
          </cell>
          <cell r="I549" t="str">
            <v/>
          </cell>
          <cell r="J549" t="str">
            <v/>
          </cell>
          <cell r="U549" t="str">
            <v/>
          </cell>
          <cell r="V549" t="str">
            <v/>
          </cell>
        </row>
        <row r="550">
          <cell r="C550" t="str">
            <v/>
          </cell>
          <cell r="D550" t="str">
            <v/>
          </cell>
          <cell r="E550">
            <v>926507</v>
          </cell>
          <cell r="F550" t="str">
            <v/>
          </cell>
          <cell r="I550" t="str">
            <v/>
          </cell>
          <cell r="J550" t="str">
            <v/>
          </cell>
          <cell r="U550" t="str">
            <v/>
          </cell>
          <cell r="V550" t="str">
            <v/>
          </cell>
        </row>
        <row r="551">
          <cell r="C551" t="str">
            <v/>
          </cell>
          <cell r="D551" t="str">
            <v/>
          </cell>
          <cell r="E551">
            <v>926507</v>
          </cell>
          <cell r="F551" t="str">
            <v/>
          </cell>
          <cell r="I551" t="str">
            <v/>
          </cell>
          <cell r="J551" t="str">
            <v/>
          </cell>
          <cell r="U551" t="str">
            <v/>
          </cell>
          <cell r="V551" t="str">
            <v/>
          </cell>
        </row>
        <row r="552">
          <cell r="C552" t="str">
            <v/>
          </cell>
          <cell r="D552" t="str">
            <v/>
          </cell>
          <cell r="E552">
            <v>926507</v>
          </cell>
          <cell r="F552" t="str">
            <v/>
          </cell>
          <cell r="I552" t="str">
            <v/>
          </cell>
          <cell r="J552" t="str">
            <v/>
          </cell>
          <cell r="U552" t="str">
            <v/>
          </cell>
          <cell r="V552" t="str">
            <v/>
          </cell>
        </row>
        <row r="553">
          <cell r="C553" t="str">
            <v/>
          </cell>
          <cell r="D553" t="str">
            <v/>
          </cell>
          <cell r="E553">
            <v>926507</v>
          </cell>
          <cell r="F553" t="str">
            <v/>
          </cell>
          <cell r="I553" t="str">
            <v/>
          </cell>
          <cell r="J553" t="str">
            <v/>
          </cell>
          <cell r="U553" t="str">
            <v/>
          </cell>
          <cell r="V553" t="str">
            <v/>
          </cell>
        </row>
        <row r="554">
          <cell r="C554" t="str">
            <v/>
          </cell>
          <cell r="D554" t="str">
            <v/>
          </cell>
          <cell r="E554">
            <v>926507</v>
          </cell>
          <cell r="F554" t="str">
            <v/>
          </cell>
          <cell r="I554" t="str">
            <v/>
          </cell>
          <cell r="J554" t="str">
            <v/>
          </cell>
          <cell r="U554" t="str">
            <v/>
          </cell>
          <cell r="V554" t="str">
            <v/>
          </cell>
        </row>
        <row r="555">
          <cell r="C555" t="str">
            <v/>
          </cell>
          <cell r="D555" t="str">
            <v/>
          </cell>
          <cell r="E555">
            <v>926507</v>
          </cell>
          <cell r="F555" t="str">
            <v/>
          </cell>
          <cell r="I555" t="str">
            <v/>
          </cell>
          <cell r="J555" t="str">
            <v/>
          </cell>
          <cell r="U555" t="str">
            <v/>
          </cell>
          <cell r="V555" t="str">
            <v/>
          </cell>
        </row>
        <row r="556">
          <cell r="C556" t="str">
            <v/>
          </cell>
          <cell r="D556" t="str">
            <v/>
          </cell>
          <cell r="E556">
            <v>926507</v>
          </cell>
          <cell r="F556" t="str">
            <v/>
          </cell>
          <cell r="I556" t="str">
            <v/>
          </cell>
          <cell r="J556" t="str">
            <v/>
          </cell>
          <cell r="U556" t="str">
            <v/>
          </cell>
          <cell r="V556" t="str">
            <v/>
          </cell>
        </row>
        <row r="557">
          <cell r="C557" t="str">
            <v/>
          </cell>
          <cell r="D557" t="str">
            <v/>
          </cell>
          <cell r="E557">
            <v>926507</v>
          </cell>
          <cell r="F557" t="str">
            <v/>
          </cell>
          <cell r="I557" t="str">
            <v/>
          </cell>
          <cell r="J557" t="str">
            <v/>
          </cell>
          <cell r="U557" t="str">
            <v/>
          </cell>
          <cell r="V557" t="str">
            <v/>
          </cell>
        </row>
        <row r="558">
          <cell r="C558" t="str">
            <v/>
          </cell>
          <cell r="D558" t="str">
            <v/>
          </cell>
          <cell r="E558">
            <v>926507</v>
          </cell>
          <cell r="F558" t="str">
            <v/>
          </cell>
          <cell r="I558" t="str">
            <v/>
          </cell>
          <cell r="J558" t="str">
            <v/>
          </cell>
          <cell r="U558" t="str">
            <v/>
          </cell>
          <cell r="V558" t="str">
            <v/>
          </cell>
        </row>
        <row r="559">
          <cell r="C559" t="str">
            <v/>
          </cell>
          <cell r="D559" t="str">
            <v/>
          </cell>
          <cell r="E559">
            <v>926507</v>
          </cell>
          <cell r="F559" t="str">
            <v/>
          </cell>
          <cell r="I559" t="str">
            <v/>
          </cell>
          <cell r="J559" t="str">
            <v/>
          </cell>
          <cell r="U559" t="str">
            <v/>
          </cell>
          <cell r="V559" t="str">
            <v/>
          </cell>
        </row>
        <row r="560">
          <cell r="C560" t="str">
            <v/>
          </cell>
          <cell r="D560" t="str">
            <v/>
          </cell>
          <cell r="E560">
            <v>926507</v>
          </cell>
          <cell r="F560" t="str">
            <v/>
          </cell>
          <cell r="I560" t="str">
            <v/>
          </cell>
          <cell r="J560" t="str">
            <v/>
          </cell>
          <cell r="U560" t="str">
            <v/>
          </cell>
          <cell r="V560" t="str">
            <v/>
          </cell>
        </row>
        <row r="561">
          <cell r="C561" t="str">
            <v/>
          </cell>
          <cell r="D561" t="str">
            <v/>
          </cell>
          <cell r="E561">
            <v>926507</v>
          </cell>
          <cell r="F561" t="str">
            <v/>
          </cell>
          <cell r="I561" t="str">
            <v/>
          </cell>
          <cell r="J561" t="str">
            <v/>
          </cell>
          <cell r="U561" t="str">
            <v/>
          </cell>
          <cell r="V561" t="str">
            <v/>
          </cell>
        </row>
        <row r="562">
          <cell r="C562" t="str">
            <v/>
          </cell>
          <cell r="D562" t="str">
            <v/>
          </cell>
          <cell r="E562">
            <v>926507</v>
          </cell>
          <cell r="F562" t="str">
            <v/>
          </cell>
          <cell r="I562" t="str">
            <v/>
          </cell>
          <cell r="J562" t="str">
            <v/>
          </cell>
          <cell r="U562" t="str">
            <v/>
          </cell>
          <cell r="V562" t="str">
            <v/>
          </cell>
        </row>
        <row r="563">
          <cell r="C563" t="str">
            <v/>
          </cell>
          <cell r="D563" t="str">
            <v/>
          </cell>
          <cell r="E563">
            <v>926507</v>
          </cell>
          <cell r="F563" t="str">
            <v/>
          </cell>
          <cell r="I563" t="str">
            <v/>
          </cell>
          <cell r="J563" t="str">
            <v/>
          </cell>
          <cell r="U563" t="str">
            <v/>
          </cell>
          <cell r="V563" t="str">
            <v/>
          </cell>
        </row>
        <row r="564">
          <cell r="C564" t="str">
            <v/>
          </cell>
          <cell r="D564" t="str">
            <v/>
          </cell>
          <cell r="E564">
            <v>926507</v>
          </cell>
          <cell r="F564" t="str">
            <v/>
          </cell>
          <cell r="I564" t="str">
            <v/>
          </cell>
          <cell r="J564" t="str">
            <v/>
          </cell>
          <cell r="U564" t="str">
            <v/>
          </cell>
          <cell r="V564" t="str">
            <v/>
          </cell>
        </row>
        <row r="565">
          <cell r="C565" t="str">
            <v/>
          </cell>
          <cell r="D565" t="str">
            <v/>
          </cell>
          <cell r="E565">
            <v>926507</v>
          </cell>
          <cell r="F565" t="str">
            <v/>
          </cell>
          <cell r="I565" t="str">
            <v/>
          </cell>
          <cell r="J565" t="str">
            <v/>
          </cell>
          <cell r="U565" t="str">
            <v/>
          </cell>
          <cell r="V565" t="str">
            <v/>
          </cell>
        </row>
        <row r="566">
          <cell r="C566" t="str">
            <v/>
          </cell>
          <cell r="D566" t="str">
            <v/>
          </cell>
          <cell r="E566">
            <v>926507</v>
          </cell>
          <cell r="F566" t="str">
            <v/>
          </cell>
          <cell r="I566" t="str">
            <v/>
          </cell>
          <cell r="J566" t="str">
            <v/>
          </cell>
          <cell r="U566" t="str">
            <v/>
          </cell>
          <cell r="V566" t="str">
            <v/>
          </cell>
        </row>
        <row r="567">
          <cell r="C567" t="str">
            <v/>
          </cell>
          <cell r="D567" t="str">
            <v/>
          </cell>
          <cell r="E567">
            <v>926507</v>
          </cell>
          <cell r="F567" t="str">
            <v/>
          </cell>
          <cell r="I567" t="str">
            <v/>
          </cell>
          <cell r="J567" t="str">
            <v/>
          </cell>
          <cell r="U567" t="str">
            <v/>
          </cell>
          <cell r="V567" t="str">
            <v/>
          </cell>
        </row>
        <row r="568">
          <cell r="C568" t="str">
            <v/>
          </cell>
          <cell r="D568" t="str">
            <v/>
          </cell>
          <cell r="E568">
            <v>926507</v>
          </cell>
          <cell r="F568" t="str">
            <v/>
          </cell>
          <cell r="I568" t="str">
            <v/>
          </cell>
          <cell r="J568" t="str">
            <v/>
          </cell>
          <cell r="U568" t="str">
            <v/>
          </cell>
          <cell r="V568" t="str">
            <v/>
          </cell>
        </row>
        <row r="569">
          <cell r="C569" t="str">
            <v/>
          </cell>
          <cell r="D569" t="str">
            <v/>
          </cell>
          <cell r="E569">
            <v>926507</v>
          </cell>
          <cell r="F569" t="str">
            <v/>
          </cell>
          <cell r="I569" t="str">
            <v/>
          </cell>
          <cell r="J569" t="str">
            <v/>
          </cell>
          <cell r="U569" t="str">
            <v/>
          </cell>
          <cell r="V569" t="str">
            <v/>
          </cell>
        </row>
        <row r="570">
          <cell r="C570" t="str">
            <v/>
          </cell>
          <cell r="D570" t="str">
            <v/>
          </cell>
          <cell r="E570">
            <v>926507</v>
          </cell>
          <cell r="F570" t="str">
            <v/>
          </cell>
          <cell r="I570" t="str">
            <v/>
          </cell>
          <cell r="J570" t="str">
            <v/>
          </cell>
          <cell r="U570" t="str">
            <v/>
          </cell>
          <cell r="V570" t="str">
            <v/>
          </cell>
        </row>
        <row r="571">
          <cell r="C571" t="str">
            <v/>
          </cell>
          <cell r="D571" t="str">
            <v/>
          </cell>
          <cell r="E571">
            <v>926507</v>
          </cell>
          <cell r="F571" t="str">
            <v/>
          </cell>
          <cell r="I571" t="str">
            <v/>
          </cell>
          <cell r="J571" t="str">
            <v/>
          </cell>
          <cell r="U571" t="str">
            <v/>
          </cell>
          <cell r="V571" t="str">
            <v/>
          </cell>
        </row>
        <row r="572">
          <cell r="C572" t="str">
            <v/>
          </cell>
          <cell r="D572" t="str">
            <v/>
          </cell>
          <cell r="E572">
            <v>926507</v>
          </cell>
          <cell r="F572" t="str">
            <v/>
          </cell>
          <cell r="I572" t="str">
            <v/>
          </cell>
          <cell r="J572" t="str">
            <v/>
          </cell>
          <cell r="U572" t="str">
            <v/>
          </cell>
          <cell r="V572" t="str">
            <v/>
          </cell>
        </row>
        <row r="573">
          <cell r="C573" t="str">
            <v/>
          </cell>
          <cell r="D573" t="str">
            <v/>
          </cell>
          <cell r="E573">
            <v>926507</v>
          </cell>
          <cell r="F573" t="str">
            <v/>
          </cell>
          <cell r="I573" t="str">
            <v/>
          </cell>
          <cell r="J573" t="str">
            <v/>
          </cell>
          <cell r="U573" t="str">
            <v/>
          </cell>
          <cell r="V573" t="str">
            <v/>
          </cell>
        </row>
        <row r="574">
          <cell r="C574" t="str">
            <v/>
          </cell>
          <cell r="D574" t="str">
            <v/>
          </cell>
          <cell r="E574">
            <v>926507</v>
          </cell>
          <cell r="F574" t="str">
            <v/>
          </cell>
          <cell r="I574" t="str">
            <v/>
          </cell>
          <cell r="J574" t="str">
            <v/>
          </cell>
          <cell r="U574" t="str">
            <v/>
          </cell>
          <cell r="V574" t="str">
            <v/>
          </cell>
        </row>
        <row r="575">
          <cell r="C575" t="str">
            <v/>
          </cell>
          <cell r="D575" t="str">
            <v/>
          </cell>
          <cell r="E575">
            <v>926507</v>
          </cell>
          <cell r="F575" t="str">
            <v/>
          </cell>
          <cell r="I575" t="str">
            <v/>
          </cell>
          <cell r="J575" t="str">
            <v/>
          </cell>
          <cell r="U575" t="str">
            <v/>
          </cell>
          <cell r="V575" t="str">
            <v/>
          </cell>
        </row>
        <row r="576">
          <cell r="C576" t="str">
            <v/>
          </cell>
          <cell r="D576" t="str">
            <v/>
          </cell>
          <cell r="E576">
            <v>926507</v>
          </cell>
          <cell r="F576" t="str">
            <v/>
          </cell>
          <cell r="I576" t="str">
            <v/>
          </cell>
          <cell r="J576" t="str">
            <v/>
          </cell>
          <cell r="U576" t="str">
            <v/>
          </cell>
          <cell r="V576" t="str">
            <v/>
          </cell>
        </row>
        <row r="577">
          <cell r="C577" t="str">
            <v/>
          </cell>
          <cell r="D577" t="str">
            <v/>
          </cell>
          <cell r="E577">
            <v>926507</v>
          </cell>
          <cell r="F577" t="str">
            <v/>
          </cell>
          <cell r="I577" t="str">
            <v/>
          </cell>
          <cell r="J577" t="str">
            <v/>
          </cell>
          <cell r="U577" t="str">
            <v/>
          </cell>
          <cell r="V577" t="str">
            <v/>
          </cell>
        </row>
        <row r="578">
          <cell r="C578" t="str">
            <v/>
          </cell>
          <cell r="D578" t="str">
            <v/>
          </cell>
          <cell r="E578">
            <v>926507</v>
          </cell>
          <cell r="F578" t="str">
            <v/>
          </cell>
          <cell r="I578" t="str">
            <v/>
          </cell>
          <cell r="J578" t="str">
            <v/>
          </cell>
          <cell r="U578" t="str">
            <v/>
          </cell>
          <cell r="V578" t="str">
            <v/>
          </cell>
        </row>
        <row r="579">
          <cell r="C579" t="str">
            <v/>
          </cell>
          <cell r="D579" t="str">
            <v/>
          </cell>
          <cell r="E579">
            <v>926507</v>
          </cell>
          <cell r="F579" t="str">
            <v/>
          </cell>
          <cell r="I579" t="str">
            <v/>
          </cell>
          <cell r="J579" t="str">
            <v/>
          </cell>
          <cell r="U579" t="str">
            <v/>
          </cell>
          <cell r="V579" t="str">
            <v/>
          </cell>
        </row>
        <row r="580">
          <cell r="C580" t="str">
            <v/>
          </cell>
          <cell r="D580" t="str">
            <v/>
          </cell>
          <cell r="E580">
            <v>926507</v>
          </cell>
          <cell r="F580" t="str">
            <v/>
          </cell>
          <cell r="I580" t="str">
            <v/>
          </cell>
          <cell r="J580" t="str">
            <v/>
          </cell>
          <cell r="U580" t="str">
            <v/>
          </cell>
          <cell r="V580" t="str">
            <v/>
          </cell>
        </row>
        <row r="581">
          <cell r="C581" t="str">
            <v/>
          </cell>
          <cell r="D581" t="str">
            <v/>
          </cell>
          <cell r="E581">
            <v>926507</v>
          </cell>
          <cell r="F581" t="str">
            <v/>
          </cell>
          <cell r="I581" t="str">
            <v/>
          </cell>
          <cell r="J581" t="str">
            <v/>
          </cell>
          <cell r="U581" t="str">
            <v/>
          </cell>
          <cell r="V581" t="str">
            <v/>
          </cell>
        </row>
        <row r="582">
          <cell r="C582" t="str">
            <v/>
          </cell>
          <cell r="D582" t="str">
            <v/>
          </cell>
          <cell r="E582">
            <v>926507</v>
          </cell>
          <cell r="F582" t="str">
            <v/>
          </cell>
          <cell r="I582" t="str">
            <v/>
          </cell>
          <cell r="J582" t="str">
            <v/>
          </cell>
          <cell r="U582" t="str">
            <v/>
          </cell>
          <cell r="V582" t="str">
            <v/>
          </cell>
        </row>
        <row r="583">
          <cell r="C583" t="str">
            <v/>
          </cell>
          <cell r="D583" t="str">
            <v/>
          </cell>
          <cell r="E583">
            <v>926507</v>
          </cell>
          <cell r="F583" t="str">
            <v/>
          </cell>
          <cell r="I583" t="str">
            <v/>
          </cell>
          <cell r="J583" t="str">
            <v/>
          </cell>
          <cell r="U583" t="str">
            <v/>
          </cell>
          <cell r="V583" t="str">
            <v/>
          </cell>
        </row>
        <row r="584">
          <cell r="C584" t="str">
            <v/>
          </cell>
          <cell r="D584" t="str">
            <v/>
          </cell>
          <cell r="E584">
            <v>926507</v>
          </cell>
          <cell r="F584" t="str">
            <v/>
          </cell>
          <cell r="I584" t="str">
            <v/>
          </cell>
          <cell r="J584" t="str">
            <v/>
          </cell>
          <cell r="U584" t="str">
            <v/>
          </cell>
          <cell r="V584" t="str">
            <v/>
          </cell>
        </row>
        <row r="585">
          <cell r="C585" t="str">
            <v/>
          </cell>
          <cell r="D585" t="str">
            <v/>
          </cell>
          <cell r="E585">
            <v>926507</v>
          </cell>
          <cell r="F585" t="str">
            <v/>
          </cell>
          <cell r="I585" t="str">
            <v/>
          </cell>
          <cell r="J585" t="str">
            <v/>
          </cell>
          <cell r="U585" t="str">
            <v/>
          </cell>
          <cell r="V585" t="str">
            <v/>
          </cell>
        </row>
        <row r="586">
          <cell r="C586" t="str">
            <v/>
          </cell>
          <cell r="D586" t="str">
            <v/>
          </cell>
          <cell r="E586">
            <v>926507</v>
          </cell>
          <cell r="F586" t="str">
            <v/>
          </cell>
          <cell r="I586" t="str">
            <v/>
          </cell>
          <cell r="J586" t="str">
            <v/>
          </cell>
          <cell r="U586" t="str">
            <v/>
          </cell>
          <cell r="V586" t="str">
            <v/>
          </cell>
        </row>
        <row r="587">
          <cell r="C587" t="str">
            <v/>
          </cell>
          <cell r="D587" t="str">
            <v/>
          </cell>
          <cell r="E587">
            <v>926507</v>
          </cell>
          <cell r="F587" t="str">
            <v/>
          </cell>
          <cell r="I587" t="str">
            <v/>
          </cell>
          <cell r="J587" t="str">
            <v/>
          </cell>
          <cell r="U587" t="str">
            <v/>
          </cell>
          <cell r="V587" t="str">
            <v/>
          </cell>
        </row>
        <row r="588">
          <cell r="C588" t="str">
            <v/>
          </cell>
          <cell r="D588" t="str">
            <v/>
          </cell>
          <cell r="E588">
            <v>926507</v>
          </cell>
          <cell r="F588" t="str">
            <v/>
          </cell>
          <cell r="I588" t="str">
            <v/>
          </cell>
          <cell r="J588" t="str">
            <v/>
          </cell>
          <cell r="U588" t="str">
            <v/>
          </cell>
          <cell r="V588" t="str">
            <v/>
          </cell>
        </row>
        <row r="589">
          <cell r="C589" t="str">
            <v/>
          </cell>
          <cell r="D589" t="str">
            <v/>
          </cell>
          <cell r="E589">
            <v>926507</v>
          </cell>
          <cell r="F589" t="str">
            <v/>
          </cell>
          <cell r="I589" t="str">
            <v/>
          </cell>
          <cell r="J589" t="str">
            <v/>
          </cell>
          <cell r="U589" t="str">
            <v/>
          </cell>
          <cell r="V589" t="str">
            <v/>
          </cell>
        </row>
        <row r="590">
          <cell r="C590" t="str">
            <v/>
          </cell>
          <cell r="D590" t="str">
            <v/>
          </cell>
          <cell r="E590">
            <v>926507</v>
          </cell>
          <cell r="F590" t="str">
            <v/>
          </cell>
          <cell r="I590" t="str">
            <v/>
          </cell>
          <cell r="J590" t="str">
            <v/>
          </cell>
          <cell r="U590" t="str">
            <v/>
          </cell>
          <cell r="V590" t="str">
            <v/>
          </cell>
        </row>
        <row r="591">
          <cell r="C591" t="str">
            <v/>
          </cell>
          <cell r="D591" t="str">
            <v/>
          </cell>
          <cell r="E591">
            <v>926507</v>
          </cell>
          <cell r="F591" t="str">
            <v/>
          </cell>
          <cell r="I591" t="str">
            <v/>
          </cell>
          <cell r="J591" t="str">
            <v/>
          </cell>
          <cell r="U591" t="str">
            <v/>
          </cell>
          <cell r="V591" t="str">
            <v/>
          </cell>
        </row>
        <row r="592">
          <cell r="C592" t="str">
            <v/>
          </cell>
          <cell r="D592" t="str">
            <v/>
          </cell>
          <cell r="E592">
            <v>926507</v>
          </cell>
          <cell r="F592" t="str">
            <v/>
          </cell>
          <cell r="I592" t="str">
            <v/>
          </cell>
          <cell r="J592" t="str">
            <v/>
          </cell>
          <cell r="U592" t="str">
            <v/>
          </cell>
          <cell r="V592" t="str">
            <v/>
          </cell>
        </row>
        <row r="593">
          <cell r="C593" t="str">
            <v/>
          </cell>
          <cell r="D593" t="str">
            <v/>
          </cell>
          <cell r="E593">
            <v>926507</v>
          </cell>
          <cell r="F593" t="str">
            <v/>
          </cell>
          <cell r="I593" t="str">
            <v/>
          </cell>
          <cell r="J593" t="str">
            <v/>
          </cell>
          <cell r="U593" t="str">
            <v/>
          </cell>
          <cell r="V593" t="str">
            <v/>
          </cell>
        </row>
        <row r="594">
          <cell r="C594" t="str">
            <v/>
          </cell>
          <cell r="D594" t="str">
            <v/>
          </cell>
          <cell r="E594">
            <v>926507</v>
          </cell>
          <cell r="F594" t="str">
            <v/>
          </cell>
          <cell r="I594" t="str">
            <v/>
          </cell>
          <cell r="J594" t="str">
            <v/>
          </cell>
          <cell r="U594" t="str">
            <v/>
          </cell>
          <cell r="V594" t="str">
            <v/>
          </cell>
        </row>
        <row r="595">
          <cell r="C595" t="str">
            <v/>
          </cell>
          <cell r="D595" t="str">
            <v/>
          </cell>
          <cell r="E595">
            <v>926507</v>
          </cell>
          <cell r="F595" t="str">
            <v/>
          </cell>
          <cell r="I595" t="str">
            <v/>
          </cell>
          <cell r="J595" t="str">
            <v/>
          </cell>
          <cell r="U595" t="str">
            <v/>
          </cell>
          <cell r="V595" t="str">
            <v/>
          </cell>
        </row>
        <row r="596">
          <cell r="C596" t="str">
            <v/>
          </cell>
          <cell r="D596" t="str">
            <v/>
          </cell>
          <cell r="E596">
            <v>926507</v>
          </cell>
          <cell r="F596" t="str">
            <v/>
          </cell>
          <cell r="I596" t="str">
            <v/>
          </cell>
          <cell r="J596" t="str">
            <v/>
          </cell>
          <cell r="U596" t="str">
            <v/>
          </cell>
          <cell r="V596" t="str">
            <v/>
          </cell>
        </row>
        <row r="597">
          <cell r="C597" t="str">
            <v/>
          </cell>
          <cell r="D597" t="str">
            <v/>
          </cell>
          <cell r="E597">
            <v>926507</v>
          </cell>
          <cell r="F597" t="str">
            <v/>
          </cell>
          <cell r="I597" t="str">
            <v/>
          </cell>
          <cell r="J597" t="str">
            <v/>
          </cell>
          <cell r="U597" t="str">
            <v/>
          </cell>
          <cell r="V597" t="str">
            <v/>
          </cell>
        </row>
        <row r="598">
          <cell r="C598" t="str">
            <v/>
          </cell>
          <cell r="D598" t="str">
            <v/>
          </cell>
          <cell r="E598">
            <v>926507</v>
          </cell>
          <cell r="F598" t="str">
            <v/>
          </cell>
          <cell r="I598" t="str">
            <v/>
          </cell>
          <cell r="J598" t="str">
            <v/>
          </cell>
          <cell r="U598" t="str">
            <v/>
          </cell>
          <cell r="V598" t="str">
            <v/>
          </cell>
        </row>
        <row r="599">
          <cell r="C599" t="str">
            <v/>
          </cell>
          <cell r="D599" t="str">
            <v/>
          </cell>
          <cell r="E599">
            <v>926507</v>
          </cell>
          <cell r="F599" t="str">
            <v/>
          </cell>
          <cell r="I599" t="str">
            <v/>
          </cell>
          <cell r="J599" t="str">
            <v/>
          </cell>
          <cell r="U599" t="str">
            <v/>
          </cell>
          <cell r="V599" t="str">
            <v/>
          </cell>
        </row>
        <row r="600">
          <cell r="C600" t="str">
            <v/>
          </cell>
          <cell r="D600" t="str">
            <v/>
          </cell>
          <cell r="E600">
            <v>926507</v>
          </cell>
          <cell r="F600" t="str">
            <v/>
          </cell>
          <cell r="I600" t="str">
            <v/>
          </cell>
          <cell r="J600" t="str">
            <v/>
          </cell>
          <cell r="U600" t="str">
            <v/>
          </cell>
          <cell r="V600" t="str">
            <v/>
          </cell>
        </row>
        <row r="601">
          <cell r="C601" t="str">
            <v/>
          </cell>
          <cell r="D601" t="str">
            <v/>
          </cell>
          <cell r="E601">
            <v>926507</v>
          </cell>
          <cell r="F601" t="str">
            <v/>
          </cell>
          <cell r="I601" t="str">
            <v/>
          </cell>
          <cell r="J601" t="str">
            <v/>
          </cell>
          <cell r="U601" t="str">
            <v/>
          </cell>
          <cell r="V601" t="str">
            <v/>
          </cell>
        </row>
        <row r="602">
          <cell r="C602" t="str">
            <v/>
          </cell>
          <cell r="D602" t="str">
            <v/>
          </cell>
          <cell r="E602">
            <v>926507</v>
          </cell>
          <cell r="F602" t="str">
            <v/>
          </cell>
          <cell r="I602" t="str">
            <v/>
          </cell>
          <cell r="J602" t="str">
            <v/>
          </cell>
          <cell r="U602" t="str">
            <v/>
          </cell>
          <cell r="V602" t="str">
            <v/>
          </cell>
        </row>
        <row r="603">
          <cell r="C603" t="str">
            <v/>
          </cell>
          <cell r="D603" t="str">
            <v/>
          </cell>
          <cell r="E603">
            <v>926507</v>
          </cell>
          <cell r="F603" t="str">
            <v/>
          </cell>
          <cell r="I603" t="str">
            <v/>
          </cell>
          <cell r="J603" t="str">
            <v/>
          </cell>
          <cell r="U603" t="str">
            <v/>
          </cell>
          <cell r="V603" t="str">
            <v/>
          </cell>
        </row>
        <row r="604">
          <cell r="C604" t="str">
            <v/>
          </cell>
          <cell r="D604" t="str">
            <v/>
          </cell>
          <cell r="E604">
            <v>926507</v>
          </cell>
          <cell r="F604" t="str">
            <v/>
          </cell>
          <cell r="I604" t="str">
            <v/>
          </cell>
          <cell r="J604" t="str">
            <v/>
          </cell>
          <cell r="U604" t="str">
            <v/>
          </cell>
          <cell r="V604" t="str">
            <v/>
          </cell>
        </row>
        <row r="605">
          <cell r="C605" t="str">
            <v/>
          </cell>
          <cell r="D605" t="str">
            <v/>
          </cell>
          <cell r="E605">
            <v>926507</v>
          </cell>
          <cell r="F605" t="str">
            <v/>
          </cell>
          <cell r="I605" t="str">
            <v/>
          </cell>
          <cell r="J605" t="str">
            <v/>
          </cell>
          <cell r="U605" t="str">
            <v/>
          </cell>
          <cell r="V605" t="str">
            <v/>
          </cell>
        </row>
        <row r="606">
          <cell r="C606" t="str">
            <v/>
          </cell>
          <cell r="D606" t="str">
            <v/>
          </cell>
          <cell r="E606">
            <v>926507</v>
          </cell>
          <cell r="F606" t="str">
            <v/>
          </cell>
          <cell r="I606" t="str">
            <v/>
          </cell>
          <cell r="J606" t="str">
            <v/>
          </cell>
          <cell r="U606" t="str">
            <v/>
          </cell>
          <cell r="V606" t="str">
            <v/>
          </cell>
        </row>
        <row r="607">
          <cell r="C607" t="str">
            <v/>
          </cell>
          <cell r="D607" t="str">
            <v/>
          </cell>
          <cell r="E607">
            <v>926507</v>
          </cell>
          <cell r="F607" t="str">
            <v/>
          </cell>
          <cell r="I607" t="str">
            <v/>
          </cell>
          <cell r="J607" t="str">
            <v/>
          </cell>
          <cell r="U607" t="str">
            <v/>
          </cell>
          <cell r="V607" t="str">
            <v/>
          </cell>
        </row>
        <row r="608">
          <cell r="C608" t="str">
            <v/>
          </cell>
          <cell r="D608" t="str">
            <v/>
          </cell>
          <cell r="E608">
            <v>926507</v>
          </cell>
          <cell r="F608" t="str">
            <v/>
          </cell>
          <cell r="I608" t="str">
            <v/>
          </cell>
          <cell r="J608" t="str">
            <v/>
          </cell>
          <cell r="U608" t="str">
            <v/>
          </cell>
          <cell r="V608" t="str">
            <v/>
          </cell>
        </row>
        <row r="609">
          <cell r="C609" t="str">
            <v/>
          </cell>
          <cell r="D609" t="str">
            <v/>
          </cell>
          <cell r="E609">
            <v>926507</v>
          </cell>
          <cell r="F609" t="str">
            <v/>
          </cell>
          <cell r="I609" t="str">
            <v/>
          </cell>
          <cell r="J609" t="str">
            <v/>
          </cell>
          <cell r="U609" t="str">
            <v/>
          </cell>
          <cell r="V609" t="str">
            <v/>
          </cell>
        </row>
        <row r="610">
          <cell r="C610" t="str">
            <v/>
          </cell>
          <cell r="D610" t="str">
            <v/>
          </cell>
          <cell r="E610">
            <v>926507</v>
          </cell>
          <cell r="F610" t="str">
            <v/>
          </cell>
          <cell r="I610" t="str">
            <v/>
          </cell>
          <cell r="J610" t="str">
            <v/>
          </cell>
          <cell r="U610" t="str">
            <v/>
          </cell>
          <cell r="V610" t="str">
            <v/>
          </cell>
        </row>
        <row r="611">
          <cell r="C611" t="str">
            <v/>
          </cell>
          <cell r="D611" t="str">
            <v/>
          </cell>
          <cell r="E611">
            <v>926507</v>
          </cell>
          <cell r="F611" t="str">
            <v/>
          </cell>
          <cell r="I611" t="str">
            <v/>
          </cell>
          <cell r="J611" t="str">
            <v/>
          </cell>
          <cell r="U611" t="str">
            <v/>
          </cell>
          <cell r="V611" t="str">
            <v/>
          </cell>
        </row>
        <row r="612">
          <cell r="C612" t="str">
            <v/>
          </cell>
          <cell r="D612" t="str">
            <v/>
          </cell>
          <cell r="E612">
            <v>926507</v>
          </cell>
          <cell r="F612" t="str">
            <v/>
          </cell>
          <cell r="I612" t="str">
            <v/>
          </cell>
          <cell r="J612" t="str">
            <v/>
          </cell>
          <cell r="U612" t="str">
            <v/>
          </cell>
          <cell r="V612" t="str">
            <v/>
          </cell>
        </row>
        <row r="613">
          <cell r="C613" t="str">
            <v/>
          </cell>
          <cell r="D613" t="str">
            <v/>
          </cell>
          <cell r="E613">
            <v>926507</v>
          </cell>
          <cell r="F613" t="str">
            <v/>
          </cell>
          <cell r="I613" t="str">
            <v/>
          </cell>
          <cell r="J613" t="str">
            <v/>
          </cell>
          <cell r="U613" t="str">
            <v/>
          </cell>
          <cell r="V613" t="str">
            <v/>
          </cell>
        </row>
        <row r="614">
          <cell r="C614" t="str">
            <v/>
          </cell>
          <cell r="D614" t="str">
            <v/>
          </cell>
          <cell r="E614">
            <v>926507</v>
          </cell>
          <cell r="F614" t="str">
            <v/>
          </cell>
          <cell r="I614" t="str">
            <v/>
          </cell>
          <cell r="J614" t="str">
            <v/>
          </cell>
          <cell r="U614" t="str">
            <v/>
          </cell>
          <cell r="V614" t="str">
            <v/>
          </cell>
        </row>
        <row r="615">
          <cell r="C615" t="str">
            <v/>
          </cell>
          <cell r="D615" t="str">
            <v/>
          </cell>
          <cell r="E615">
            <v>926507</v>
          </cell>
          <cell r="F615" t="str">
            <v/>
          </cell>
          <cell r="I615" t="str">
            <v/>
          </cell>
          <cell r="J615" t="str">
            <v/>
          </cell>
          <cell r="U615" t="str">
            <v/>
          </cell>
          <cell r="V615" t="str">
            <v/>
          </cell>
        </row>
        <row r="616">
          <cell r="C616" t="str">
            <v/>
          </cell>
          <cell r="D616" t="str">
            <v/>
          </cell>
          <cell r="E616">
            <v>926507</v>
          </cell>
          <cell r="F616" t="str">
            <v/>
          </cell>
          <cell r="I616" t="str">
            <v/>
          </cell>
          <cell r="J616" t="str">
            <v/>
          </cell>
          <cell r="U616" t="str">
            <v/>
          </cell>
          <cell r="V616" t="str">
            <v/>
          </cell>
        </row>
        <row r="617">
          <cell r="C617" t="str">
            <v/>
          </cell>
          <cell r="D617" t="str">
            <v/>
          </cell>
          <cell r="E617">
            <v>926507</v>
          </cell>
          <cell r="F617" t="str">
            <v/>
          </cell>
          <cell r="I617" t="str">
            <v/>
          </cell>
          <cell r="J617" t="str">
            <v/>
          </cell>
          <cell r="U617" t="str">
            <v/>
          </cell>
          <cell r="V617" t="str">
            <v/>
          </cell>
        </row>
        <row r="618">
          <cell r="C618" t="str">
            <v/>
          </cell>
          <cell r="D618" t="str">
            <v/>
          </cell>
          <cell r="E618">
            <v>926507</v>
          </cell>
          <cell r="F618" t="str">
            <v/>
          </cell>
          <cell r="I618" t="str">
            <v/>
          </cell>
          <cell r="J618" t="str">
            <v/>
          </cell>
          <cell r="U618" t="str">
            <v/>
          </cell>
          <cell r="V618" t="str">
            <v/>
          </cell>
        </row>
        <row r="619">
          <cell r="C619" t="str">
            <v/>
          </cell>
          <cell r="D619" t="str">
            <v/>
          </cell>
          <cell r="E619">
            <v>926507</v>
          </cell>
          <cell r="F619" t="str">
            <v/>
          </cell>
          <cell r="I619" t="str">
            <v/>
          </cell>
          <cell r="J619" t="str">
            <v/>
          </cell>
          <cell r="U619" t="str">
            <v/>
          </cell>
          <cell r="V619" t="str">
            <v/>
          </cell>
        </row>
        <row r="620">
          <cell r="C620" t="str">
            <v/>
          </cell>
          <cell r="D620" t="str">
            <v/>
          </cell>
          <cell r="E620">
            <v>926507</v>
          </cell>
          <cell r="F620" t="str">
            <v/>
          </cell>
          <cell r="I620" t="str">
            <v/>
          </cell>
          <cell r="J620" t="str">
            <v/>
          </cell>
          <cell r="U620" t="str">
            <v/>
          </cell>
          <cell r="V620" t="str">
            <v/>
          </cell>
        </row>
        <row r="621">
          <cell r="C621" t="str">
            <v/>
          </cell>
          <cell r="D621" t="str">
            <v/>
          </cell>
          <cell r="E621">
            <v>926507</v>
          </cell>
          <cell r="F621" t="str">
            <v/>
          </cell>
          <cell r="I621" t="str">
            <v/>
          </cell>
          <cell r="J621" t="str">
            <v/>
          </cell>
          <cell r="U621" t="str">
            <v/>
          </cell>
          <cell r="V621" t="str">
            <v/>
          </cell>
        </row>
        <row r="622">
          <cell r="C622" t="str">
            <v/>
          </cell>
          <cell r="D622" t="str">
            <v/>
          </cell>
          <cell r="E622">
            <v>926507</v>
          </cell>
          <cell r="F622" t="str">
            <v/>
          </cell>
          <cell r="I622" t="str">
            <v/>
          </cell>
          <cell r="J622" t="str">
            <v/>
          </cell>
          <cell r="U622" t="str">
            <v/>
          </cell>
          <cell r="V622" t="str">
            <v/>
          </cell>
        </row>
        <row r="623">
          <cell r="C623" t="str">
            <v/>
          </cell>
          <cell r="D623" t="str">
            <v/>
          </cell>
          <cell r="E623">
            <v>926507</v>
          </cell>
          <cell r="F623" t="str">
            <v/>
          </cell>
          <cell r="I623" t="str">
            <v/>
          </cell>
          <cell r="J623" t="str">
            <v/>
          </cell>
          <cell r="U623" t="str">
            <v/>
          </cell>
          <cell r="V623" t="str">
            <v/>
          </cell>
        </row>
        <row r="624">
          <cell r="C624" t="str">
            <v/>
          </cell>
          <cell r="D624" t="str">
            <v/>
          </cell>
          <cell r="E624">
            <v>926507</v>
          </cell>
          <cell r="F624" t="str">
            <v/>
          </cell>
          <cell r="I624" t="str">
            <v/>
          </cell>
          <cell r="J624" t="str">
            <v/>
          </cell>
          <cell r="U624" t="str">
            <v/>
          </cell>
          <cell r="V624" t="str">
            <v/>
          </cell>
        </row>
        <row r="625">
          <cell r="C625" t="str">
            <v/>
          </cell>
          <cell r="D625" t="str">
            <v/>
          </cell>
          <cell r="E625">
            <v>926507</v>
          </cell>
          <cell r="F625" t="str">
            <v/>
          </cell>
          <cell r="I625" t="str">
            <v/>
          </cell>
          <cell r="J625" t="str">
            <v/>
          </cell>
          <cell r="U625" t="str">
            <v/>
          </cell>
          <cell r="V625" t="str">
            <v/>
          </cell>
        </row>
        <row r="626">
          <cell r="C626" t="str">
            <v/>
          </cell>
          <cell r="D626" t="str">
            <v/>
          </cell>
          <cell r="E626">
            <v>926507</v>
          </cell>
          <cell r="F626" t="str">
            <v/>
          </cell>
          <cell r="I626" t="str">
            <v/>
          </cell>
          <cell r="J626" t="str">
            <v/>
          </cell>
          <cell r="U626" t="str">
            <v/>
          </cell>
          <cell r="V626" t="str">
            <v/>
          </cell>
        </row>
        <row r="627">
          <cell r="C627" t="str">
            <v/>
          </cell>
          <cell r="D627" t="str">
            <v/>
          </cell>
          <cell r="E627">
            <v>926507</v>
          </cell>
          <cell r="F627" t="str">
            <v/>
          </cell>
          <cell r="I627" t="str">
            <v/>
          </cell>
          <cell r="J627" t="str">
            <v/>
          </cell>
          <cell r="U627" t="str">
            <v/>
          </cell>
          <cell r="V627" t="str">
            <v/>
          </cell>
        </row>
        <row r="628">
          <cell r="C628" t="str">
            <v/>
          </cell>
          <cell r="D628" t="str">
            <v/>
          </cell>
          <cell r="E628">
            <v>926507</v>
          </cell>
          <cell r="F628" t="str">
            <v/>
          </cell>
          <cell r="I628" t="str">
            <v/>
          </cell>
          <cell r="J628" t="str">
            <v/>
          </cell>
          <cell r="U628" t="str">
            <v/>
          </cell>
          <cell r="V628" t="str">
            <v/>
          </cell>
        </row>
        <row r="629">
          <cell r="C629" t="str">
            <v/>
          </cell>
          <cell r="D629" t="str">
            <v/>
          </cell>
          <cell r="E629">
            <v>926507</v>
          </cell>
          <cell r="F629" t="str">
            <v/>
          </cell>
          <cell r="I629" t="str">
            <v/>
          </cell>
          <cell r="J629" t="str">
            <v/>
          </cell>
          <cell r="U629" t="str">
            <v/>
          </cell>
          <cell r="V629" t="str">
            <v/>
          </cell>
        </row>
        <row r="630">
          <cell r="C630" t="str">
            <v/>
          </cell>
          <cell r="D630" t="str">
            <v/>
          </cell>
          <cell r="E630">
            <v>926507</v>
          </cell>
          <cell r="F630" t="str">
            <v/>
          </cell>
          <cell r="I630" t="str">
            <v/>
          </cell>
          <cell r="J630" t="str">
            <v/>
          </cell>
          <cell r="U630" t="str">
            <v/>
          </cell>
          <cell r="V630" t="str">
            <v/>
          </cell>
        </row>
        <row r="631">
          <cell r="C631" t="str">
            <v/>
          </cell>
          <cell r="D631" t="str">
            <v/>
          </cell>
          <cell r="E631">
            <v>926507</v>
          </cell>
          <cell r="F631" t="str">
            <v/>
          </cell>
          <cell r="I631" t="str">
            <v/>
          </cell>
          <cell r="J631" t="str">
            <v/>
          </cell>
          <cell r="U631" t="str">
            <v/>
          </cell>
          <cell r="V631" t="str">
            <v/>
          </cell>
        </row>
        <row r="632">
          <cell r="C632" t="str">
            <v/>
          </cell>
          <cell r="D632" t="str">
            <v/>
          </cell>
          <cell r="E632">
            <v>926507</v>
          </cell>
          <cell r="F632" t="str">
            <v/>
          </cell>
          <cell r="I632" t="str">
            <v/>
          </cell>
          <cell r="J632" t="str">
            <v/>
          </cell>
          <cell r="U632" t="str">
            <v/>
          </cell>
          <cell r="V632" t="str">
            <v/>
          </cell>
        </row>
        <row r="633">
          <cell r="C633" t="str">
            <v/>
          </cell>
          <cell r="D633" t="str">
            <v/>
          </cell>
          <cell r="E633">
            <v>926507</v>
          </cell>
          <cell r="F633" t="str">
            <v/>
          </cell>
          <cell r="I633" t="str">
            <v/>
          </cell>
          <cell r="J633" t="str">
            <v/>
          </cell>
          <cell r="U633" t="str">
            <v/>
          </cell>
          <cell r="V633" t="str">
            <v/>
          </cell>
        </row>
        <row r="634">
          <cell r="C634" t="str">
            <v/>
          </cell>
          <cell r="D634" t="str">
            <v/>
          </cell>
          <cell r="E634">
            <v>926507</v>
          </cell>
          <cell r="F634" t="str">
            <v/>
          </cell>
          <cell r="I634" t="str">
            <v/>
          </cell>
          <cell r="J634" t="str">
            <v/>
          </cell>
          <cell r="U634" t="str">
            <v/>
          </cell>
          <cell r="V634" t="str">
            <v/>
          </cell>
        </row>
        <row r="635">
          <cell r="C635" t="str">
            <v/>
          </cell>
          <cell r="D635" t="str">
            <v/>
          </cell>
          <cell r="E635">
            <v>926507</v>
          </cell>
          <cell r="F635" t="str">
            <v/>
          </cell>
          <cell r="I635" t="str">
            <v/>
          </cell>
          <cell r="J635" t="str">
            <v/>
          </cell>
          <cell r="U635" t="str">
            <v/>
          </cell>
          <cell r="V635" t="str">
            <v/>
          </cell>
        </row>
        <row r="636">
          <cell r="C636" t="str">
            <v/>
          </cell>
          <cell r="D636" t="str">
            <v/>
          </cell>
          <cell r="E636">
            <v>926507</v>
          </cell>
          <cell r="F636" t="str">
            <v/>
          </cell>
          <cell r="I636" t="str">
            <v/>
          </cell>
          <cell r="J636" t="str">
            <v/>
          </cell>
          <cell r="U636" t="str">
            <v/>
          </cell>
          <cell r="V636" t="str">
            <v/>
          </cell>
        </row>
        <row r="637">
          <cell r="C637" t="str">
            <v/>
          </cell>
          <cell r="D637" t="str">
            <v/>
          </cell>
          <cell r="E637">
            <v>926507</v>
          </cell>
          <cell r="F637" t="str">
            <v/>
          </cell>
          <cell r="I637" t="str">
            <v/>
          </cell>
          <cell r="J637" t="str">
            <v/>
          </cell>
          <cell r="U637" t="str">
            <v/>
          </cell>
          <cell r="V637" t="str">
            <v/>
          </cell>
        </row>
        <row r="638">
          <cell r="C638" t="str">
            <v/>
          </cell>
          <cell r="D638" t="str">
            <v/>
          </cell>
          <cell r="E638">
            <v>926507</v>
          </cell>
          <cell r="F638" t="str">
            <v/>
          </cell>
          <cell r="I638" t="str">
            <v/>
          </cell>
          <cell r="J638" t="str">
            <v/>
          </cell>
          <cell r="U638" t="str">
            <v/>
          </cell>
          <cell r="V638" t="str">
            <v/>
          </cell>
        </row>
        <row r="639">
          <cell r="C639" t="str">
            <v/>
          </cell>
          <cell r="D639" t="str">
            <v/>
          </cell>
          <cell r="E639">
            <v>926507</v>
          </cell>
          <cell r="F639" t="str">
            <v/>
          </cell>
          <cell r="I639" t="str">
            <v/>
          </cell>
          <cell r="J639" t="str">
            <v/>
          </cell>
          <cell r="U639" t="str">
            <v/>
          </cell>
          <cell r="V639" t="str">
            <v/>
          </cell>
        </row>
        <row r="640">
          <cell r="C640" t="str">
            <v/>
          </cell>
          <cell r="D640" t="str">
            <v/>
          </cell>
          <cell r="E640">
            <v>926507</v>
          </cell>
          <cell r="F640" t="str">
            <v/>
          </cell>
          <cell r="I640" t="str">
            <v/>
          </cell>
          <cell r="J640" t="str">
            <v/>
          </cell>
          <cell r="U640" t="str">
            <v/>
          </cell>
          <cell r="V640" t="str">
            <v/>
          </cell>
        </row>
        <row r="641">
          <cell r="C641" t="str">
            <v/>
          </cell>
          <cell r="D641" t="str">
            <v/>
          </cell>
          <cell r="E641">
            <v>926507</v>
          </cell>
          <cell r="F641" t="str">
            <v/>
          </cell>
          <cell r="I641" t="str">
            <v/>
          </cell>
          <cell r="J641" t="str">
            <v/>
          </cell>
          <cell r="U641" t="str">
            <v/>
          </cell>
          <cell r="V641" t="str">
            <v/>
          </cell>
        </row>
        <row r="642">
          <cell r="C642" t="str">
            <v/>
          </cell>
          <cell r="D642" t="str">
            <v/>
          </cell>
          <cell r="E642">
            <v>926507</v>
          </cell>
          <cell r="F642" t="str">
            <v/>
          </cell>
          <cell r="I642" t="str">
            <v/>
          </cell>
          <cell r="J642" t="str">
            <v/>
          </cell>
          <cell r="U642" t="str">
            <v/>
          </cell>
          <cell r="V642" t="str">
            <v/>
          </cell>
        </row>
        <row r="643">
          <cell r="C643" t="str">
            <v/>
          </cell>
          <cell r="D643" t="str">
            <v/>
          </cell>
          <cell r="E643">
            <v>926507</v>
          </cell>
          <cell r="F643" t="str">
            <v/>
          </cell>
          <cell r="I643" t="str">
            <v/>
          </cell>
          <cell r="J643" t="str">
            <v/>
          </cell>
          <cell r="U643" t="str">
            <v/>
          </cell>
          <cell r="V643" t="str">
            <v/>
          </cell>
        </row>
        <row r="644">
          <cell r="C644" t="str">
            <v/>
          </cell>
          <cell r="D644" t="str">
            <v/>
          </cell>
          <cell r="E644">
            <v>926507</v>
          </cell>
          <cell r="F644" t="str">
            <v/>
          </cell>
          <cell r="I644" t="str">
            <v/>
          </cell>
          <cell r="J644" t="str">
            <v/>
          </cell>
          <cell r="U644" t="str">
            <v/>
          </cell>
          <cell r="V644" t="str">
            <v/>
          </cell>
        </row>
        <row r="645">
          <cell r="C645" t="str">
            <v/>
          </cell>
          <cell r="D645" t="str">
            <v/>
          </cell>
          <cell r="E645">
            <v>926507</v>
          </cell>
          <cell r="F645" t="str">
            <v/>
          </cell>
          <cell r="I645" t="str">
            <v/>
          </cell>
          <cell r="J645" t="str">
            <v/>
          </cell>
          <cell r="U645" t="str">
            <v/>
          </cell>
          <cell r="V645" t="str">
            <v/>
          </cell>
        </row>
        <row r="646">
          <cell r="C646" t="str">
            <v/>
          </cell>
          <cell r="D646" t="str">
            <v/>
          </cell>
          <cell r="E646">
            <v>926507</v>
          </cell>
          <cell r="F646" t="str">
            <v/>
          </cell>
          <cell r="I646" t="str">
            <v/>
          </cell>
          <cell r="J646" t="str">
            <v/>
          </cell>
          <cell r="U646" t="str">
            <v/>
          </cell>
          <cell r="V646" t="str">
            <v/>
          </cell>
        </row>
        <row r="647">
          <cell r="C647" t="str">
            <v/>
          </cell>
          <cell r="D647" t="str">
            <v/>
          </cell>
          <cell r="E647">
            <v>926507</v>
          </cell>
          <cell r="F647" t="str">
            <v/>
          </cell>
          <cell r="I647" t="str">
            <v/>
          </cell>
          <cell r="J647" t="str">
            <v/>
          </cell>
          <cell r="U647" t="str">
            <v/>
          </cell>
          <cell r="V647" t="str">
            <v/>
          </cell>
        </row>
        <row r="648">
          <cell r="C648" t="str">
            <v/>
          </cell>
          <cell r="D648" t="str">
            <v/>
          </cell>
          <cell r="E648">
            <v>926507</v>
          </cell>
          <cell r="F648" t="str">
            <v/>
          </cell>
          <cell r="I648" t="str">
            <v/>
          </cell>
          <cell r="J648" t="str">
            <v/>
          </cell>
          <cell r="U648" t="str">
            <v/>
          </cell>
          <cell r="V648" t="str">
            <v/>
          </cell>
        </row>
        <row r="649">
          <cell r="C649" t="str">
            <v/>
          </cell>
          <cell r="D649" t="str">
            <v/>
          </cell>
          <cell r="E649">
            <v>926507</v>
          </cell>
          <cell r="F649" t="str">
            <v/>
          </cell>
          <cell r="I649" t="str">
            <v/>
          </cell>
          <cell r="J649" t="str">
            <v/>
          </cell>
          <cell r="U649" t="str">
            <v/>
          </cell>
          <cell r="V649" t="str">
            <v/>
          </cell>
        </row>
        <row r="650">
          <cell r="C650" t="str">
            <v/>
          </cell>
          <cell r="D650" t="str">
            <v/>
          </cell>
          <cell r="E650">
            <v>926507</v>
          </cell>
          <cell r="F650" t="str">
            <v/>
          </cell>
          <cell r="I650" t="str">
            <v/>
          </cell>
          <cell r="J650" t="str">
            <v/>
          </cell>
          <cell r="U650" t="str">
            <v/>
          </cell>
          <cell r="V650" t="str">
            <v/>
          </cell>
        </row>
        <row r="651">
          <cell r="C651" t="str">
            <v/>
          </cell>
          <cell r="D651" t="str">
            <v/>
          </cell>
          <cell r="E651">
            <v>926507</v>
          </cell>
          <cell r="F651" t="str">
            <v/>
          </cell>
          <cell r="I651" t="str">
            <v/>
          </cell>
          <cell r="J651" t="str">
            <v/>
          </cell>
          <cell r="U651" t="str">
            <v/>
          </cell>
          <cell r="V651" t="str">
            <v/>
          </cell>
        </row>
        <row r="652">
          <cell r="C652" t="str">
            <v/>
          </cell>
          <cell r="D652" t="str">
            <v/>
          </cell>
          <cell r="E652">
            <v>926507</v>
          </cell>
          <cell r="F652" t="str">
            <v/>
          </cell>
          <cell r="I652" t="str">
            <v/>
          </cell>
          <cell r="J652" t="str">
            <v/>
          </cell>
          <cell r="U652" t="str">
            <v/>
          </cell>
          <cell r="V652" t="str">
            <v/>
          </cell>
        </row>
        <row r="653">
          <cell r="C653" t="str">
            <v/>
          </cell>
          <cell r="D653" t="str">
            <v/>
          </cell>
          <cell r="E653">
            <v>926507</v>
          </cell>
          <cell r="F653" t="str">
            <v/>
          </cell>
          <cell r="I653" t="str">
            <v/>
          </cell>
          <cell r="J653" t="str">
            <v/>
          </cell>
          <cell r="U653" t="str">
            <v/>
          </cell>
          <cell r="V653" t="str">
            <v/>
          </cell>
        </row>
        <row r="654">
          <cell r="C654" t="str">
            <v/>
          </cell>
          <cell r="D654" t="str">
            <v/>
          </cell>
          <cell r="E654">
            <v>926507</v>
          </cell>
          <cell r="F654" t="str">
            <v/>
          </cell>
          <cell r="I654" t="str">
            <v/>
          </cell>
          <cell r="J654" t="str">
            <v/>
          </cell>
          <cell r="U654" t="str">
            <v/>
          </cell>
          <cell r="V654" t="str">
            <v/>
          </cell>
        </row>
        <row r="655">
          <cell r="C655" t="str">
            <v/>
          </cell>
          <cell r="D655" t="str">
            <v/>
          </cell>
          <cell r="E655">
            <v>926507</v>
          </cell>
          <cell r="F655" t="str">
            <v/>
          </cell>
          <cell r="I655" t="str">
            <v/>
          </cell>
          <cell r="J655" t="str">
            <v/>
          </cell>
          <cell r="U655" t="str">
            <v/>
          </cell>
          <cell r="V655" t="str">
            <v/>
          </cell>
        </row>
        <row r="656">
          <cell r="C656" t="str">
            <v/>
          </cell>
          <cell r="D656" t="str">
            <v/>
          </cell>
          <cell r="E656">
            <v>926507</v>
          </cell>
          <cell r="F656" t="str">
            <v/>
          </cell>
          <cell r="I656" t="str">
            <v/>
          </cell>
          <cell r="J656" t="str">
            <v/>
          </cell>
          <cell r="U656" t="str">
            <v/>
          </cell>
          <cell r="V656" t="str">
            <v/>
          </cell>
        </row>
        <row r="657">
          <cell r="C657" t="str">
            <v/>
          </cell>
          <cell r="D657" t="str">
            <v/>
          </cell>
          <cell r="E657">
            <v>926507</v>
          </cell>
          <cell r="F657" t="str">
            <v/>
          </cell>
          <cell r="I657" t="str">
            <v/>
          </cell>
          <cell r="J657" t="str">
            <v/>
          </cell>
          <cell r="U657" t="str">
            <v/>
          </cell>
          <cell r="V657" t="str">
            <v/>
          </cell>
        </row>
        <row r="658">
          <cell r="C658" t="str">
            <v/>
          </cell>
          <cell r="D658" t="str">
            <v/>
          </cell>
          <cell r="E658">
            <v>926507</v>
          </cell>
          <cell r="F658" t="str">
            <v/>
          </cell>
          <cell r="I658" t="str">
            <v/>
          </cell>
          <cell r="J658" t="str">
            <v/>
          </cell>
          <cell r="U658" t="str">
            <v/>
          </cell>
          <cell r="V658" t="str">
            <v/>
          </cell>
        </row>
        <row r="659">
          <cell r="C659" t="str">
            <v/>
          </cell>
          <cell r="D659" t="str">
            <v/>
          </cell>
          <cell r="E659">
            <v>926507</v>
          </cell>
          <cell r="F659" t="str">
            <v/>
          </cell>
          <cell r="I659" t="str">
            <v/>
          </cell>
          <cell r="J659" t="str">
            <v/>
          </cell>
          <cell r="U659" t="str">
            <v/>
          </cell>
          <cell r="V659" t="str">
            <v/>
          </cell>
        </row>
        <row r="660">
          <cell r="C660" t="str">
            <v/>
          </cell>
          <cell r="D660" t="str">
            <v/>
          </cell>
          <cell r="E660">
            <v>926507</v>
          </cell>
          <cell r="F660" t="str">
            <v/>
          </cell>
          <cell r="I660" t="str">
            <v/>
          </cell>
          <cell r="J660" t="str">
            <v/>
          </cell>
          <cell r="U660" t="str">
            <v/>
          </cell>
          <cell r="V660" t="str">
            <v/>
          </cell>
        </row>
        <row r="661">
          <cell r="C661" t="str">
            <v/>
          </cell>
          <cell r="D661" t="str">
            <v/>
          </cell>
          <cell r="E661">
            <v>926507</v>
          </cell>
          <cell r="F661" t="str">
            <v/>
          </cell>
          <cell r="I661" t="str">
            <v/>
          </cell>
          <cell r="J661" t="str">
            <v/>
          </cell>
          <cell r="U661" t="str">
            <v/>
          </cell>
          <cell r="V661" t="str">
            <v/>
          </cell>
        </row>
        <row r="662">
          <cell r="C662" t="str">
            <v/>
          </cell>
          <cell r="D662" t="str">
            <v/>
          </cell>
          <cell r="E662">
            <v>926507</v>
          </cell>
          <cell r="F662" t="str">
            <v/>
          </cell>
          <cell r="I662" t="str">
            <v/>
          </cell>
          <cell r="J662" t="str">
            <v/>
          </cell>
          <cell r="U662" t="str">
            <v/>
          </cell>
          <cell r="V662" t="str">
            <v/>
          </cell>
        </row>
        <row r="663">
          <cell r="C663" t="str">
            <v/>
          </cell>
          <cell r="D663" t="str">
            <v/>
          </cell>
          <cell r="E663">
            <v>926507</v>
          </cell>
          <cell r="F663" t="str">
            <v/>
          </cell>
          <cell r="I663" t="str">
            <v/>
          </cell>
          <cell r="J663" t="str">
            <v/>
          </cell>
          <cell r="U663" t="str">
            <v/>
          </cell>
          <cell r="V663" t="str">
            <v/>
          </cell>
        </row>
        <row r="664">
          <cell r="C664" t="str">
            <v/>
          </cell>
          <cell r="D664" t="str">
            <v/>
          </cell>
          <cell r="E664">
            <v>926507</v>
          </cell>
          <cell r="F664" t="str">
            <v/>
          </cell>
          <cell r="I664" t="str">
            <v/>
          </cell>
          <cell r="J664" t="str">
            <v/>
          </cell>
          <cell r="U664" t="str">
            <v/>
          </cell>
          <cell r="V664" t="str">
            <v/>
          </cell>
        </row>
        <row r="665">
          <cell r="C665" t="str">
            <v/>
          </cell>
          <cell r="D665" t="str">
            <v/>
          </cell>
          <cell r="E665">
            <v>926507</v>
          </cell>
          <cell r="F665" t="str">
            <v/>
          </cell>
          <cell r="I665" t="str">
            <v/>
          </cell>
          <cell r="J665" t="str">
            <v/>
          </cell>
          <cell r="U665" t="str">
            <v/>
          </cell>
          <cell r="V665" t="str">
            <v/>
          </cell>
        </row>
        <row r="666">
          <cell r="C666" t="str">
            <v/>
          </cell>
          <cell r="D666" t="str">
            <v/>
          </cell>
          <cell r="E666">
            <v>926507</v>
          </cell>
          <cell r="F666" t="str">
            <v/>
          </cell>
          <cell r="I666" t="str">
            <v/>
          </cell>
          <cell r="J666" t="str">
            <v/>
          </cell>
          <cell r="U666" t="str">
            <v/>
          </cell>
          <cell r="V666" t="str">
            <v/>
          </cell>
        </row>
        <row r="667">
          <cell r="C667" t="str">
            <v/>
          </cell>
          <cell r="D667" t="str">
            <v/>
          </cell>
          <cell r="E667">
            <v>926507</v>
          </cell>
          <cell r="F667" t="str">
            <v/>
          </cell>
          <cell r="I667" t="str">
            <v/>
          </cell>
          <cell r="J667" t="str">
            <v/>
          </cell>
          <cell r="U667" t="str">
            <v/>
          </cell>
          <cell r="V667" t="str">
            <v/>
          </cell>
        </row>
        <row r="668">
          <cell r="C668" t="str">
            <v/>
          </cell>
          <cell r="D668" t="str">
            <v/>
          </cell>
          <cell r="E668">
            <v>926507</v>
          </cell>
          <cell r="F668" t="str">
            <v/>
          </cell>
          <cell r="I668" t="str">
            <v/>
          </cell>
          <cell r="J668" t="str">
            <v/>
          </cell>
          <cell r="U668" t="str">
            <v/>
          </cell>
          <cell r="V668" t="str">
            <v/>
          </cell>
        </row>
        <row r="669">
          <cell r="C669" t="str">
            <v/>
          </cell>
          <cell r="D669" t="str">
            <v/>
          </cell>
          <cell r="E669">
            <v>926507</v>
          </cell>
          <cell r="F669" t="str">
            <v/>
          </cell>
          <cell r="I669" t="str">
            <v/>
          </cell>
          <cell r="J669" t="str">
            <v/>
          </cell>
          <cell r="U669" t="str">
            <v/>
          </cell>
          <cell r="V669" t="str">
            <v/>
          </cell>
        </row>
        <row r="670">
          <cell r="C670" t="str">
            <v/>
          </cell>
          <cell r="D670" t="str">
            <v/>
          </cell>
          <cell r="E670">
            <v>926507</v>
          </cell>
          <cell r="F670" t="str">
            <v/>
          </cell>
          <cell r="I670" t="str">
            <v/>
          </cell>
          <cell r="J670" t="str">
            <v/>
          </cell>
          <cell r="U670" t="str">
            <v/>
          </cell>
          <cell r="V670" t="str">
            <v/>
          </cell>
        </row>
        <row r="671">
          <cell r="C671" t="str">
            <v/>
          </cell>
          <cell r="D671" t="str">
            <v/>
          </cell>
          <cell r="E671">
            <v>926507</v>
          </cell>
          <cell r="F671" t="str">
            <v/>
          </cell>
          <cell r="I671" t="str">
            <v/>
          </cell>
          <cell r="J671" t="str">
            <v/>
          </cell>
          <cell r="U671" t="str">
            <v/>
          </cell>
          <cell r="V671" t="str">
            <v/>
          </cell>
        </row>
        <row r="672">
          <cell r="C672" t="str">
            <v/>
          </cell>
          <cell r="D672" t="str">
            <v/>
          </cell>
          <cell r="E672">
            <v>926507</v>
          </cell>
          <cell r="F672" t="str">
            <v/>
          </cell>
          <cell r="I672" t="str">
            <v/>
          </cell>
          <cell r="J672" t="str">
            <v/>
          </cell>
          <cell r="U672" t="str">
            <v/>
          </cell>
          <cell r="V672" t="str">
            <v/>
          </cell>
        </row>
        <row r="673">
          <cell r="C673" t="str">
            <v/>
          </cell>
          <cell r="D673" t="str">
            <v/>
          </cell>
          <cell r="E673">
            <v>926507</v>
          </cell>
          <cell r="F673" t="str">
            <v/>
          </cell>
          <cell r="I673" t="str">
            <v/>
          </cell>
          <cell r="J673" t="str">
            <v/>
          </cell>
          <cell r="U673" t="str">
            <v/>
          </cell>
          <cell r="V673" t="str">
            <v/>
          </cell>
        </row>
        <row r="674">
          <cell r="C674" t="str">
            <v/>
          </cell>
          <cell r="D674" t="str">
            <v/>
          </cell>
          <cell r="E674">
            <v>926507</v>
          </cell>
          <cell r="F674" t="str">
            <v/>
          </cell>
          <cell r="I674" t="str">
            <v/>
          </cell>
          <cell r="J674" t="str">
            <v/>
          </cell>
          <cell r="U674" t="str">
            <v/>
          </cell>
          <cell r="V674" t="str">
            <v/>
          </cell>
        </row>
        <row r="675">
          <cell r="C675" t="str">
            <v/>
          </cell>
          <cell r="D675" t="str">
            <v/>
          </cell>
          <cell r="E675">
            <v>926507</v>
          </cell>
          <cell r="F675" t="str">
            <v/>
          </cell>
          <cell r="I675" t="str">
            <v/>
          </cell>
          <cell r="J675" t="str">
            <v/>
          </cell>
          <cell r="U675" t="str">
            <v/>
          </cell>
          <cell r="V675" t="str">
            <v/>
          </cell>
        </row>
        <row r="676">
          <cell r="C676" t="str">
            <v/>
          </cell>
          <cell r="D676" t="str">
            <v/>
          </cell>
          <cell r="E676">
            <v>926507</v>
          </cell>
          <cell r="F676" t="str">
            <v/>
          </cell>
          <cell r="I676" t="str">
            <v/>
          </cell>
          <cell r="J676" t="str">
            <v/>
          </cell>
          <cell r="U676" t="str">
            <v/>
          </cell>
          <cell r="V676" t="str">
            <v/>
          </cell>
        </row>
        <row r="677">
          <cell r="C677" t="str">
            <v/>
          </cell>
          <cell r="D677" t="str">
            <v/>
          </cell>
          <cell r="E677">
            <v>926507</v>
          </cell>
          <cell r="F677" t="str">
            <v/>
          </cell>
          <cell r="I677" t="str">
            <v/>
          </cell>
          <cell r="J677" t="str">
            <v/>
          </cell>
          <cell r="U677" t="str">
            <v/>
          </cell>
          <cell r="V677" t="str">
            <v/>
          </cell>
        </row>
        <row r="678">
          <cell r="C678" t="str">
            <v/>
          </cell>
          <cell r="D678" t="str">
            <v/>
          </cell>
          <cell r="E678">
            <v>926507</v>
          </cell>
          <cell r="F678" t="str">
            <v/>
          </cell>
          <cell r="I678" t="str">
            <v/>
          </cell>
          <cell r="J678" t="str">
            <v/>
          </cell>
          <cell r="U678" t="str">
            <v/>
          </cell>
          <cell r="V678" t="str">
            <v/>
          </cell>
        </row>
        <row r="679">
          <cell r="C679" t="str">
            <v/>
          </cell>
          <cell r="D679" t="str">
            <v/>
          </cell>
          <cell r="E679">
            <v>926507</v>
          </cell>
          <cell r="F679" t="str">
            <v/>
          </cell>
          <cell r="I679" t="str">
            <v/>
          </cell>
          <cell r="J679" t="str">
            <v/>
          </cell>
          <cell r="U679" t="str">
            <v/>
          </cell>
          <cell r="V679" t="str">
            <v/>
          </cell>
        </row>
        <row r="680">
          <cell r="C680" t="str">
            <v/>
          </cell>
          <cell r="D680" t="str">
            <v/>
          </cell>
          <cell r="E680">
            <v>926507</v>
          </cell>
          <cell r="F680" t="str">
            <v/>
          </cell>
          <cell r="I680" t="str">
            <v/>
          </cell>
          <cell r="J680" t="str">
            <v/>
          </cell>
          <cell r="U680" t="str">
            <v/>
          </cell>
          <cell r="V680" t="str">
            <v/>
          </cell>
        </row>
        <row r="681">
          <cell r="C681" t="str">
            <v/>
          </cell>
          <cell r="D681" t="str">
            <v/>
          </cell>
          <cell r="E681">
            <v>926507</v>
          </cell>
          <cell r="F681" t="str">
            <v/>
          </cell>
          <cell r="I681" t="str">
            <v/>
          </cell>
          <cell r="J681" t="str">
            <v/>
          </cell>
          <cell r="U681" t="str">
            <v/>
          </cell>
          <cell r="V681" t="str">
            <v/>
          </cell>
        </row>
        <row r="682">
          <cell r="C682" t="str">
            <v/>
          </cell>
          <cell r="D682" t="str">
            <v/>
          </cell>
          <cell r="E682">
            <v>926507</v>
          </cell>
          <cell r="F682" t="str">
            <v/>
          </cell>
          <cell r="I682" t="str">
            <v/>
          </cell>
          <cell r="J682" t="str">
            <v/>
          </cell>
          <cell r="U682" t="str">
            <v/>
          </cell>
          <cell r="V682" t="str">
            <v/>
          </cell>
        </row>
        <row r="683">
          <cell r="C683" t="str">
            <v/>
          </cell>
          <cell r="D683" t="str">
            <v/>
          </cell>
          <cell r="E683">
            <v>926507</v>
          </cell>
          <cell r="F683" t="str">
            <v/>
          </cell>
          <cell r="I683" t="str">
            <v/>
          </cell>
          <cell r="J683" t="str">
            <v/>
          </cell>
          <cell r="U683" t="str">
            <v/>
          </cell>
          <cell r="V683" t="str">
            <v/>
          </cell>
        </row>
        <row r="684">
          <cell r="C684" t="str">
            <v/>
          </cell>
          <cell r="D684" t="str">
            <v/>
          </cell>
          <cell r="E684">
            <v>926507</v>
          </cell>
          <cell r="F684" t="str">
            <v/>
          </cell>
          <cell r="I684" t="str">
            <v/>
          </cell>
          <cell r="J684" t="str">
            <v/>
          </cell>
          <cell r="U684" t="str">
            <v/>
          </cell>
          <cell r="V684" t="str">
            <v/>
          </cell>
        </row>
        <row r="685">
          <cell r="C685" t="str">
            <v/>
          </cell>
          <cell r="D685" t="str">
            <v/>
          </cell>
          <cell r="E685">
            <v>926507</v>
          </cell>
          <cell r="F685" t="str">
            <v/>
          </cell>
          <cell r="I685" t="str">
            <v/>
          </cell>
          <cell r="J685" t="str">
            <v/>
          </cell>
          <cell r="U685" t="str">
            <v/>
          </cell>
          <cell r="V685" t="str">
            <v/>
          </cell>
        </row>
        <row r="686">
          <cell r="C686" t="str">
            <v/>
          </cell>
          <cell r="D686" t="str">
            <v/>
          </cell>
          <cell r="E686">
            <v>926507</v>
          </cell>
          <cell r="F686" t="str">
            <v/>
          </cell>
          <cell r="I686" t="str">
            <v/>
          </cell>
          <cell r="J686" t="str">
            <v/>
          </cell>
          <cell r="U686" t="str">
            <v/>
          </cell>
          <cell r="V686" t="str">
            <v/>
          </cell>
        </row>
        <row r="687">
          <cell r="C687" t="str">
            <v/>
          </cell>
          <cell r="D687" t="str">
            <v/>
          </cell>
          <cell r="E687">
            <v>926507</v>
          </cell>
          <cell r="F687" t="str">
            <v/>
          </cell>
          <cell r="I687" t="str">
            <v/>
          </cell>
          <cell r="J687" t="str">
            <v/>
          </cell>
          <cell r="U687" t="str">
            <v/>
          </cell>
          <cell r="V687" t="str">
            <v/>
          </cell>
        </row>
        <row r="688">
          <cell r="C688" t="str">
            <v/>
          </cell>
          <cell r="D688" t="str">
            <v/>
          </cell>
          <cell r="E688">
            <v>926507</v>
          </cell>
          <cell r="F688" t="str">
            <v/>
          </cell>
          <cell r="I688" t="str">
            <v/>
          </cell>
          <cell r="J688" t="str">
            <v/>
          </cell>
          <cell r="U688" t="str">
            <v/>
          </cell>
          <cell r="V688" t="str">
            <v/>
          </cell>
        </row>
        <row r="689">
          <cell r="C689" t="str">
            <v/>
          </cell>
          <cell r="D689" t="str">
            <v/>
          </cell>
          <cell r="E689">
            <v>926507</v>
          </cell>
          <cell r="F689" t="str">
            <v/>
          </cell>
          <cell r="I689" t="str">
            <v/>
          </cell>
          <cell r="J689" t="str">
            <v/>
          </cell>
          <cell r="U689" t="str">
            <v/>
          </cell>
          <cell r="V689" t="str">
            <v/>
          </cell>
        </row>
        <row r="690">
          <cell r="C690" t="str">
            <v/>
          </cell>
          <cell r="D690" t="str">
            <v/>
          </cell>
          <cell r="E690">
            <v>926507</v>
          </cell>
          <cell r="F690" t="str">
            <v/>
          </cell>
          <cell r="I690" t="str">
            <v/>
          </cell>
          <cell r="J690" t="str">
            <v/>
          </cell>
          <cell r="U690" t="str">
            <v/>
          </cell>
          <cell r="V690" t="str">
            <v/>
          </cell>
        </row>
        <row r="691">
          <cell r="C691" t="str">
            <v/>
          </cell>
          <cell r="D691" t="str">
            <v/>
          </cell>
          <cell r="E691">
            <v>926507</v>
          </cell>
          <cell r="F691" t="str">
            <v/>
          </cell>
          <cell r="I691" t="str">
            <v/>
          </cell>
          <cell r="J691" t="str">
            <v/>
          </cell>
          <cell r="U691" t="str">
            <v/>
          </cell>
          <cell r="V691" t="str">
            <v/>
          </cell>
        </row>
        <row r="692">
          <cell r="C692" t="str">
            <v/>
          </cell>
          <cell r="D692" t="str">
            <v/>
          </cell>
          <cell r="E692">
            <v>926507</v>
          </cell>
          <cell r="F692" t="str">
            <v/>
          </cell>
          <cell r="I692" t="str">
            <v/>
          </cell>
          <cell r="J692" t="str">
            <v/>
          </cell>
          <cell r="U692" t="str">
            <v/>
          </cell>
          <cell r="V692" t="str">
            <v/>
          </cell>
        </row>
        <row r="693">
          <cell r="C693" t="str">
            <v/>
          </cell>
          <cell r="D693" t="str">
            <v/>
          </cell>
          <cell r="E693">
            <v>926507</v>
          </cell>
          <cell r="F693" t="str">
            <v/>
          </cell>
          <cell r="I693" t="str">
            <v/>
          </cell>
          <cell r="J693" t="str">
            <v/>
          </cell>
          <cell r="U693" t="str">
            <v/>
          </cell>
          <cell r="V693" t="str">
            <v/>
          </cell>
        </row>
        <row r="694">
          <cell r="C694" t="str">
            <v/>
          </cell>
          <cell r="D694" t="str">
            <v/>
          </cell>
          <cell r="E694">
            <v>926507</v>
          </cell>
          <cell r="F694" t="str">
            <v/>
          </cell>
          <cell r="I694" t="str">
            <v/>
          </cell>
          <cell r="J694" t="str">
            <v/>
          </cell>
          <cell r="U694" t="str">
            <v/>
          </cell>
          <cell r="V694" t="str">
            <v/>
          </cell>
        </row>
        <row r="695">
          <cell r="C695" t="str">
            <v/>
          </cell>
          <cell r="D695" t="str">
            <v/>
          </cell>
          <cell r="E695">
            <v>926507</v>
          </cell>
          <cell r="F695" t="str">
            <v/>
          </cell>
          <cell r="I695" t="str">
            <v/>
          </cell>
          <cell r="J695" t="str">
            <v/>
          </cell>
          <cell r="U695" t="str">
            <v/>
          </cell>
          <cell r="V695" t="str">
            <v/>
          </cell>
        </row>
        <row r="696">
          <cell r="C696" t="str">
            <v/>
          </cell>
          <cell r="D696" t="str">
            <v/>
          </cell>
          <cell r="E696">
            <v>926507</v>
          </cell>
          <cell r="F696" t="str">
            <v/>
          </cell>
          <cell r="I696" t="str">
            <v/>
          </cell>
          <cell r="J696" t="str">
            <v/>
          </cell>
          <cell r="U696" t="str">
            <v/>
          </cell>
          <cell r="V696" t="str">
            <v/>
          </cell>
        </row>
        <row r="697">
          <cell r="C697" t="str">
            <v/>
          </cell>
          <cell r="D697" t="str">
            <v/>
          </cell>
          <cell r="E697">
            <v>926507</v>
          </cell>
          <cell r="F697" t="str">
            <v/>
          </cell>
          <cell r="I697" t="str">
            <v/>
          </cell>
          <cell r="J697" t="str">
            <v/>
          </cell>
          <cell r="U697" t="str">
            <v/>
          </cell>
          <cell r="V697" t="str">
            <v/>
          </cell>
        </row>
        <row r="698">
          <cell r="C698" t="str">
            <v/>
          </cell>
          <cell r="D698" t="str">
            <v/>
          </cell>
          <cell r="E698">
            <v>926507</v>
          </cell>
          <cell r="F698" t="str">
            <v/>
          </cell>
          <cell r="I698" t="str">
            <v/>
          </cell>
          <cell r="J698" t="str">
            <v/>
          </cell>
          <cell r="U698" t="str">
            <v/>
          </cell>
          <cell r="V698" t="str">
            <v/>
          </cell>
        </row>
        <row r="699">
          <cell r="C699" t="str">
            <v/>
          </cell>
          <cell r="D699" t="str">
            <v/>
          </cell>
          <cell r="E699">
            <v>926507</v>
          </cell>
          <cell r="F699" t="str">
            <v/>
          </cell>
          <cell r="I699" t="str">
            <v/>
          </cell>
          <cell r="J699" t="str">
            <v/>
          </cell>
          <cell r="U699" t="str">
            <v/>
          </cell>
          <cell r="V699" t="str">
            <v/>
          </cell>
        </row>
        <row r="700">
          <cell r="C700" t="str">
            <v/>
          </cell>
          <cell r="D700" t="str">
            <v/>
          </cell>
          <cell r="E700">
            <v>926507</v>
          </cell>
          <cell r="F700" t="str">
            <v/>
          </cell>
          <cell r="I700" t="str">
            <v/>
          </cell>
          <cell r="J700" t="str">
            <v/>
          </cell>
          <cell r="U700" t="str">
            <v/>
          </cell>
          <cell r="V700" t="str">
            <v/>
          </cell>
        </row>
        <row r="701">
          <cell r="C701" t="str">
            <v/>
          </cell>
          <cell r="D701" t="str">
            <v/>
          </cell>
          <cell r="E701">
            <v>926507</v>
          </cell>
          <cell r="F701" t="str">
            <v/>
          </cell>
          <cell r="I701" t="str">
            <v/>
          </cell>
          <cell r="J701" t="str">
            <v/>
          </cell>
          <cell r="U701" t="str">
            <v/>
          </cell>
          <cell r="V701" t="str">
            <v/>
          </cell>
        </row>
        <row r="702">
          <cell r="C702" t="str">
            <v/>
          </cell>
          <cell r="D702" t="str">
            <v/>
          </cell>
          <cell r="E702">
            <v>926507</v>
          </cell>
          <cell r="F702" t="str">
            <v/>
          </cell>
          <cell r="I702" t="str">
            <v/>
          </cell>
          <cell r="J702" t="str">
            <v/>
          </cell>
          <cell r="U702" t="str">
            <v/>
          </cell>
          <cell r="V702" t="str">
            <v/>
          </cell>
        </row>
        <row r="703">
          <cell r="C703" t="str">
            <v/>
          </cell>
          <cell r="D703" t="str">
            <v/>
          </cell>
          <cell r="E703">
            <v>926507</v>
          </cell>
          <cell r="F703" t="str">
            <v/>
          </cell>
          <cell r="I703" t="str">
            <v/>
          </cell>
          <cell r="J703" t="str">
            <v/>
          </cell>
          <cell r="U703" t="str">
            <v/>
          </cell>
          <cell r="V703" t="str">
            <v/>
          </cell>
        </row>
        <row r="704">
          <cell r="C704" t="str">
            <v/>
          </cell>
          <cell r="D704" t="str">
            <v/>
          </cell>
          <cell r="E704">
            <v>926507</v>
          </cell>
          <cell r="F704" t="str">
            <v/>
          </cell>
          <cell r="I704" t="str">
            <v/>
          </cell>
          <cell r="J704" t="str">
            <v/>
          </cell>
          <cell r="U704" t="str">
            <v/>
          </cell>
          <cell r="V704" t="str">
            <v/>
          </cell>
        </row>
        <row r="705">
          <cell r="C705" t="str">
            <v/>
          </cell>
          <cell r="D705" t="str">
            <v/>
          </cell>
          <cell r="E705">
            <v>926507</v>
          </cell>
          <cell r="F705" t="str">
            <v/>
          </cell>
          <cell r="I705" t="str">
            <v/>
          </cell>
          <cell r="J705" t="str">
            <v/>
          </cell>
          <cell r="U705" t="str">
            <v/>
          </cell>
          <cell r="V705" t="str">
            <v/>
          </cell>
        </row>
        <row r="706">
          <cell r="C706" t="str">
            <v/>
          </cell>
          <cell r="D706" t="str">
            <v/>
          </cell>
          <cell r="E706">
            <v>926507</v>
          </cell>
          <cell r="F706" t="str">
            <v/>
          </cell>
          <cell r="I706" t="str">
            <v/>
          </cell>
          <cell r="J706" t="str">
            <v/>
          </cell>
          <cell r="U706" t="str">
            <v/>
          </cell>
          <cell r="V706" t="str">
            <v/>
          </cell>
        </row>
        <row r="707">
          <cell r="C707" t="str">
            <v/>
          </cell>
          <cell r="D707" t="str">
            <v/>
          </cell>
          <cell r="E707">
            <v>926507</v>
          </cell>
          <cell r="F707" t="str">
            <v/>
          </cell>
          <cell r="I707" t="str">
            <v/>
          </cell>
          <cell r="J707" t="str">
            <v/>
          </cell>
          <cell r="U707" t="str">
            <v/>
          </cell>
          <cell r="V707" t="str">
            <v/>
          </cell>
        </row>
        <row r="708">
          <cell r="C708" t="str">
            <v/>
          </cell>
          <cell r="D708" t="str">
            <v/>
          </cell>
          <cell r="E708">
            <v>926507</v>
          </cell>
          <cell r="F708" t="str">
            <v/>
          </cell>
          <cell r="I708" t="str">
            <v/>
          </cell>
          <cell r="J708" t="str">
            <v/>
          </cell>
          <cell r="U708" t="str">
            <v/>
          </cell>
          <cell r="V708" t="str">
            <v/>
          </cell>
        </row>
        <row r="709">
          <cell r="C709" t="str">
            <v/>
          </cell>
          <cell r="D709" t="str">
            <v/>
          </cell>
          <cell r="E709">
            <v>926507</v>
          </cell>
          <cell r="F709" t="str">
            <v/>
          </cell>
          <cell r="I709" t="str">
            <v/>
          </cell>
          <cell r="J709" t="str">
            <v/>
          </cell>
          <cell r="U709" t="str">
            <v/>
          </cell>
          <cell r="V709" t="str">
            <v/>
          </cell>
        </row>
        <row r="710">
          <cell r="C710" t="str">
            <v/>
          </cell>
          <cell r="D710" t="str">
            <v/>
          </cell>
          <cell r="E710">
            <v>926507</v>
          </cell>
          <cell r="F710" t="str">
            <v/>
          </cell>
          <cell r="I710" t="str">
            <v/>
          </cell>
          <cell r="J710" t="str">
            <v/>
          </cell>
          <cell r="U710" t="str">
            <v/>
          </cell>
          <cell r="V710" t="str">
            <v/>
          </cell>
        </row>
        <row r="711">
          <cell r="C711" t="str">
            <v/>
          </cell>
          <cell r="D711" t="str">
            <v/>
          </cell>
          <cell r="E711">
            <v>926507</v>
          </cell>
          <cell r="F711" t="str">
            <v/>
          </cell>
          <cell r="I711" t="str">
            <v/>
          </cell>
          <cell r="J711" t="str">
            <v/>
          </cell>
          <cell r="U711" t="str">
            <v/>
          </cell>
          <cell r="V711" t="str">
            <v/>
          </cell>
        </row>
        <row r="712">
          <cell r="C712" t="str">
            <v/>
          </cell>
          <cell r="D712" t="str">
            <v/>
          </cell>
          <cell r="E712">
            <v>926507</v>
          </cell>
          <cell r="F712" t="str">
            <v/>
          </cell>
          <cell r="I712" t="str">
            <v/>
          </cell>
          <cell r="J712" t="str">
            <v/>
          </cell>
          <cell r="U712" t="str">
            <v/>
          </cell>
          <cell r="V712" t="str">
            <v/>
          </cell>
        </row>
        <row r="713">
          <cell r="C713" t="str">
            <v/>
          </cell>
          <cell r="D713" t="str">
            <v/>
          </cell>
          <cell r="E713">
            <v>926507</v>
          </cell>
          <cell r="F713" t="str">
            <v/>
          </cell>
          <cell r="I713" t="str">
            <v/>
          </cell>
          <cell r="J713" t="str">
            <v/>
          </cell>
          <cell r="U713" t="str">
            <v/>
          </cell>
          <cell r="V713" t="str">
            <v/>
          </cell>
        </row>
        <row r="714">
          <cell r="C714" t="str">
            <v/>
          </cell>
          <cell r="D714" t="str">
            <v/>
          </cell>
          <cell r="E714">
            <v>926507</v>
          </cell>
          <cell r="F714" t="str">
            <v/>
          </cell>
          <cell r="I714" t="str">
            <v/>
          </cell>
          <cell r="J714" t="str">
            <v/>
          </cell>
          <cell r="U714" t="str">
            <v/>
          </cell>
          <cell r="V714" t="str">
            <v/>
          </cell>
        </row>
        <row r="715">
          <cell r="C715" t="str">
            <v/>
          </cell>
          <cell r="D715" t="str">
            <v/>
          </cell>
          <cell r="E715">
            <v>926507</v>
          </cell>
          <cell r="F715" t="str">
            <v/>
          </cell>
          <cell r="I715" t="str">
            <v/>
          </cell>
          <cell r="J715" t="str">
            <v/>
          </cell>
          <cell r="U715" t="str">
            <v/>
          </cell>
          <cell r="V715" t="str">
            <v/>
          </cell>
        </row>
        <row r="716">
          <cell r="C716" t="str">
            <v/>
          </cell>
          <cell r="D716" t="str">
            <v/>
          </cell>
          <cell r="E716">
            <v>926507</v>
          </cell>
          <cell r="F716" t="str">
            <v/>
          </cell>
          <cell r="I716" t="str">
            <v/>
          </cell>
          <cell r="J716" t="str">
            <v/>
          </cell>
          <cell r="U716" t="str">
            <v/>
          </cell>
          <cell r="V716" t="str">
            <v/>
          </cell>
        </row>
        <row r="717">
          <cell r="C717" t="str">
            <v/>
          </cell>
          <cell r="D717" t="str">
            <v/>
          </cell>
          <cell r="E717">
            <v>926507</v>
          </cell>
          <cell r="F717" t="str">
            <v/>
          </cell>
          <cell r="I717" t="str">
            <v/>
          </cell>
          <cell r="J717" t="str">
            <v/>
          </cell>
          <cell r="U717" t="str">
            <v/>
          </cell>
          <cell r="V717" t="str">
            <v/>
          </cell>
        </row>
        <row r="718">
          <cell r="C718" t="str">
            <v/>
          </cell>
          <cell r="D718" t="str">
            <v/>
          </cell>
          <cell r="E718">
            <v>926507</v>
          </cell>
          <cell r="F718" t="str">
            <v/>
          </cell>
          <cell r="I718" t="str">
            <v/>
          </cell>
          <cell r="J718" t="str">
            <v/>
          </cell>
          <cell r="U718" t="str">
            <v/>
          </cell>
          <cell r="V718" t="str">
            <v/>
          </cell>
        </row>
        <row r="719">
          <cell r="C719" t="str">
            <v/>
          </cell>
          <cell r="D719" t="str">
            <v/>
          </cell>
          <cell r="E719">
            <v>926507</v>
          </cell>
          <cell r="F719" t="str">
            <v/>
          </cell>
          <cell r="I719" t="str">
            <v/>
          </cell>
          <cell r="J719" t="str">
            <v/>
          </cell>
          <cell r="U719" t="str">
            <v/>
          </cell>
          <cell r="V719" t="str">
            <v/>
          </cell>
        </row>
        <row r="720">
          <cell r="C720" t="str">
            <v/>
          </cell>
          <cell r="D720" t="str">
            <v/>
          </cell>
          <cell r="E720">
            <v>926507</v>
          </cell>
          <cell r="F720" t="str">
            <v/>
          </cell>
          <cell r="I720" t="str">
            <v/>
          </cell>
          <cell r="J720" t="str">
            <v/>
          </cell>
          <cell r="U720" t="str">
            <v/>
          </cell>
          <cell r="V720" t="str">
            <v/>
          </cell>
        </row>
        <row r="721">
          <cell r="C721" t="str">
            <v/>
          </cell>
          <cell r="D721" t="str">
            <v/>
          </cell>
          <cell r="E721">
            <v>926507</v>
          </cell>
          <cell r="F721" t="str">
            <v/>
          </cell>
          <cell r="I721" t="str">
            <v/>
          </cell>
          <cell r="J721" t="str">
            <v/>
          </cell>
          <cell r="U721" t="str">
            <v/>
          </cell>
          <cell r="V721" t="str">
            <v/>
          </cell>
        </row>
        <row r="722">
          <cell r="C722" t="str">
            <v/>
          </cell>
          <cell r="D722" t="str">
            <v/>
          </cell>
          <cell r="E722">
            <v>926507</v>
          </cell>
          <cell r="F722" t="str">
            <v/>
          </cell>
          <cell r="I722" t="str">
            <v/>
          </cell>
          <cell r="J722" t="str">
            <v/>
          </cell>
          <cell r="U722" t="str">
            <v/>
          </cell>
          <cell r="V722" t="str">
            <v/>
          </cell>
        </row>
        <row r="723">
          <cell r="C723" t="str">
            <v/>
          </cell>
          <cell r="D723" t="str">
            <v/>
          </cell>
          <cell r="E723">
            <v>926507</v>
          </cell>
          <cell r="F723" t="str">
            <v/>
          </cell>
          <cell r="I723" t="str">
            <v/>
          </cell>
          <cell r="J723" t="str">
            <v/>
          </cell>
          <cell r="U723" t="str">
            <v/>
          </cell>
          <cell r="V723" t="str">
            <v/>
          </cell>
        </row>
        <row r="724">
          <cell r="C724" t="str">
            <v/>
          </cell>
          <cell r="D724" t="str">
            <v/>
          </cell>
          <cell r="E724">
            <v>926507</v>
          </cell>
          <cell r="F724" t="str">
            <v/>
          </cell>
          <cell r="I724" t="str">
            <v/>
          </cell>
          <cell r="J724" t="str">
            <v/>
          </cell>
          <cell r="U724" t="str">
            <v/>
          </cell>
          <cell r="V724" t="str">
            <v/>
          </cell>
        </row>
        <row r="725">
          <cell r="C725" t="str">
            <v/>
          </cell>
          <cell r="D725" t="str">
            <v/>
          </cell>
          <cell r="E725">
            <v>926507</v>
          </cell>
          <cell r="F725" t="str">
            <v/>
          </cell>
          <cell r="I725" t="str">
            <v/>
          </cell>
          <cell r="J725" t="str">
            <v/>
          </cell>
          <cell r="U725" t="str">
            <v/>
          </cell>
          <cell r="V725" t="str">
            <v/>
          </cell>
        </row>
        <row r="726">
          <cell r="C726" t="str">
            <v/>
          </cell>
          <cell r="D726" t="str">
            <v/>
          </cell>
          <cell r="E726">
            <v>926507</v>
          </cell>
          <cell r="F726" t="str">
            <v/>
          </cell>
          <cell r="I726" t="str">
            <v/>
          </cell>
          <cell r="J726" t="str">
            <v/>
          </cell>
          <cell r="U726" t="str">
            <v/>
          </cell>
          <cell r="V726" t="str">
            <v/>
          </cell>
        </row>
        <row r="727">
          <cell r="C727" t="str">
            <v/>
          </cell>
          <cell r="D727" t="str">
            <v/>
          </cell>
          <cell r="E727">
            <v>926507</v>
          </cell>
          <cell r="F727" t="str">
            <v/>
          </cell>
          <cell r="I727" t="str">
            <v/>
          </cell>
          <cell r="J727" t="str">
            <v/>
          </cell>
          <cell r="U727" t="str">
            <v/>
          </cell>
          <cell r="V727" t="str">
            <v/>
          </cell>
        </row>
        <row r="728">
          <cell r="C728" t="str">
            <v/>
          </cell>
          <cell r="D728" t="str">
            <v/>
          </cell>
          <cell r="E728">
            <v>926507</v>
          </cell>
          <cell r="F728" t="str">
            <v/>
          </cell>
          <cell r="I728" t="str">
            <v/>
          </cell>
          <cell r="J728" t="str">
            <v/>
          </cell>
          <cell r="U728" t="str">
            <v/>
          </cell>
          <cell r="V728" t="str">
            <v/>
          </cell>
        </row>
        <row r="729">
          <cell r="C729" t="str">
            <v/>
          </cell>
          <cell r="D729" t="str">
            <v/>
          </cell>
          <cell r="E729">
            <v>926507</v>
          </cell>
          <cell r="F729" t="str">
            <v/>
          </cell>
          <cell r="I729" t="str">
            <v/>
          </cell>
          <cell r="J729" t="str">
            <v/>
          </cell>
          <cell r="U729" t="str">
            <v/>
          </cell>
          <cell r="V729" t="str">
            <v/>
          </cell>
        </row>
        <row r="730">
          <cell r="C730" t="str">
            <v/>
          </cell>
          <cell r="D730" t="str">
            <v/>
          </cell>
          <cell r="E730">
            <v>926507</v>
          </cell>
          <cell r="F730" t="str">
            <v/>
          </cell>
          <cell r="I730" t="str">
            <v/>
          </cell>
          <cell r="J730" t="str">
            <v/>
          </cell>
          <cell r="U730" t="str">
            <v/>
          </cell>
          <cell r="V730" t="str">
            <v/>
          </cell>
        </row>
        <row r="731">
          <cell r="C731" t="str">
            <v/>
          </cell>
          <cell r="D731" t="str">
            <v/>
          </cell>
          <cell r="E731">
            <v>926507</v>
          </cell>
          <cell r="F731" t="str">
            <v/>
          </cell>
          <cell r="I731" t="str">
            <v/>
          </cell>
          <cell r="J731" t="str">
            <v/>
          </cell>
          <cell r="U731" t="str">
            <v/>
          </cell>
          <cell r="V731" t="str">
            <v/>
          </cell>
        </row>
        <row r="732">
          <cell r="C732" t="str">
            <v/>
          </cell>
          <cell r="D732" t="str">
            <v/>
          </cell>
          <cell r="E732">
            <v>926507</v>
          </cell>
          <cell r="F732" t="str">
            <v/>
          </cell>
          <cell r="I732" t="str">
            <v/>
          </cell>
          <cell r="J732" t="str">
            <v/>
          </cell>
          <cell r="U732" t="str">
            <v/>
          </cell>
          <cell r="V732" t="str">
            <v/>
          </cell>
        </row>
        <row r="733">
          <cell r="C733" t="str">
            <v/>
          </cell>
          <cell r="D733" t="str">
            <v/>
          </cell>
          <cell r="E733">
            <v>926507</v>
          </cell>
          <cell r="F733" t="str">
            <v/>
          </cell>
          <cell r="I733" t="str">
            <v/>
          </cell>
          <cell r="J733" t="str">
            <v/>
          </cell>
          <cell r="U733" t="str">
            <v/>
          </cell>
          <cell r="V733" t="str">
            <v/>
          </cell>
        </row>
        <row r="734">
          <cell r="C734" t="str">
            <v/>
          </cell>
          <cell r="D734" t="str">
            <v/>
          </cell>
          <cell r="E734">
            <v>926507</v>
          </cell>
          <cell r="F734" t="str">
            <v/>
          </cell>
          <cell r="I734" t="str">
            <v/>
          </cell>
          <cell r="J734" t="str">
            <v/>
          </cell>
          <cell r="U734" t="str">
            <v/>
          </cell>
          <cell r="V734" t="str">
            <v/>
          </cell>
        </row>
        <row r="735">
          <cell r="C735" t="str">
            <v/>
          </cell>
          <cell r="D735" t="str">
            <v/>
          </cell>
          <cell r="E735">
            <v>926507</v>
          </cell>
          <cell r="F735" t="str">
            <v/>
          </cell>
          <cell r="I735" t="str">
            <v/>
          </cell>
          <cell r="J735" t="str">
            <v/>
          </cell>
          <cell r="U735" t="str">
            <v/>
          </cell>
          <cell r="V735" t="str">
            <v/>
          </cell>
        </row>
        <row r="736">
          <cell r="C736" t="str">
            <v/>
          </cell>
          <cell r="D736" t="str">
            <v/>
          </cell>
          <cell r="E736">
            <v>926507</v>
          </cell>
          <cell r="F736" t="str">
            <v/>
          </cell>
          <cell r="I736" t="str">
            <v/>
          </cell>
          <cell r="J736" t="str">
            <v/>
          </cell>
          <cell r="U736" t="str">
            <v/>
          </cell>
          <cell r="V736" t="str">
            <v/>
          </cell>
        </row>
        <row r="737">
          <cell r="C737" t="str">
            <v/>
          </cell>
          <cell r="D737" t="str">
            <v/>
          </cell>
          <cell r="E737">
            <v>926507</v>
          </cell>
          <cell r="F737" t="str">
            <v/>
          </cell>
          <cell r="I737" t="str">
            <v/>
          </cell>
          <cell r="J737" t="str">
            <v/>
          </cell>
          <cell r="U737" t="str">
            <v/>
          </cell>
          <cell r="V737" t="str">
            <v/>
          </cell>
        </row>
        <row r="738">
          <cell r="C738" t="str">
            <v/>
          </cell>
          <cell r="D738" t="str">
            <v/>
          </cell>
          <cell r="E738">
            <v>926507</v>
          </cell>
          <cell r="F738" t="str">
            <v/>
          </cell>
          <cell r="I738" t="str">
            <v/>
          </cell>
          <cell r="J738" t="str">
            <v/>
          </cell>
          <cell r="U738" t="str">
            <v/>
          </cell>
          <cell r="V738" t="str">
            <v/>
          </cell>
        </row>
        <row r="739">
          <cell r="C739" t="str">
            <v/>
          </cell>
          <cell r="D739" t="str">
            <v/>
          </cell>
          <cell r="E739">
            <v>926507</v>
          </cell>
          <cell r="F739" t="str">
            <v/>
          </cell>
          <cell r="I739" t="str">
            <v/>
          </cell>
          <cell r="J739" t="str">
            <v/>
          </cell>
          <cell r="U739" t="str">
            <v/>
          </cell>
          <cell r="V739" t="str">
            <v/>
          </cell>
        </row>
        <row r="740">
          <cell r="C740" t="str">
            <v/>
          </cell>
          <cell r="D740" t="str">
            <v/>
          </cell>
          <cell r="E740">
            <v>926507</v>
          </cell>
          <cell r="F740" t="str">
            <v/>
          </cell>
          <cell r="I740" t="str">
            <v/>
          </cell>
          <cell r="J740" t="str">
            <v/>
          </cell>
          <cell r="U740" t="str">
            <v/>
          </cell>
          <cell r="V740" t="str">
            <v/>
          </cell>
        </row>
        <row r="741">
          <cell r="C741" t="str">
            <v/>
          </cell>
          <cell r="D741" t="str">
            <v/>
          </cell>
          <cell r="E741">
            <v>926507</v>
          </cell>
          <cell r="F741" t="str">
            <v/>
          </cell>
          <cell r="I741" t="str">
            <v/>
          </cell>
          <cell r="J741" t="str">
            <v/>
          </cell>
          <cell r="U741" t="str">
            <v/>
          </cell>
          <cell r="V741" t="str">
            <v/>
          </cell>
        </row>
        <row r="742">
          <cell r="C742" t="str">
            <v/>
          </cell>
          <cell r="D742" t="str">
            <v/>
          </cell>
          <cell r="E742">
            <v>926507</v>
          </cell>
          <cell r="F742" t="str">
            <v/>
          </cell>
          <cell r="I742" t="str">
            <v/>
          </cell>
          <cell r="J742" t="str">
            <v/>
          </cell>
          <cell r="U742" t="str">
            <v/>
          </cell>
          <cell r="V742" t="str">
            <v/>
          </cell>
        </row>
        <row r="743">
          <cell r="C743" t="str">
            <v/>
          </cell>
          <cell r="D743" t="str">
            <v/>
          </cell>
          <cell r="E743">
            <v>926507</v>
          </cell>
          <cell r="F743" t="str">
            <v/>
          </cell>
          <cell r="I743" t="str">
            <v/>
          </cell>
          <cell r="J743" t="str">
            <v/>
          </cell>
          <cell r="U743" t="str">
            <v/>
          </cell>
          <cell r="V743" t="str">
            <v/>
          </cell>
        </row>
        <row r="744">
          <cell r="C744" t="str">
            <v/>
          </cell>
          <cell r="D744" t="str">
            <v/>
          </cell>
          <cell r="E744">
            <v>926507</v>
          </cell>
          <cell r="F744" t="str">
            <v/>
          </cell>
          <cell r="I744" t="str">
            <v/>
          </cell>
          <cell r="J744" t="str">
            <v/>
          </cell>
          <cell r="U744" t="str">
            <v/>
          </cell>
          <cell r="V744" t="str">
            <v/>
          </cell>
        </row>
        <row r="745">
          <cell r="C745" t="str">
            <v/>
          </cell>
          <cell r="D745" t="str">
            <v/>
          </cell>
          <cell r="E745">
            <v>926507</v>
          </cell>
          <cell r="F745" t="str">
            <v/>
          </cell>
          <cell r="I745" t="str">
            <v/>
          </cell>
          <cell r="J745" t="str">
            <v/>
          </cell>
          <cell r="U745" t="str">
            <v/>
          </cell>
          <cell r="V745" t="str">
            <v/>
          </cell>
        </row>
        <row r="746">
          <cell r="C746" t="str">
            <v/>
          </cell>
          <cell r="D746" t="str">
            <v/>
          </cell>
          <cell r="E746">
            <v>926507</v>
          </cell>
          <cell r="F746" t="str">
            <v/>
          </cell>
          <cell r="I746" t="str">
            <v/>
          </cell>
          <cell r="J746" t="str">
            <v/>
          </cell>
          <cell r="U746" t="str">
            <v/>
          </cell>
          <cell r="V746" t="str">
            <v/>
          </cell>
        </row>
        <row r="747">
          <cell r="C747" t="str">
            <v/>
          </cell>
          <cell r="D747" t="str">
            <v/>
          </cell>
          <cell r="E747">
            <v>926507</v>
          </cell>
          <cell r="F747" t="str">
            <v/>
          </cell>
          <cell r="I747" t="str">
            <v/>
          </cell>
          <cell r="J747" t="str">
            <v/>
          </cell>
          <cell r="U747" t="str">
            <v/>
          </cell>
          <cell r="V747" t="str">
            <v/>
          </cell>
        </row>
        <row r="748">
          <cell r="C748" t="str">
            <v/>
          </cell>
          <cell r="D748" t="str">
            <v/>
          </cell>
          <cell r="E748">
            <v>926507</v>
          </cell>
          <cell r="F748" t="str">
            <v/>
          </cell>
          <cell r="I748" t="str">
            <v/>
          </cell>
          <cell r="J748" t="str">
            <v/>
          </cell>
          <cell r="U748" t="str">
            <v/>
          </cell>
          <cell r="V748" t="str">
            <v/>
          </cell>
        </row>
        <row r="749">
          <cell r="C749" t="str">
            <v/>
          </cell>
          <cell r="D749" t="str">
            <v/>
          </cell>
          <cell r="E749">
            <v>926507</v>
          </cell>
          <cell r="F749" t="str">
            <v/>
          </cell>
          <cell r="I749" t="str">
            <v/>
          </cell>
          <cell r="J749" t="str">
            <v/>
          </cell>
          <cell r="U749" t="str">
            <v/>
          </cell>
          <cell r="V749" t="str">
            <v/>
          </cell>
        </row>
        <row r="750">
          <cell r="C750" t="str">
            <v/>
          </cell>
          <cell r="D750" t="str">
            <v/>
          </cell>
          <cell r="E750">
            <v>926507</v>
          </cell>
          <cell r="F750" t="str">
            <v/>
          </cell>
          <cell r="I750" t="str">
            <v/>
          </cell>
          <cell r="J750" t="str">
            <v/>
          </cell>
          <cell r="U750" t="str">
            <v/>
          </cell>
          <cell r="V750" t="str">
            <v/>
          </cell>
        </row>
        <row r="751">
          <cell r="C751" t="str">
            <v/>
          </cell>
          <cell r="D751" t="str">
            <v/>
          </cell>
          <cell r="E751">
            <v>926507</v>
          </cell>
          <cell r="F751" t="str">
            <v/>
          </cell>
          <cell r="I751" t="str">
            <v/>
          </cell>
          <cell r="J751" t="str">
            <v/>
          </cell>
          <cell r="U751" t="str">
            <v/>
          </cell>
          <cell r="V751" t="str">
            <v/>
          </cell>
        </row>
        <row r="752">
          <cell r="C752" t="str">
            <v/>
          </cell>
          <cell r="D752" t="str">
            <v/>
          </cell>
          <cell r="E752">
            <v>926507</v>
          </cell>
          <cell r="F752" t="str">
            <v/>
          </cell>
          <cell r="I752" t="str">
            <v/>
          </cell>
          <cell r="J752" t="str">
            <v/>
          </cell>
          <cell r="U752" t="str">
            <v/>
          </cell>
          <cell r="V752" t="str">
            <v/>
          </cell>
        </row>
        <row r="753">
          <cell r="C753" t="str">
            <v/>
          </cell>
          <cell r="D753" t="str">
            <v/>
          </cell>
          <cell r="E753">
            <v>926507</v>
          </cell>
          <cell r="F753" t="str">
            <v/>
          </cell>
          <cell r="I753" t="str">
            <v/>
          </cell>
          <cell r="J753" t="str">
            <v/>
          </cell>
          <cell r="U753" t="str">
            <v/>
          </cell>
          <cell r="V753" t="str">
            <v/>
          </cell>
        </row>
        <row r="754">
          <cell r="C754" t="str">
            <v/>
          </cell>
          <cell r="D754" t="str">
            <v/>
          </cell>
          <cell r="E754">
            <v>926507</v>
          </cell>
          <cell r="F754" t="str">
            <v/>
          </cell>
          <cell r="I754" t="str">
            <v/>
          </cell>
          <cell r="J754" t="str">
            <v/>
          </cell>
          <cell r="U754" t="str">
            <v/>
          </cell>
          <cell r="V754" t="str">
            <v/>
          </cell>
        </row>
        <row r="755">
          <cell r="C755" t="str">
            <v/>
          </cell>
          <cell r="D755" t="str">
            <v/>
          </cell>
          <cell r="E755">
            <v>926507</v>
          </cell>
          <cell r="F755" t="str">
            <v/>
          </cell>
          <cell r="I755" t="str">
            <v/>
          </cell>
          <cell r="J755" t="str">
            <v/>
          </cell>
          <cell r="U755" t="str">
            <v/>
          </cell>
          <cell r="V755" t="str">
            <v/>
          </cell>
        </row>
        <row r="756">
          <cell r="C756" t="str">
            <v/>
          </cell>
          <cell r="D756" t="str">
            <v/>
          </cell>
          <cell r="E756">
            <v>926507</v>
          </cell>
          <cell r="F756" t="str">
            <v/>
          </cell>
          <cell r="I756" t="str">
            <v/>
          </cell>
          <cell r="J756" t="str">
            <v/>
          </cell>
          <cell r="U756" t="str">
            <v/>
          </cell>
          <cell r="V756" t="str">
            <v/>
          </cell>
        </row>
        <row r="757">
          <cell r="C757" t="str">
            <v/>
          </cell>
          <cell r="D757" t="str">
            <v/>
          </cell>
          <cell r="E757">
            <v>926507</v>
          </cell>
          <cell r="F757" t="str">
            <v/>
          </cell>
          <cell r="I757" t="str">
            <v/>
          </cell>
          <cell r="J757" t="str">
            <v/>
          </cell>
          <cell r="U757" t="str">
            <v/>
          </cell>
          <cell r="V757" t="str">
            <v/>
          </cell>
        </row>
        <row r="758">
          <cell r="C758" t="str">
            <v/>
          </cell>
          <cell r="D758" t="str">
            <v/>
          </cell>
          <cell r="E758">
            <v>926507</v>
          </cell>
          <cell r="F758" t="str">
            <v/>
          </cell>
          <cell r="I758" t="str">
            <v/>
          </cell>
          <cell r="J758" t="str">
            <v/>
          </cell>
          <cell r="U758" t="str">
            <v/>
          </cell>
          <cell r="V758" t="str">
            <v/>
          </cell>
        </row>
        <row r="759">
          <cell r="C759" t="str">
            <v/>
          </cell>
          <cell r="D759" t="str">
            <v/>
          </cell>
          <cell r="E759">
            <v>926507</v>
          </cell>
          <cell r="F759" t="str">
            <v/>
          </cell>
          <cell r="I759" t="str">
            <v/>
          </cell>
          <cell r="J759" t="str">
            <v/>
          </cell>
          <cell r="U759" t="str">
            <v/>
          </cell>
          <cell r="V759" t="str">
            <v/>
          </cell>
        </row>
        <row r="760">
          <cell r="C760" t="str">
            <v/>
          </cell>
          <cell r="D760" t="str">
            <v/>
          </cell>
          <cell r="E760">
            <v>926507</v>
          </cell>
          <cell r="F760" t="str">
            <v/>
          </cell>
          <cell r="I760" t="str">
            <v/>
          </cell>
          <cell r="J760" t="str">
            <v/>
          </cell>
          <cell r="U760" t="str">
            <v/>
          </cell>
          <cell r="V760" t="str">
            <v/>
          </cell>
        </row>
        <row r="761">
          <cell r="C761" t="str">
            <v/>
          </cell>
          <cell r="D761" t="str">
            <v/>
          </cell>
          <cell r="E761">
            <v>926507</v>
          </cell>
          <cell r="F761" t="str">
            <v/>
          </cell>
          <cell r="I761" t="str">
            <v/>
          </cell>
          <cell r="J761" t="str">
            <v/>
          </cell>
          <cell r="U761" t="str">
            <v/>
          </cell>
          <cell r="V761" t="str">
            <v/>
          </cell>
        </row>
        <row r="762">
          <cell r="C762" t="str">
            <v/>
          </cell>
          <cell r="D762" t="str">
            <v/>
          </cell>
          <cell r="E762">
            <v>926507</v>
          </cell>
          <cell r="F762" t="str">
            <v/>
          </cell>
          <cell r="I762" t="str">
            <v/>
          </cell>
          <cell r="J762" t="str">
            <v/>
          </cell>
          <cell r="U762" t="str">
            <v/>
          </cell>
          <cell r="V762" t="str">
            <v/>
          </cell>
        </row>
        <row r="763">
          <cell r="C763" t="str">
            <v/>
          </cell>
          <cell r="D763" t="str">
            <v/>
          </cell>
          <cell r="E763">
            <v>926507</v>
          </cell>
          <cell r="F763" t="str">
            <v/>
          </cell>
          <cell r="I763" t="str">
            <v/>
          </cell>
          <cell r="J763" t="str">
            <v/>
          </cell>
          <cell r="U763" t="str">
            <v/>
          </cell>
          <cell r="V763" t="str">
            <v/>
          </cell>
        </row>
        <row r="764">
          <cell r="C764" t="str">
            <v/>
          </cell>
          <cell r="D764" t="str">
            <v/>
          </cell>
          <cell r="E764">
            <v>926507</v>
          </cell>
          <cell r="F764" t="str">
            <v/>
          </cell>
          <cell r="I764" t="str">
            <v/>
          </cell>
          <cell r="J764" t="str">
            <v/>
          </cell>
          <cell r="U764" t="str">
            <v/>
          </cell>
          <cell r="V764" t="str">
            <v/>
          </cell>
        </row>
        <row r="765">
          <cell r="C765" t="str">
            <v/>
          </cell>
          <cell r="D765" t="str">
            <v/>
          </cell>
          <cell r="E765">
            <v>926507</v>
          </cell>
          <cell r="F765" t="str">
            <v/>
          </cell>
          <cell r="I765" t="str">
            <v/>
          </cell>
          <cell r="J765" t="str">
            <v/>
          </cell>
          <cell r="U765" t="str">
            <v/>
          </cell>
          <cell r="V765" t="str">
            <v/>
          </cell>
        </row>
        <row r="766">
          <cell r="C766" t="str">
            <v/>
          </cell>
          <cell r="D766" t="str">
            <v/>
          </cell>
          <cell r="E766">
            <v>926507</v>
          </cell>
          <cell r="F766" t="str">
            <v/>
          </cell>
          <cell r="I766" t="str">
            <v/>
          </cell>
          <cell r="J766" t="str">
            <v/>
          </cell>
          <cell r="U766" t="str">
            <v/>
          </cell>
          <cell r="V766" t="str">
            <v/>
          </cell>
        </row>
        <row r="767">
          <cell r="C767" t="str">
            <v/>
          </cell>
          <cell r="D767" t="str">
            <v/>
          </cell>
          <cell r="E767">
            <v>926507</v>
          </cell>
          <cell r="F767" t="str">
            <v/>
          </cell>
          <cell r="I767" t="str">
            <v/>
          </cell>
          <cell r="J767" t="str">
            <v/>
          </cell>
          <cell r="U767" t="str">
            <v/>
          </cell>
          <cell r="V767" t="str">
            <v/>
          </cell>
        </row>
        <row r="768">
          <cell r="C768" t="str">
            <v/>
          </cell>
          <cell r="D768" t="str">
            <v/>
          </cell>
          <cell r="E768">
            <v>926507</v>
          </cell>
          <cell r="F768" t="str">
            <v/>
          </cell>
          <cell r="I768" t="str">
            <v/>
          </cell>
          <cell r="J768" t="str">
            <v/>
          </cell>
          <cell r="U768" t="str">
            <v/>
          </cell>
          <cell r="V768" t="str">
            <v/>
          </cell>
        </row>
        <row r="769">
          <cell r="C769" t="str">
            <v/>
          </cell>
          <cell r="D769" t="str">
            <v/>
          </cell>
          <cell r="E769">
            <v>926507</v>
          </cell>
          <cell r="F769" t="str">
            <v/>
          </cell>
          <cell r="I769" t="str">
            <v/>
          </cell>
          <cell r="J769" t="str">
            <v/>
          </cell>
          <cell r="U769" t="str">
            <v/>
          </cell>
          <cell r="V769" t="str">
            <v/>
          </cell>
        </row>
        <row r="770">
          <cell r="C770" t="str">
            <v/>
          </cell>
          <cell r="D770" t="str">
            <v/>
          </cell>
          <cell r="E770">
            <v>926507</v>
          </cell>
          <cell r="F770" t="str">
            <v/>
          </cell>
          <cell r="I770" t="str">
            <v/>
          </cell>
          <cell r="J770" t="str">
            <v/>
          </cell>
          <cell r="U770" t="str">
            <v/>
          </cell>
          <cell r="V770" t="str">
            <v/>
          </cell>
        </row>
        <row r="771">
          <cell r="C771" t="str">
            <v/>
          </cell>
          <cell r="D771" t="str">
            <v/>
          </cell>
          <cell r="E771">
            <v>926507</v>
          </cell>
          <cell r="F771" t="str">
            <v/>
          </cell>
          <cell r="I771" t="str">
            <v/>
          </cell>
          <cell r="J771" t="str">
            <v/>
          </cell>
          <cell r="U771" t="str">
            <v/>
          </cell>
          <cell r="V771" t="str">
            <v/>
          </cell>
        </row>
        <row r="772">
          <cell r="C772" t="str">
            <v/>
          </cell>
          <cell r="D772" t="str">
            <v/>
          </cell>
          <cell r="E772">
            <v>926507</v>
          </cell>
          <cell r="F772" t="str">
            <v/>
          </cell>
          <cell r="I772" t="str">
            <v/>
          </cell>
          <cell r="J772" t="str">
            <v/>
          </cell>
          <cell r="U772" t="str">
            <v/>
          </cell>
          <cell r="V772" t="str">
            <v/>
          </cell>
        </row>
        <row r="773">
          <cell r="C773" t="str">
            <v/>
          </cell>
          <cell r="D773" t="str">
            <v/>
          </cell>
          <cell r="E773">
            <v>926507</v>
          </cell>
          <cell r="F773" t="str">
            <v/>
          </cell>
          <cell r="I773" t="str">
            <v/>
          </cell>
          <cell r="J773" t="str">
            <v/>
          </cell>
          <cell r="U773" t="str">
            <v/>
          </cell>
          <cell r="V773" t="str">
            <v/>
          </cell>
        </row>
        <row r="774">
          <cell r="C774" t="str">
            <v/>
          </cell>
          <cell r="D774" t="str">
            <v/>
          </cell>
          <cell r="E774">
            <v>926507</v>
          </cell>
          <cell r="F774" t="str">
            <v/>
          </cell>
          <cell r="I774" t="str">
            <v/>
          </cell>
          <cell r="J774" t="str">
            <v/>
          </cell>
          <cell r="U774" t="str">
            <v/>
          </cell>
          <cell r="V774" t="str">
            <v/>
          </cell>
        </row>
        <row r="775">
          <cell r="C775" t="str">
            <v/>
          </cell>
          <cell r="D775" t="str">
            <v/>
          </cell>
          <cell r="E775">
            <v>926507</v>
          </cell>
          <cell r="F775" t="str">
            <v/>
          </cell>
          <cell r="I775" t="str">
            <v/>
          </cell>
          <cell r="J775" t="str">
            <v/>
          </cell>
          <cell r="U775" t="str">
            <v/>
          </cell>
          <cell r="V775" t="str">
            <v/>
          </cell>
        </row>
        <row r="776">
          <cell r="C776" t="str">
            <v/>
          </cell>
          <cell r="D776" t="str">
            <v/>
          </cell>
          <cell r="E776">
            <v>926507</v>
          </cell>
          <cell r="F776" t="str">
            <v/>
          </cell>
          <cell r="I776" t="str">
            <v/>
          </cell>
          <cell r="J776" t="str">
            <v/>
          </cell>
          <cell r="U776" t="str">
            <v/>
          </cell>
          <cell r="V776" t="str">
            <v/>
          </cell>
        </row>
        <row r="777">
          <cell r="C777" t="str">
            <v/>
          </cell>
          <cell r="D777" t="str">
            <v/>
          </cell>
          <cell r="E777">
            <v>926507</v>
          </cell>
          <cell r="F777" t="str">
            <v/>
          </cell>
          <cell r="I777" t="str">
            <v/>
          </cell>
          <cell r="J777" t="str">
            <v/>
          </cell>
          <cell r="U777" t="str">
            <v/>
          </cell>
          <cell r="V777" t="str">
            <v/>
          </cell>
        </row>
        <row r="778">
          <cell r="C778" t="str">
            <v/>
          </cell>
          <cell r="D778" t="str">
            <v/>
          </cell>
          <cell r="E778">
            <v>926507</v>
          </cell>
          <cell r="F778" t="str">
            <v/>
          </cell>
          <cell r="I778" t="str">
            <v/>
          </cell>
          <cell r="J778" t="str">
            <v/>
          </cell>
          <cell r="U778" t="str">
            <v/>
          </cell>
          <cell r="V778" t="str">
            <v/>
          </cell>
        </row>
        <row r="779">
          <cell r="C779" t="str">
            <v/>
          </cell>
          <cell r="D779" t="str">
            <v/>
          </cell>
          <cell r="E779">
            <v>926507</v>
          </cell>
          <cell r="F779" t="str">
            <v/>
          </cell>
          <cell r="I779" t="str">
            <v/>
          </cell>
          <cell r="J779" t="str">
            <v/>
          </cell>
          <cell r="U779" t="str">
            <v/>
          </cell>
          <cell r="V779" t="str">
            <v/>
          </cell>
        </row>
        <row r="780">
          <cell r="C780" t="str">
            <v/>
          </cell>
          <cell r="D780" t="str">
            <v/>
          </cell>
          <cell r="E780">
            <v>926507</v>
          </cell>
          <cell r="F780" t="str">
            <v/>
          </cell>
          <cell r="I780" t="str">
            <v/>
          </cell>
          <cell r="J780" t="str">
            <v/>
          </cell>
          <cell r="U780" t="str">
            <v/>
          </cell>
          <cell r="V780" t="str">
            <v/>
          </cell>
        </row>
        <row r="781">
          <cell r="C781" t="str">
            <v/>
          </cell>
          <cell r="D781" t="str">
            <v/>
          </cell>
          <cell r="E781">
            <v>926507</v>
          </cell>
          <cell r="F781" t="str">
            <v/>
          </cell>
          <cell r="I781" t="str">
            <v/>
          </cell>
          <cell r="J781" t="str">
            <v/>
          </cell>
          <cell r="U781" t="str">
            <v/>
          </cell>
          <cell r="V781" t="str">
            <v/>
          </cell>
        </row>
        <row r="782">
          <cell r="C782" t="str">
            <v/>
          </cell>
          <cell r="D782" t="str">
            <v/>
          </cell>
          <cell r="E782">
            <v>926507</v>
          </cell>
          <cell r="F782" t="str">
            <v/>
          </cell>
          <cell r="I782" t="str">
            <v/>
          </cell>
          <cell r="J782" t="str">
            <v/>
          </cell>
          <cell r="U782" t="str">
            <v/>
          </cell>
          <cell r="V782" t="str">
            <v/>
          </cell>
        </row>
        <row r="783">
          <cell r="C783" t="str">
            <v/>
          </cell>
          <cell r="D783" t="str">
            <v/>
          </cell>
          <cell r="E783">
            <v>926507</v>
          </cell>
          <cell r="F783" t="str">
            <v/>
          </cell>
          <cell r="I783" t="str">
            <v/>
          </cell>
          <cell r="J783" t="str">
            <v/>
          </cell>
          <cell r="U783" t="str">
            <v/>
          </cell>
          <cell r="V783" t="str">
            <v/>
          </cell>
        </row>
        <row r="784">
          <cell r="C784" t="str">
            <v/>
          </cell>
          <cell r="D784" t="str">
            <v/>
          </cell>
          <cell r="E784">
            <v>926507</v>
          </cell>
          <cell r="F784" t="str">
            <v/>
          </cell>
          <cell r="I784" t="str">
            <v/>
          </cell>
          <cell r="J784" t="str">
            <v/>
          </cell>
          <cell r="U784" t="str">
            <v/>
          </cell>
          <cell r="V784" t="str">
            <v/>
          </cell>
        </row>
        <row r="785">
          <cell r="C785" t="str">
            <v/>
          </cell>
          <cell r="D785" t="str">
            <v/>
          </cell>
          <cell r="E785">
            <v>926507</v>
          </cell>
          <cell r="F785" t="str">
            <v/>
          </cell>
          <cell r="I785" t="str">
            <v/>
          </cell>
          <cell r="J785" t="str">
            <v/>
          </cell>
          <cell r="U785" t="str">
            <v/>
          </cell>
          <cell r="V785" t="str">
            <v/>
          </cell>
        </row>
        <row r="786">
          <cell r="C786" t="str">
            <v/>
          </cell>
          <cell r="D786" t="str">
            <v/>
          </cell>
          <cell r="E786">
            <v>926507</v>
          </cell>
          <cell r="F786" t="str">
            <v/>
          </cell>
          <cell r="I786" t="str">
            <v/>
          </cell>
          <cell r="J786" t="str">
            <v/>
          </cell>
          <cell r="U786" t="str">
            <v/>
          </cell>
          <cell r="V786" t="str">
            <v/>
          </cell>
        </row>
        <row r="787">
          <cell r="C787" t="str">
            <v/>
          </cell>
          <cell r="D787" t="str">
            <v/>
          </cell>
          <cell r="E787">
            <v>926507</v>
          </cell>
          <cell r="F787" t="str">
            <v/>
          </cell>
          <cell r="I787" t="str">
            <v/>
          </cell>
          <cell r="J787" t="str">
            <v/>
          </cell>
          <cell r="U787" t="str">
            <v/>
          </cell>
          <cell r="V787" t="str">
            <v/>
          </cell>
        </row>
        <row r="788">
          <cell r="C788" t="str">
            <v/>
          </cell>
          <cell r="D788" t="str">
            <v/>
          </cell>
          <cell r="E788">
            <v>926507</v>
          </cell>
          <cell r="F788" t="str">
            <v/>
          </cell>
          <cell r="I788" t="str">
            <v/>
          </cell>
          <cell r="J788" t="str">
            <v/>
          </cell>
          <cell r="U788" t="str">
            <v/>
          </cell>
          <cell r="V788" t="str">
            <v/>
          </cell>
        </row>
        <row r="789">
          <cell r="C789" t="str">
            <v/>
          </cell>
          <cell r="D789" t="str">
            <v/>
          </cell>
          <cell r="E789">
            <v>926507</v>
          </cell>
          <cell r="F789" t="str">
            <v/>
          </cell>
          <cell r="I789" t="str">
            <v/>
          </cell>
          <cell r="J789" t="str">
            <v/>
          </cell>
          <cell r="U789" t="str">
            <v/>
          </cell>
          <cell r="V789" t="str">
            <v/>
          </cell>
        </row>
        <row r="790">
          <cell r="C790" t="str">
            <v/>
          </cell>
          <cell r="D790" t="str">
            <v/>
          </cell>
          <cell r="E790">
            <v>926507</v>
          </cell>
          <cell r="F790" t="str">
            <v/>
          </cell>
          <cell r="I790" t="str">
            <v/>
          </cell>
          <cell r="J790" t="str">
            <v/>
          </cell>
          <cell r="U790" t="str">
            <v/>
          </cell>
          <cell r="V790" t="str">
            <v/>
          </cell>
        </row>
        <row r="791">
          <cell r="C791" t="str">
            <v/>
          </cell>
          <cell r="D791" t="str">
            <v/>
          </cell>
          <cell r="E791">
            <v>926507</v>
          </cell>
          <cell r="F791" t="str">
            <v/>
          </cell>
          <cell r="I791" t="str">
            <v/>
          </cell>
          <cell r="J791" t="str">
            <v/>
          </cell>
          <cell r="U791" t="str">
            <v/>
          </cell>
          <cell r="V791" t="str">
            <v/>
          </cell>
        </row>
        <row r="792">
          <cell r="C792" t="str">
            <v/>
          </cell>
          <cell r="D792" t="str">
            <v/>
          </cell>
          <cell r="E792">
            <v>926507</v>
          </cell>
          <cell r="F792" t="str">
            <v/>
          </cell>
          <cell r="I792" t="str">
            <v/>
          </cell>
          <cell r="J792" t="str">
            <v/>
          </cell>
          <cell r="U792" t="str">
            <v/>
          </cell>
          <cell r="V792" t="str">
            <v/>
          </cell>
        </row>
        <row r="793">
          <cell r="C793" t="str">
            <v/>
          </cell>
          <cell r="D793" t="str">
            <v/>
          </cell>
          <cell r="E793">
            <v>926507</v>
          </cell>
          <cell r="F793" t="str">
            <v/>
          </cell>
          <cell r="I793" t="str">
            <v/>
          </cell>
          <cell r="J793" t="str">
            <v/>
          </cell>
          <cell r="U793" t="str">
            <v/>
          </cell>
          <cell r="V793" t="str">
            <v/>
          </cell>
        </row>
        <row r="794">
          <cell r="C794" t="str">
            <v/>
          </cell>
          <cell r="D794" t="str">
            <v/>
          </cell>
          <cell r="E794">
            <v>926507</v>
          </cell>
          <cell r="F794" t="str">
            <v/>
          </cell>
          <cell r="I794" t="str">
            <v/>
          </cell>
          <cell r="J794" t="str">
            <v/>
          </cell>
          <cell r="U794" t="str">
            <v/>
          </cell>
          <cell r="V794" t="str">
            <v/>
          </cell>
        </row>
        <row r="795">
          <cell r="C795" t="str">
            <v/>
          </cell>
          <cell r="D795" t="str">
            <v/>
          </cell>
          <cell r="E795">
            <v>926507</v>
          </cell>
          <cell r="F795" t="str">
            <v/>
          </cell>
          <cell r="I795" t="str">
            <v/>
          </cell>
          <cell r="J795" t="str">
            <v/>
          </cell>
          <cell r="U795" t="str">
            <v/>
          </cell>
          <cell r="V795" t="str">
            <v/>
          </cell>
        </row>
        <row r="796">
          <cell r="C796" t="str">
            <v/>
          </cell>
          <cell r="D796" t="str">
            <v/>
          </cell>
          <cell r="E796">
            <v>926507</v>
          </cell>
          <cell r="F796" t="str">
            <v/>
          </cell>
          <cell r="I796" t="str">
            <v/>
          </cell>
          <cell r="J796" t="str">
            <v/>
          </cell>
          <cell r="U796" t="str">
            <v/>
          </cell>
          <cell r="V796" t="str">
            <v/>
          </cell>
        </row>
        <row r="797">
          <cell r="C797" t="str">
            <v/>
          </cell>
          <cell r="D797" t="str">
            <v/>
          </cell>
          <cell r="E797">
            <v>926507</v>
          </cell>
          <cell r="F797" t="str">
            <v/>
          </cell>
          <cell r="I797" t="str">
            <v/>
          </cell>
          <cell r="J797" t="str">
            <v/>
          </cell>
          <cell r="U797" t="str">
            <v/>
          </cell>
          <cell r="V797" t="str">
            <v/>
          </cell>
        </row>
        <row r="798">
          <cell r="C798" t="str">
            <v/>
          </cell>
          <cell r="D798" t="str">
            <v/>
          </cell>
          <cell r="E798">
            <v>926507</v>
          </cell>
          <cell r="F798" t="str">
            <v/>
          </cell>
          <cell r="I798" t="str">
            <v/>
          </cell>
          <cell r="J798" t="str">
            <v/>
          </cell>
          <cell r="U798" t="str">
            <v/>
          </cell>
          <cell r="V798" t="str">
            <v/>
          </cell>
        </row>
        <row r="799">
          <cell r="C799" t="str">
            <v/>
          </cell>
          <cell r="D799" t="str">
            <v/>
          </cell>
          <cell r="E799">
            <v>926507</v>
          </cell>
          <cell r="F799" t="str">
            <v/>
          </cell>
          <cell r="I799" t="str">
            <v/>
          </cell>
          <cell r="J799" t="str">
            <v/>
          </cell>
          <cell r="U799" t="str">
            <v/>
          </cell>
          <cell r="V799" t="str">
            <v/>
          </cell>
        </row>
        <row r="800">
          <cell r="C800" t="str">
            <v/>
          </cell>
          <cell r="D800" t="str">
            <v/>
          </cell>
          <cell r="E800">
            <v>926507</v>
          </cell>
          <cell r="F800" t="str">
            <v/>
          </cell>
          <cell r="I800" t="str">
            <v/>
          </cell>
          <cell r="J800" t="str">
            <v/>
          </cell>
          <cell r="U800" t="str">
            <v/>
          </cell>
          <cell r="V800" t="str">
            <v/>
          </cell>
        </row>
        <row r="801">
          <cell r="C801" t="str">
            <v/>
          </cell>
          <cell r="D801" t="str">
            <v/>
          </cell>
          <cell r="E801">
            <v>926507</v>
          </cell>
          <cell r="F801" t="str">
            <v/>
          </cell>
          <cell r="I801" t="str">
            <v/>
          </cell>
          <cell r="J801" t="str">
            <v/>
          </cell>
          <cell r="U801" t="str">
            <v/>
          </cell>
          <cell r="V801" t="str">
            <v/>
          </cell>
        </row>
        <row r="802">
          <cell r="C802" t="str">
            <v/>
          </cell>
          <cell r="D802" t="str">
            <v/>
          </cell>
          <cell r="E802">
            <v>926507</v>
          </cell>
          <cell r="F802" t="str">
            <v/>
          </cell>
          <cell r="I802" t="str">
            <v/>
          </cell>
          <cell r="J802" t="str">
            <v/>
          </cell>
          <cell r="U802" t="str">
            <v/>
          </cell>
          <cell r="V802" t="str">
            <v/>
          </cell>
        </row>
        <row r="803">
          <cell r="C803" t="str">
            <v/>
          </cell>
          <cell r="D803" t="str">
            <v/>
          </cell>
          <cell r="E803">
            <v>926507</v>
          </cell>
          <cell r="F803" t="str">
            <v/>
          </cell>
          <cell r="I803" t="str">
            <v/>
          </cell>
          <cell r="J803" t="str">
            <v/>
          </cell>
          <cell r="U803" t="str">
            <v/>
          </cell>
          <cell r="V803" t="str">
            <v/>
          </cell>
        </row>
        <row r="804">
          <cell r="C804" t="str">
            <v/>
          </cell>
          <cell r="D804" t="str">
            <v/>
          </cell>
          <cell r="E804">
            <v>926507</v>
          </cell>
          <cell r="F804" t="str">
            <v/>
          </cell>
          <cell r="I804" t="str">
            <v/>
          </cell>
          <cell r="J804" t="str">
            <v/>
          </cell>
          <cell r="U804" t="str">
            <v/>
          </cell>
          <cell r="V804" t="str">
            <v/>
          </cell>
        </row>
        <row r="805">
          <cell r="C805" t="str">
            <v/>
          </cell>
          <cell r="D805" t="str">
            <v/>
          </cell>
          <cell r="E805">
            <v>926507</v>
          </cell>
          <cell r="F805" t="str">
            <v/>
          </cell>
          <cell r="I805" t="str">
            <v/>
          </cell>
          <cell r="J805" t="str">
            <v/>
          </cell>
          <cell r="U805" t="str">
            <v/>
          </cell>
          <cell r="V805" t="str">
            <v/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360">
          <cell r="DD360" t="str">
            <v/>
          </cell>
          <cell r="DF360" t="str">
            <v/>
          </cell>
          <cell r="DG360" t="str">
            <v/>
          </cell>
        </row>
        <row r="361">
          <cell r="DD361" t="str">
            <v/>
          </cell>
          <cell r="DF361" t="str">
            <v/>
          </cell>
          <cell r="DG361" t="str">
            <v/>
          </cell>
        </row>
        <row r="362">
          <cell r="DD362" t="str">
            <v/>
          </cell>
          <cell r="DF362" t="str">
            <v/>
          </cell>
          <cell r="DG362" t="str">
            <v/>
          </cell>
        </row>
        <row r="363">
          <cell r="DD363" t="str">
            <v/>
          </cell>
          <cell r="DF363" t="str">
            <v/>
          </cell>
          <cell r="DG363" t="str">
            <v/>
          </cell>
        </row>
        <row r="364">
          <cell r="DD364" t="str">
            <v/>
          </cell>
          <cell r="DF364" t="str">
            <v/>
          </cell>
          <cell r="DG364" t="str">
            <v/>
          </cell>
        </row>
        <row r="365">
          <cell r="DD365" t="str">
            <v/>
          </cell>
          <cell r="DF365" t="str">
            <v/>
          </cell>
          <cell r="DG365" t="str">
            <v/>
          </cell>
        </row>
        <row r="366">
          <cell r="DD366" t="str">
            <v/>
          </cell>
          <cell r="DF366" t="str">
            <v/>
          </cell>
          <cell r="DG366" t="str">
            <v/>
          </cell>
        </row>
        <row r="367">
          <cell r="DD367" t="str">
            <v/>
          </cell>
          <cell r="DF367" t="str">
            <v/>
          </cell>
          <cell r="DG367" t="str">
            <v/>
          </cell>
        </row>
        <row r="368">
          <cell r="DD368" t="str">
            <v/>
          </cell>
          <cell r="DF368" t="str">
            <v/>
          </cell>
          <cell r="DG368" t="str">
            <v/>
          </cell>
        </row>
        <row r="369">
          <cell r="DD369" t="str">
            <v/>
          </cell>
          <cell r="DF369" t="str">
            <v/>
          </cell>
          <cell r="DG369" t="str">
            <v/>
          </cell>
        </row>
        <row r="370">
          <cell r="DD370" t="str">
            <v/>
          </cell>
          <cell r="DF370" t="str">
            <v/>
          </cell>
          <cell r="DG370" t="str">
            <v/>
          </cell>
        </row>
        <row r="371">
          <cell r="DD371" t="str">
            <v/>
          </cell>
          <cell r="DF371" t="str">
            <v/>
          </cell>
          <cell r="DG371" t="str">
            <v/>
          </cell>
        </row>
        <row r="372">
          <cell r="DD372" t="str">
            <v/>
          </cell>
          <cell r="DF372" t="str">
            <v/>
          </cell>
          <cell r="DG372" t="str">
            <v/>
          </cell>
        </row>
        <row r="373">
          <cell r="DD373" t="str">
            <v/>
          </cell>
          <cell r="DF373" t="str">
            <v/>
          </cell>
          <cell r="DG373" t="str">
            <v/>
          </cell>
        </row>
        <row r="374">
          <cell r="DD374" t="str">
            <v/>
          </cell>
          <cell r="DF374" t="str">
            <v/>
          </cell>
          <cell r="DG374" t="str">
            <v/>
          </cell>
        </row>
        <row r="375">
          <cell r="DD375" t="str">
            <v/>
          </cell>
          <cell r="DF375" t="str">
            <v/>
          </cell>
          <cell r="DG375" t="str">
            <v/>
          </cell>
        </row>
        <row r="376">
          <cell r="DD376" t="str">
            <v/>
          </cell>
          <cell r="DF376" t="str">
            <v/>
          </cell>
          <cell r="DG376" t="str">
            <v/>
          </cell>
        </row>
        <row r="377">
          <cell r="DD377" t="str">
            <v/>
          </cell>
          <cell r="DF377" t="str">
            <v/>
          </cell>
          <cell r="DG377" t="str">
            <v/>
          </cell>
        </row>
        <row r="378">
          <cell r="DD378" t="str">
            <v/>
          </cell>
          <cell r="DF378" t="str">
            <v/>
          </cell>
          <cell r="DG378" t="str">
            <v/>
          </cell>
        </row>
        <row r="379">
          <cell r="DD379" t="str">
            <v/>
          </cell>
          <cell r="DF379" t="str">
            <v/>
          </cell>
          <cell r="DG379" t="str">
            <v/>
          </cell>
        </row>
        <row r="380">
          <cell r="DD380" t="str">
            <v/>
          </cell>
          <cell r="DF380" t="str">
            <v/>
          </cell>
          <cell r="DG380" t="str">
            <v/>
          </cell>
        </row>
        <row r="381">
          <cell r="DD381" t="str">
            <v/>
          </cell>
          <cell r="DF381" t="str">
            <v/>
          </cell>
          <cell r="DG381" t="str">
            <v/>
          </cell>
        </row>
        <row r="382">
          <cell r="DD382" t="str">
            <v/>
          </cell>
          <cell r="DF382" t="str">
            <v/>
          </cell>
          <cell r="DG382" t="str">
            <v/>
          </cell>
        </row>
        <row r="383">
          <cell r="DD383" t="str">
            <v/>
          </cell>
          <cell r="DF383" t="str">
            <v/>
          </cell>
          <cell r="DG383" t="str">
            <v/>
          </cell>
        </row>
        <row r="384">
          <cell r="DD384" t="str">
            <v/>
          </cell>
          <cell r="DF384" t="str">
            <v/>
          </cell>
          <cell r="DG384" t="str">
            <v/>
          </cell>
        </row>
        <row r="385">
          <cell r="DD385" t="str">
            <v/>
          </cell>
          <cell r="DF385" t="str">
            <v/>
          </cell>
          <cell r="DG385" t="str">
            <v/>
          </cell>
        </row>
        <row r="386">
          <cell r="DD386" t="str">
            <v/>
          </cell>
          <cell r="DF386" t="str">
            <v/>
          </cell>
          <cell r="DG386" t="str">
            <v/>
          </cell>
        </row>
        <row r="387">
          <cell r="DD387" t="str">
            <v/>
          </cell>
          <cell r="DF387" t="str">
            <v/>
          </cell>
          <cell r="DG387" t="str">
            <v/>
          </cell>
        </row>
        <row r="388">
          <cell r="DD388" t="str">
            <v/>
          </cell>
          <cell r="DF388" t="str">
            <v/>
          </cell>
          <cell r="DG388" t="str">
            <v/>
          </cell>
        </row>
        <row r="389">
          <cell r="DD389" t="str">
            <v/>
          </cell>
          <cell r="DF389" t="str">
            <v/>
          </cell>
          <cell r="DG389" t="str">
            <v/>
          </cell>
        </row>
        <row r="390">
          <cell r="DD390" t="str">
            <v/>
          </cell>
          <cell r="DF390" t="str">
            <v/>
          </cell>
          <cell r="DG390" t="str">
            <v/>
          </cell>
        </row>
        <row r="391">
          <cell r="DD391" t="str">
            <v/>
          </cell>
          <cell r="DF391" t="str">
            <v/>
          </cell>
          <cell r="DG391" t="str">
            <v/>
          </cell>
        </row>
        <row r="392">
          <cell r="DD392" t="str">
            <v/>
          </cell>
          <cell r="DF392" t="str">
            <v/>
          </cell>
          <cell r="DG392" t="str">
            <v/>
          </cell>
        </row>
        <row r="393">
          <cell r="DD393" t="str">
            <v/>
          </cell>
          <cell r="DF393" t="str">
            <v/>
          </cell>
          <cell r="DG393" t="str">
            <v/>
          </cell>
        </row>
        <row r="394">
          <cell r="DD394" t="str">
            <v/>
          </cell>
          <cell r="DF394" t="str">
            <v/>
          </cell>
          <cell r="DG394" t="str">
            <v/>
          </cell>
        </row>
        <row r="395">
          <cell r="DD395" t="str">
            <v/>
          </cell>
          <cell r="DF395" t="str">
            <v/>
          </cell>
          <cell r="DG395" t="str">
            <v/>
          </cell>
        </row>
        <row r="396">
          <cell r="DD396" t="str">
            <v/>
          </cell>
          <cell r="DF396" t="str">
            <v/>
          </cell>
          <cell r="DG396" t="str">
            <v/>
          </cell>
        </row>
        <row r="397">
          <cell r="DD397" t="str">
            <v/>
          </cell>
          <cell r="DF397" t="str">
            <v/>
          </cell>
          <cell r="DG397" t="str">
            <v/>
          </cell>
        </row>
        <row r="398">
          <cell r="DD398" t="str">
            <v/>
          </cell>
          <cell r="DF398" t="str">
            <v/>
          </cell>
          <cell r="DG398" t="str">
            <v/>
          </cell>
        </row>
        <row r="399">
          <cell r="DD399" t="str">
            <v/>
          </cell>
          <cell r="DF399" t="str">
            <v/>
          </cell>
          <cell r="DG399" t="str">
            <v/>
          </cell>
        </row>
        <row r="400">
          <cell r="DD400" t="str">
            <v/>
          </cell>
          <cell r="DF400" t="str">
            <v/>
          </cell>
          <cell r="DG400" t="str">
            <v/>
          </cell>
        </row>
        <row r="401">
          <cell r="DD401" t="str">
            <v/>
          </cell>
          <cell r="DF401" t="str">
            <v/>
          </cell>
          <cell r="DG401" t="str">
            <v/>
          </cell>
        </row>
        <row r="402">
          <cell r="DD402" t="str">
            <v/>
          </cell>
          <cell r="DF402" t="str">
            <v/>
          </cell>
          <cell r="DG402" t="str">
            <v/>
          </cell>
        </row>
        <row r="403">
          <cell r="DD403" t="str">
            <v/>
          </cell>
          <cell r="DF403" t="str">
            <v/>
          </cell>
          <cell r="DG403" t="str">
            <v/>
          </cell>
        </row>
        <row r="404">
          <cell r="DD404" t="str">
            <v/>
          </cell>
          <cell r="DF404" t="str">
            <v/>
          </cell>
          <cell r="DG404" t="str">
            <v/>
          </cell>
        </row>
        <row r="405">
          <cell r="DD405" t="str">
            <v/>
          </cell>
          <cell r="DF405" t="str">
            <v/>
          </cell>
          <cell r="DG405" t="str">
            <v/>
          </cell>
        </row>
        <row r="406">
          <cell r="DD406" t="str">
            <v/>
          </cell>
          <cell r="DF406" t="str">
            <v/>
          </cell>
          <cell r="DG406" t="str">
            <v/>
          </cell>
        </row>
        <row r="407">
          <cell r="DD407" t="str">
            <v/>
          </cell>
          <cell r="DF407" t="str">
            <v/>
          </cell>
          <cell r="DG407" t="str">
            <v/>
          </cell>
        </row>
        <row r="408">
          <cell r="DD408" t="str">
            <v/>
          </cell>
          <cell r="DF408" t="str">
            <v/>
          </cell>
          <cell r="DG408" t="str">
            <v/>
          </cell>
        </row>
        <row r="409">
          <cell r="DD409" t="str">
            <v/>
          </cell>
          <cell r="DF409" t="str">
            <v/>
          </cell>
          <cell r="DG409" t="str">
            <v/>
          </cell>
        </row>
        <row r="410">
          <cell r="DD410" t="str">
            <v/>
          </cell>
          <cell r="DF410" t="str">
            <v/>
          </cell>
          <cell r="DG410" t="str">
            <v/>
          </cell>
        </row>
        <row r="411">
          <cell r="DD411" t="str">
            <v/>
          </cell>
          <cell r="DF411" t="str">
            <v/>
          </cell>
          <cell r="DG411" t="str">
            <v/>
          </cell>
        </row>
        <row r="412">
          <cell r="DD412" t="str">
            <v/>
          </cell>
          <cell r="DF412" t="str">
            <v/>
          </cell>
          <cell r="DG412" t="str">
            <v/>
          </cell>
        </row>
        <row r="413">
          <cell r="DD413" t="str">
            <v/>
          </cell>
          <cell r="DF413" t="str">
            <v/>
          </cell>
          <cell r="DG413" t="str">
            <v/>
          </cell>
        </row>
        <row r="414">
          <cell r="DD414" t="str">
            <v/>
          </cell>
          <cell r="DF414" t="str">
            <v/>
          </cell>
          <cell r="DG414" t="str">
            <v/>
          </cell>
        </row>
        <row r="415">
          <cell r="DD415" t="str">
            <v/>
          </cell>
          <cell r="DF415" t="str">
            <v/>
          </cell>
          <cell r="DG415" t="str">
            <v/>
          </cell>
        </row>
        <row r="416">
          <cell r="DD416" t="str">
            <v/>
          </cell>
          <cell r="DF416" t="str">
            <v/>
          </cell>
          <cell r="DG416" t="str">
            <v/>
          </cell>
        </row>
        <row r="417">
          <cell r="DD417" t="str">
            <v/>
          </cell>
          <cell r="DF417" t="str">
            <v/>
          </cell>
          <cell r="DG417" t="str">
            <v/>
          </cell>
        </row>
        <row r="418">
          <cell r="DD418" t="str">
            <v/>
          </cell>
          <cell r="DF418" t="str">
            <v/>
          </cell>
          <cell r="DG418" t="str">
            <v/>
          </cell>
        </row>
        <row r="419">
          <cell r="DD419" t="str">
            <v/>
          </cell>
          <cell r="DF419" t="str">
            <v/>
          </cell>
          <cell r="DG419" t="str">
            <v/>
          </cell>
        </row>
        <row r="420">
          <cell r="DD420" t="str">
            <v/>
          </cell>
          <cell r="DF420" t="str">
            <v/>
          </cell>
          <cell r="DG420" t="str">
            <v/>
          </cell>
        </row>
        <row r="421">
          <cell r="DD421" t="str">
            <v/>
          </cell>
          <cell r="DF421" t="str">
            <v/>
          </cell>
          <cell r="DG421" t="str">
            <v/>
          </cell>
        </row>
        <row r="422">
          <cell r="DD422" t="str">
            <v/>
          </cell>
          <cell r="DF422" t="str">
            <v/>
          </cell>
          <cell r="DG422" t="str">
            <v/>
          </cell>
        </row>
        <row r="423">
          <cell r="DD423" t="str">
            <v/>
          </cell>
          <cell r="DF423" t="str">
            <v/>
          </cell>
          <cell r="DG423" t="str">
            <v/>
          </cell>
        </row>
        <row r="424">
          <cell r="DD424" t="str">
            <v/>
          </cell>
          <cell r="DF424" t="str">
            <v/>
          </cell>
          <cell r="DG424" t="str">
            <v/>
          </cell>
        </row>
        <row r="425">
          <cell r="DD425" t="str">
            <v/>
          </cell>
          <cell r="DF425" t="str">
            <v/>
          </cell>
          <cell r="DG425" t="str">
            <v/>
          </cell>
        </row>
        <row r="426">
          <cell r="DD426" t="str">
            <v/>
          </cell>
          <cell r="DF426" t="str">
            <v/>
          </cell>
          <cell r="DG426" t="str">
            <v/>
          </cell>
        </row>
        <row r="427">
          <cell r="DD427" t="str">
            <v/>
          </cell>
          <cell r="DF427" t="str">
            <v/>
          </cell>
          <cell r="DG427" t="str">
            <v/>
          </cell>
        </row>
        <row r="428">
          <cell r="DD428" t="str">
            <v/>
          </cell>
          <cell r="DF428" t="str">
            <v/>
          </cell>
          <cell r="DG428" t="str">
            <v/>
          </cell>
        </row>
        <row r="429">
          <cell r="DD429" t="str">
            <v/>
          </cell>
          <cell r="DF429" t="str">
            <v/>
          </cell>
          <cell r="DG429" t="str">
            <v/>
          </cell>
        </row>
        <row r="430">
          <cell r="DD430" t="str">
            <v/>
          </cell>
          <cell r="DF430" t="str">
            <v/>
          </cell>
          <cell r="DG430" t="str">
            <v/>
          </cell>
        </row>
        <row r="431">
          <cell r="DD431" t="str">
            <v/>
          </cell>
          <cell r="DF431" t="str">
            <v/>
          </cell>
          <cell r="DG431" t="str">
            <v/>
          </cell>
        </row>
        <row r="432">
          <cell r="DD432" t="str">
            <v/>
          </cell>
          <cell r="DF432" t="str">
            <v/>
          </cell>
          <cell r="DG432" t="str">
            <v/>
          </cell>
        </row>
        <row r="433">
          <cell r="DD433" t="str">
            <v/>
          </cell>
          <cell r="DF433" t="str">
            <v/>
          </cell>
          <cell r="DG433" t="str">
            <v/>
          </cell>
        </row>
        <row r="434">
          <cell r="DD434" t="str">
            <v/>
          </cell>
          <cell r="DF434" t="str">
            <v/>
          </cell>
          <cell r="DG434" t="str">
            <v/>
          </cell>
        </row>
        <row r="435">
          <cell r="DD435" t="str">
            <v/>
          </cell>
          <cell r="DF435" t="str">
            <v/>
          </cell>
          <cell r="DG435" t="str">
            <v/>
          </cell>
        </row>
        <row r="436">
          <cell r="DD436" t="str">
            <v/>
          </cell>
          <cell r="DF436" t="str">
            <v/>
          </cell>
          <cell r="DG436" t="str">
            <v/>
          </cell>
        </row>
        <row r="437">
          <cell r="DD437" t="str">
            <v/>
          </cell>
          <cell r="DF437" t="str">
            <v/>
          </cell>
          <cell r="DG437" t="str">
            <v/>
          </cell>
        </row>
        <row r="438">
          <cell r="DD438" t="str">
            <v/>
          </cell>
          <cell r="DF438" t="str">
            <v/>
          </cell>
          <cell r="DG438" t="str">
            <v/>
          </cell>
        </row>
        <row r="439">
          <cell r="DD439" t="str">
            <v/>
          </cell>
          <cell r="DF439" t="str">
            <v/>
          </cell>
          <cell r="DG439" t="str">
            <v/>
          </cell>
        </row>
        <row r="440">
          <cell r="DD440" t="str">
            <v/>
          </cell>
          <cell r="DF440" t="str">
            <v/>
          </cell>
          <cell r="DG440" t="str">
            <v/>
          </cell>
        </row>
        <row r="441">
          <cell r="DD441" t="str">
            <v/>
          </cell>
          <cell r="DF441" t="str">
            <v/>
          </cell>
          <cell r="DG441" t="str">
            <v/>
          </cell>
        </row>
        <row r="442">
          <cell r="DD442" t="str">
            <v/>
          </cell>
          <cell r="DF442" t="str">
            <v/>
          </cell>
          <cell r="DG442" t="str">
            <v/>
          </cell>
        </row>
        <row r="443">
          <cell r="DD443" t="str">
            <v/>
          </cell>
          <cell r="DF443" t="str">
            <v/>
          </cell>
          <cell r="DG443" t="str">
            <v/>
          </cell>
        </row>
        <row r="444">
          <cell r="DD444" t="str">
            <v/>
          </cell>
          <cell r="DF444" t="str">
            <v/>
          </cell>
          <cell r="DG444" t="str">
            <v/>
          </cell>
        </row>
        <row r="445">
          <cell r="DD445" t="str">
            <v/>
          </cell>
          <cell r="DF445" t="str">
            <v/>
          </cell>
          <cell r="DG445" t="str">
            <v/>
          </cell>
        </row>
        <row r="446">
          <cell r="DD446" t="str">
            <v/>
          </cell>
          <cell r="DF446" t="str">
            <v/>
          </cell>
          <cell r="DG446" t="str">
            <v/>
          </cell>
        </row>
        <row r="447">
          <cell r="DD447" t="str">
            <v/>
          </cell>
          <cell r="DF447" t="str">
            <v/>
          </cell>
          <cell r="DG447" t="str">
            <v/>
          </cell>
        </row>
        <row r="448">
          <cell r="DD448" t="str">
            <v/>
          </cell>
          <cell r="DF448" t="str">
            <v/>
          </cell>
          <cell r="DG448" t="str">
            <v/>
          </cell>
        </row>
        <row r="449">
          <cell r="DD449" t="str">
            <v/>
          </cell>
          <cell r="DF449" t="str">
            <v/>
          </cell>
          <cell r="DG449" t="str">
            <v/>
          </cell>
        </row>
        <row r="450">
          <cell r="DD450" t="str">
            <v/>
          </cell>
          <cell r="DF450" t="str">
            <v/>
          </cell>
          <cell r="DG450" t="str">
            <v/>
          </cell>
        </row>
        <row r="451">
          <cell r="DD451" t="str">
            <v/>
          </cell>
          <cell r="DF451" t="str">
            <v/>
          </cell>
          <cell r="DG451" t="str">
            <v/>
          </cell>
        </row>
        <row r="452">
          <cell r="DD452" t="str">
            <v/>
          </cell>
          <cell r="DF452" t="str">
            <v/>
          </cell>
          <cell r="DG452" t="str">
            <v/>
          </cell>
        </row>
        <row r="453">
          <cell r="DD453" t="str">
            <v/>
          </cell>
          <cell r="DF453" t="str">
            <v/>
          </cell>
          <cell r="DG453" t="str">
            <v/>
          </cell>
        </row>
        <row r="454">
          <cell r="DD454" t="str">
            <v/>
          </cell>
          <cell r="DF454" t="str">
            <v/>
          </cell>
          <cell r="DG454" t="str">
            <v/>
          </cell>
        </row>
        <row r="455">
          <cell r="DD455" t="str">
            <v/>
          </cell>
          <cell r="DF455" t="str">
            <v/>
          </cell>
          <cell r="DG455" t="str">
            <v/>
          </cell>
        </row>
        <row r="456">
          <cell r="DD456" t="str">
            <v/>
          </cell>
          <cell r="DF456" t="str">
            <v/>
          </cell>
          <cell r="DG456" t="str">
            <v/>
          </cell>
        </row>
        <row r="457">
          <cell r="DD457" t="str">
            <v/>
          </cell>
          <cell r="DF457" t="str">
            <v/>
          </cell>
          <cell r="DG457" t="str">
            <v/>
          </cell>
        </row>
        <row r="458">
          <cell r="DD458" t="str">
            <v/>
          </cell>
          <cell r="DF458" t="str">
            <v/>
          </cell>
          <cell r="DG458" t="str">
            <v/>
          </cell>
        </row>
        <row r="459">
          <cell r="DD459" t="str">
            <v/>
          </cell>
          <cell r="DF459" t="str">
            <v/>
          </cell>
          <cell r="DG459" t="str">
            <v/>
          </cell>
        </row>
        <row r="460">
          <cell r="DD460" t="str">
            <v/>
          </cell>
          <cell r="DF460" t="str">
            <v/>
          </cell>
          <cell r="DG460" t="str">
            <v/>
          </cell>
        </row>
        <row r="461">
          <cell r="DD461" t="str">
            <v/>
          </cell>
          <cell r="DF461" t="str">
            <v/>
          </cell>
          <cell r="DG461" t="str">
            <v/>
          </cell>
        </row>
        <row r="462">
          <cell r="DD462" t="str">
            <v/>
          </cell>
          <cell r="DF462" t="str">
            <v/>
          </cell>
          <cell r="DG462" t="str">
            <v/>
          </cell>
        </row>
        <row r="463">
          <cell r="DD463" t="str">
            <v/>
          </cell>
          <cell r="DF463" t="str">
            <v/>
          </cell>
          <cell r="DG463" t="str">
            <v/>
          </cell>
        </row>
        <row r="464">
          <cell r="DD464" t="str">
            <v/>
          </cell>
          <cell r="DF464" t="str">
            <v/>
          </cell>
          <cell r="DG464" t="str">
            <v/>
          </cell>
        </row>
        <row r="465">
          <cell r="DD465" t="str">
            <v/>
          </cell>
          <cell r="DF465" t="str">
            <v/>
          </cell>
          <cell r="DG465" t="str">
            <v/>
          </cell>
        </row>
        <row r="466">
          <cell r="DD466" t="str">
            <v/>
          </cell>
          <cell r="DF466" t="str">
            <v/>
          </cell>
          <cell r="DG466" t="str">
            <v/>
          </cell>
        </row>
        <row r="467">
          <cell r="DD467" t="str">
            <v/>
          </cell>
          <cell r="DF467" t="str">
            <v/>
          </cell>
          <cell r="DG467" t="str">
            <v/>
          </cell>
        </row>
        <row r="468">
          <cell r="DD468" t="str">
            <v/>
          </cell>
          <cell r="DF468" t="str">
            <v/>
          </cell>
          <cell r="DG468" t="str">
            <v/>
          </cell>
        </row>
        <row r="469">
          <cell r="DD469" t="str">
            <v/>
          </cell>
          <cell r="DF469" t="str">
            <v/>
          </cell>
          <cell r="DG469" t="str">
            <v/>
          </cell>
        </row>
        <row r="470">
          <cell r="DD470" t="str">
            <v/>
          </cell>
          <cell r="DF470" t="str">
            <v/>
          </cell>
          <cell r="DG470" t="str">
            <v/>
          </cell>
        </row>
        <row r="471">
          <cell r="DD471" t="str">
            <v/>
          </cell>
          <cell r="DF471" t="str">
            <v/>
          </cell>
          <cell r="DG471" t="str">
            <v/>
          </cell>
        </row>
        <row r="472">
          <cell r="DD472" t="str">
            <v/>
          </cell>
          <cell r="DF472" t="str">
            <v/>
          </cell>
          <cell r="DG472" t="str">
            <v/>
          </cell>
        </row>
        <row r="473">
          <cell r="DD473" t="str">
            <v/>
          </cell>
          <cell r="DF473" t="str">
            <v/>
          </cell>
          <cell r="DG473" t="str">
            <v/>
          </cell>
        </row>
        <row r="474">
          <cell r="DD474" t="str">
            <v/>
          </cell>
          <cell r="DF474" t="str">
            <v/>
          </cell>
          <cell r="DG474" t="str">
            <v/>
          </cell>
        </row>
        <row r="475">
          <cell r="DD475" t="str">
            <v/>
          </cell>
          <cell r="DF475" t="str">
            <v/>
          </cell>
          <cell r="DG475" t="str">
            <v/>
          </cell>
        </row>
        <row r="476">
          <cell r="DD476" t="str">
            <v/>
          </cell>
          <cell r="DF476" t="str">
            <v/>
          </cell>
          <cell r="DG476" t="str">
            <v/>
          </cell>
        </row>
        <row r="477">
          <cell r="DD477" t="str">
            <v/>
          </cell>
          <cell r="DF477" t="str">
            <v/>
          </cell>
          <cell r="DG477" t="str">
            <v/>
          </cell>
        </row>
        <row r="478">
          <cell r="DD478" t="str">
            <v/>
          </cell>
          <cell r="DF478" t="str">
            <v/>
          </cell>
          <cell r="DG478" t="str">
            <v/>
          </cell>
        </row>
        <row r="479">
          <cell r="DD479" t="str">
            <v/>
          </cell>
          <cell r="DF479" t="str">
            <v/>
          </cell>
          <cell r="DG479" t="str">
            <v/>
          </cell>
        </row>
        <row r="480">
          <cell r="DD480" t="str">
            <v/>
          </cell>
          <cell r="DF480" t="str">
            <v/>
          </cell>
          <cell r="DG480" t="str">
            <v/>
          </cell>
        </row>
        <row r="481">
          <cell r="DD481" t="str">
            <v/>
          </cell>
          <cell r="DF481" t="str">
            <v/>
          </cell>
          <cell r="DG481" t="str">
            <v/>
          </cell>
        </row>
        <row r="482">
          <cell r="DD482" t="str">
            <v/>
          </cell>
          <cell r="DF482" t="str">
            <v/>
          </cell>
          <cell r="DG482" t="str">
            <v/>
          </cell>
        </row>
        <row r="483">
          <cell r="DD483" t="str">
            <v/>
          </cell>
          <cell r="DF483" t="str">
            <v/>
          </cell>
          <cell r="DG483" t="str">
            <v/>
          </cell>
        </row>
        <row r="484">
          <cell r="DD484" t="str">
            <v/>
          </cell>
          <cell r="DF484" t="str">
            <v/>
          </cell>
          <cell r="DG484" t="str">
            <v/>
          </cell>
        </row>
        <row r="485">
          <cell r="DD485" t="str">
            <v/>
          </cell>
          <cell r="DF485" t="str">
            <v/>
          </cell>
          <cell r="DG485" t="str">
            <v/>
          </cell>
        </row>
        <row r="486">
          <cell r="DD486" t="str">
            <v/>
          </cell>
          <cell r="DF486" t="str">
            <v/>
          </cell>
          <cell r="DG486" t="str">
            <v/>
          </cell>
        </row>
        <row r="487">
          <cell r="DD487" t="str">
            <v/>
          </cell>
          <cell r="DF487" t="str">
            <v/>
          </cell>
          <cell r="DG487" t="str">
            <v/>
          </cell>
        </row>
        <row r="488">
          <cell r="DD488" t="str">
            <v/>
          </cell>
          <cell r="DF488" t="str">
            <v/>
          </cell>
          <cell r="DG488" t="str">
            <v/>
          </cell>
        </row>
        <row r="489">
          <cell r="DD489" t="str">
            <v/>
          </cell>
          <cell r="DF489" t="str">
            <v/>
          </cell>
          <cell r="DG489" t="str">
            <v/>
          </cell>
        </row>
        <row r="490">
          <cell r="DD490" t="str">
            <v/>
          </cell>
          <cell r="DF490" t="str">
            <v/>
          </cell>
          <cell r="DG490" t="str">
            <v/>
          </cell>
        </row>
        <row r="491">
          <cell r="DD491" t="str">
            <v/>
          </cell>
          <cell r="DF491" t="str">
            <v/>
          </cell>
          <cell r="DG491" t="str">
            <v/>
          </cell>
        </row>
        <row r="492">
          <cell r="DD492" t="str">
            <v/>
          </cell>
          <cell r="DF492" t="str">
            <v/>
          </cell>
          <cell r="DG492" t="str">
            <v/>
          </cell>
        </row>
        <row r="493">
          <cell r="DD493" t="str">
            <v/>
          </cell>
          <cell r="DF493" t="str">
            <v/>
          </cell>
          <cell r="DG493" t="str">
            <v/>
          </cell>
        </row>
        <row r="494">
          <cell r="DD494" t="str">
            <v/>
          </cell>
          <cell r="DF494" t="str">
            <v/>
          </cell>
          <cell r="DG494" t="str">
            <v/>
          </cell>
        </row>
        <row r="495">
          <cell r="DD495" t="str">
            <v/>
          </cell>
          <cell r="DF495" t="str">
            <v/>
          </cell>
          <cell r="DG495" t="str">
            <v/>
          </cell>
        </row>
        <row r="496">
          <cell r="DD496" t="str">
            <v/>
          </cell>
          <cell r="DF496" t="str">
            <v/>
          </cell>
          <cell r="DG496" t="str">
            <v/>
          </cell>
        </row>
        <row r="497">
          <cell r="DD497" t="str">
            <v/>
          </cell>
          <cell r="DF497" t="str">
            <v/>
          </cell>
          <cell r="DG497" t="str">
            <v/>
          </cell>
        </row>
        <row r="498">
          <cell r="DD498" t="str">
            <v/>
          </cell>
          <cell r="DF498" t="str">
            <v/>
          </cell>
          <cell r="DG498" t="str">
            <v/>
          </cell>
        </row>
        <row r="499">
          <cell r="DD499" t="str">
            <v/>
          </cell>
          <cell r="DF499" t="str">
            <v/>
          </cell>
          <cell r="DG499" t="str">
            <v/>
          </cell>
        </row>
        <row r="500">
          <cell r="DD500" t="str">
            <v/>
          </cell>
          <cell r="DF500" t="str">
            <v/>
          </cell>
          <cell r="DG500" t="str">
            <v/>
          </cell>
        </row>
        <row r="501">
          <cell r="DD501" t="str">
            <v/>
          </cell>
          <cell r="DF501" t="str">
            <v/>
          </cell>
          <cell r="DG501" t="str">
            <v/>
          </cell>
        </row>
        <row r="502">
          <cell r="DD502" t="str">
            <v/>
          </cell>
          <cell r="DF502" t="str">
            <v/>
          </cell>
          <cell r="DG502" t="str">
            <v/>
          </cell>
        </row>
        <row r="503">
          <cell r="DD503" t="str">
            <v/>
          </cell>
          <cell r="DF503" t="str">
            <v/>
          </cell>
          <cell r="DG503" t="str">
            <v/>
          </cell>
        </row>
        <row r="504">
          <cell r="DD504" t="str">
            <v/>
          </cell>
          <cell r="DF504" t="str">
            <v/>
          </cell>
          <cell r="DG504" t="str">
            <v/>
          </cell>
        </row>
        <row r="505">
          <cell r="DD505" t="str">
            <v/>
          </cell>
          <cell r="DF505" t="str">
            <v/>
          </cell>
          <cell r="DG505" t="str">
            <v/>
          </cell>
        </row>
        <row r="506">
          <cell r="DD506" t="str">
            <v/>
          </cell>
          <cell r="DF506" t="str">
            <v/>
          </cell>
          <cell r="DG506" t="str">
            <v/>
          </cell>
        </row>
        <row r="507">
          <cell r="DD507" t="str">
            <v/>
          </cell>
          <cell r="DF507" t="str">
            <v/>
          </cell>
          <cell r="DG507" t="str">
            <v/>
          </cell>
        </row>
        <row r="508">
          <cell r="DD508" t="str">
            <v/>
          </cell>
          <cell r="DF508" t="str">
            <v/>
          </cell>
          <cell r="DG508" t="str">
            <v/>
          </cell>
        </row>
        <row r="509">
          <cell r="DD509" t="str">
            <v/>
          </cell>
          <cell r="DF509" t="str">
            <v/>
          </cell>
          <cell r="DG509" t="str">
            <v/>
          </cell>
        </row>
        <row r="510">
          <cell r="DD510" t="str">
            <v/>
          </cell>
          <cell r="DF510" t="str">
            <v/>
          </cell>
          <cell r="DG510" t="str">
            <v/>
          </cell>
        </row>
        <row r="511">
          <cell r="DD511" t="str">
            <v/>
          </cell>
          <cell r="DF511" t="str">
            <v/>
          </cell>
          <cell r="DG511" t="str">
            <v/>
          </cell>
        </row>
        <row r="512">
          <cell r="DD512" t="str">
            <v/>
          </cell>
          <cell r="DF512" t="str">
            <v/>
          </cell>
          <cell r="DG512" t="str">
            <v/>
          </cell>
        </row>
        <row r="513">
          <cell r="DD513" t="str">
            <v/>
          </cell>
          <cell r="DF513" t="str">
            <v/>
          </cell>
          <cell r="DG513" t="str">
            <v/>
          </cell>
        </row>
        <row r="514">
          <cell r="DD514" t="str">
            <v/>
          </cell>
          <cell r="DF514" t="str">
            <v/>
          </cell>
          <cell r="DG514" t="str">
            <v/>
          </cell>
        </row>
        <row r="515">
          <cell r="DD515" t="str">
            <v/>
          </cell>
          <cell r="DF515" t="str">
            <v/>
          </cell>
          <cell r="DG515" t="str">
            <v/>
          </cell>
        </row>
        <row r="516">
          <cell r="DD516" t="str">
            <v/>
          </cell>
          <cell r="DF516" t="str">
            <v/>
          </cell>
          <cell r="DG516" t="str">
            <v/>
          </cell>
        </row>
        <row r="517">
          <cell r="DD517" t="str">
            <v/>
          </cell>
          <cell r="DF517" t="str">
            <v/>
          </cell>
          <cell r="DG517" t="str">
            <v/>
          </cell>
        </row>
        <row r="518">
          <cell r="DD518" t="str">
            <v/>
          </cell>
          <cell r="DF518" t="str">
            <v/>
          </cell>
          <cell r="DG518" t="str">
            <v/>
          </cell>
        </row>
        <row r="519">
          <cell r="DD519" t="str">
            <v/>
          </cell>
          <cell r="DF519" t="str">
            <v/>
          </cell>
          <cell r="DG519" t="str">
            <v/>
          </cell>
        </row>
        <row r="520">
          <cell r="DD520" t="str">
            <v/>
          </cell>
          <cell r="DF520" t="str">
            <v/>
          </cell>
          <cell r="DG520" t="str">
            <v/>
          </cell>
        </row>
        <row r="521">
          <cell r="DD521" t="str">
            <v/>
          </cell>
          <cell r="DF521" t="str">
            <v/>
          </cell>
          <cell r="DG521" t="str">
            <v/>
          </cell>
        </row>
        <row r="522">
          <cell r="DD522" t="str">
            <v/>
          </cell>
          <cell r="DF522" t="str">
            <v/>
          </cell>
          <cell r="DG522" t="str">
            <v/>
          </cell>
        </row>
        <row r="523">
          <cell r="DD523" t="str">
            <v/>
          </cell>
          <cell r="DF523" t="str">
            <v/>
          </cell>
          <cell r="DG523" t="str">
            <v/>
          </cell>
        </row>
        <row r="524">
          <cell r="DD524" t="str">
            <v/>
          </cell>
          <cell r="DF524" t="str">
            <v/>
          </cell>
          <cell r="DG524" t="str">
            <v/>
          </cell>
        </row>
        <row r="525">
          <cell r="DD525" t="str">
            <v/>
          </cell>
          <cell r="DF525" t="str">
            <v/>
          </cell>
          <cell r="DG525" t="str">
            <v/>
          </cell>
        </row>
        <row r="526">
          <cell r="DD526" t="str">
            <v/>
          </cell>
          <cell r="DF526" t="str">
            <v/>
          </cell>
          <cell r="DG526" t="str">
            <v/>
          </cell>
        </row>
        <row r="527">
          <cell r="DD527" t="e">
            <v>#REF!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A3140AB-77E2-4672-8C77-C98080146387}" name="Tableau4849" displayName="Tableau4849" ref="A6:AQ181" totalsRowShown="0">
  <autoFilter ref="A6:AQ181" xr:uid="{3A3140AB-77E2-4672-8C77-C98080146387}"/>
  <tableColumns count="43">
    <tableColumn id="1" xr3:uid="{63C15080-AEC5-434E-A0C3-F02F094901DB}" name="INDEX" dataDxfId="132" dataCellStyle="Normal 2"/>
    <tableColumn id="2" xr3:uid="{CCB9CD46-7A97-447D-9343-30F197653495}" name="open T" dataDxfId="131" dataCellStyle="Normal 2"/>
    <tableColumn id="3" xr3:uid="{403C3C5F-255D-4A9F-B81E-4AA8EA840D27}" name="COMPTE" dataCellStyle="Normal 2"/>
    <tableColumn id="4" xr3:uid="{256425FB-5C56-481B-910D-62CBE1CBC63B}" name="DEVISE" dataDxfId="130" dataCellStyle="Normal 2"/>
    <tableColumn id="5" xr3:uid="{E1884ACB-E99F-4294-AAE3-C653F26FE5CC}" name="COMMAND" dataDxfId="129" dataCellStyle="Normal 2"/>
    <tableColumn id="6" xr3:uid="{7EF9892D-2FD4-4862-AA0D-9381A4A57994}" name="PRICE" dataDxfId="128" dataCellStyle="Normal 2"/>
    <tableColumn id="7" xr3:uid="{00B24642-61DB-4CB2-87E5-D11A7D996BB2}" name="VOLUME" dataCellStyle="Normal 2"/>
    <tableColumn id="8" xr3:uid="{EBA85F86-D572-4919-ADF4-0661E07C0854}" name="IDENTITE" dataDxfId="127" dataCellStyle="Normal 2"/>
    <tableColumn id="9" xr3:uid="{6B2825FB-1B21-4A81-9844-5ABCBCA79348}" name="TP" dataDxfId="126" dataCellStyle="Normal 2">
      <calculatedColumnFormula>IF(IFERROR(_xlfn.XLOOKUP(Tableau4849[[#This Row],[SL]],'[1]Tickets (2)'!J3:J797,'[1]Tickets (2)'!I6:I800),"")=0,"",IFERROR(_xlfn.XLOOKUP(Tableau4849[[#This Row],[SL]],'[1]Tickets (2)'!J3:J797,'[1]Tickets (2)'!I6:I800),""))</calculatedColumnFormula>
    </tableColumn>
    <tableColumn id="10" xr3:uid="{2AFCA03A-976C-4B4A-8F49-53FE626C4BBF}" name="SL"/>
    <tableColumn id="11" xr3:uid="{524731D3-73DD-4227-BB43-CD904D124C51}" name="ETAT" dataDxfId="125" dataCellStyle="Normal 2">
      <calculatedColumnFormula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calculatedColumnFormula>
    </tableColumn>
    <tableColumn id="12" xr3:uid="{0ED76835-0922-40ED-8BC6-534EA6F7CA8C}" name="CLOSE" dataDxfId="124" dataCellStyle="Normal 2">
      <calculatedColumnFormula>IF(Tableau4849[[#This Row],[T CLOSE]]="","",IF(AND(IF(AND(ISNUMBER(SEARCH("BUY",Tableau4849[[#This Row],[COMPTE]]))),"BUY",IF(AND(ISNUMBER(SEARCH("SELL",Tableau4849[[#This Row],[COMPTE]]))),"SELL",""))="BUY",IF(AND(ISNUMBER(SEARCH("SELL",Tableau4849[[#This Row],[COMPTE]]))),Tableau4849[[#This Row],[IDENTITE]]+#REF!,IF(AND(ISNUMBER(SEARCH("BUY",Tableau4849[[#This Row],[COMPTE]]))),Tableau4849[[#This Row],[IDENTITE]]-#REF!,""))&gt;_xlfn.MINIFS('[1]Live (2)'!DG360:DG526,'[1]Live (2)'!DD362:DD528,"&gt;"&amp;Tableau4849[[#This Row],[open T]])),"LOSE",IF(AND(IF(AND(ISNUMBER(SEARCH("BUY",Tableau4849[[#This Row],[COMPTE]]))),"BUY",IF(AND(ISNUMBER(SEARCH("SELL",Tableau4849[[#This Row],[COMPTE]]))),"SELL",""))="SELL",_xlfn.MAXIFS('[1]Live (2)'!DF362:DF528,'[1]Live (2)'!DD362:DD528,$P$2&amp;Tableau4849[[#This Row],[open T]])&gt;IF(AND(ISNUMBER(SEARCH("SELL",Tableau4849[[#This Row],[COMPTE]]))),Tableau4849[[#This Row],[IDENTITE]]+#REF!,IF(AND(ISNUMBER(SEARCH("BUY",Tableau4849[[#This Row],[COMPTE]]))),Tableau4849[[#This Row],[IDENTITE]]-#REF!,""))),"LOSE","")))</calculatedColumnFormula>
    </tableColumn>
    <tableColumn id="13" xr3:uid="{E0A2B7E2-B8FC-4FA7-B1FE-2623D1FD0852}" name="T CLOSE" dataDxfId="123"/>
    <tableColumn id="15" xr3:uid="{2866669E-62FB-4FA0-83D2-44C23C628F91}" name="PP" dataDxfId="122">
      <calculatedColumnFormula>IF(Tableau4849[[#This Row],[T CLOSE]]&gt;[1]CONFIGURATION!$K$4,Tableau4849[[#This Row],[IDENTITE]],"")</calculatedColumnFormula>
    </tableColumn>
    <tableColumn id="14" xr3:uid="{5471C242-8086-4430-8753-ED90BCBD3983}" name="T WINNER" dataDxfId="121" dataCellStyle="Normal 2">
      <calculatedColumnFormula>IFERROR(Tableau4849[[#This Row],[SL]]/(Tableau4849[[#This Row],[VOLUME]]/$I$5),0)</calculatedColumnFormula>
    </tableColumn>
    <tableColumn id="16" xr3:uid="{9B39CF8F-A47C-42AE-AEC6-7C1ED44459AF}" name="BG" dataDxfId="120" dataCellStyle="Normal 2">
      <calculatedColumnFormula>Tableau4849[[#This Row],[COMMAND]]</calculatedColumnFormula>
    </tableColumn>
    <tableColumn id="17" xr3:uid="{6553D96E-828E-4DE3-8EFF-386FA9127867}" name="Colonne5" dataDxfId="119" dataCellStyle="Normal 2">
      <calculatedColumnFormula>IFERROR(IF(IFERROR(VALUE(RIGHT(Tableau4849[[#This Row],[IDENTITE]],2)),Tableau4849[[#This Row],[IDENTITE]]-2)&gt;=1,LEFT(Tableau4849[[#This Row],[IDENTITE]],LEN(Tableau4849[[#This Row],[IDENTITE]])-2),""),Tableau4849[[#This Row],[IDENTITE]])</calculatedColumnFormula>
    </tableColumn>
    <tableColumn id="18" xr3:uid="{18723113-85C6-43FD-91A6-972B158B88A3}" name="0,5" dataDxfId="118" dataCellStyle="Normal 2">
      <calculatedColumnFormula>IF(Tableau4849[[#This Row],[INDEX]]&lt;3,"",SUMIFS(Tableau4849[SL],Tableau4849[Colonne5],Tableau4849[[#This Row],[Colonne5]]))</calculatedColumnFormula>
    </tableColumn>
    <tableColumn id="19" xr3:uid="{4469CEE5-F5A5-4111-9DF0-042220D723F7}" name="1" dataDxfId="117" dataCellStyle="Normal 2">
      <calculatedColumnFormula>IF(Tableau4849[[#This Row],[ETAT]]="LOSE",IF(IFERROR(ABS(SUBSTITUTE(Tableau4849[[#This Row],[PRICE]],".",",")-'[1]Deal ticket'!$B$16)*1000,"")&lt;=$S$5,"GO","WAIT"),"")</calculatedColumnFormula>
    </tableColumn>
    <tableColumn id="20" xr3:uid="{11E73EC0-3AFF-47FD-B0E3-4D5BDFD86920}" name="ATTEINT" dataDxfId="116" dataCellStyle="Normal 2">
      <calculatedColumnFormula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calculatedColumnFormula>
    </tableColumn>
    <tableColumn id="21" xr3:uid="{74C6A5CA-211B-4633-9DF8-FADDA22F45B5}" name="2" dataDxfId="115" dataCellStyle="Normal 2">
      <calculatedColumnFormula>IF(Tableau4849[[#This Row],[ETAT]]="LOSE",IF(IFERROR(ABS(SUBSTITUTE(Tableau4849[[#This Row],[PRICE]],".",",")-'[1]Deal ticket'!$B$16)*1000,"")&lt;=$U$5,"GO","WAIT"),"")</calculatedColumnFormula>
    </tableColumn>
    <tableColumn id="22" xr3:uid="{9947C675-9E3C-4B6C-AC26-BFE3A940D5B6}" name="2,5" dataDxfId="114" dataCellStyle="Normal 2">
      <calculatedColumnFormula>IF(Tableau4849[[#This Row],[INDEX]]&lt;3,"",SUMIFS(Tableau4849[SL],Tableau4849[Colonne5],Tableau4849[[#This Row],[Colonne5]])+$S$4)</calculatedColumnFormula>
    </tableColumn>
    <tableColumn id="23" xr3:uid="{12ABE5B3-86CC-4C37-B8F2-881DE2532797}" name="3" dataDxfId="113" dataCellStyle="Normal 2">
      <calculatedColumnFormula>IF(Tableau4849[[#This Row],[ETAT]]="LOSE",IF(IFERROR(ABS(SUBSTITUTE(Tableau4849[[#This Row],[PRICE]],".",",")-'[1]Deal ticket'!$B$16)*1000,"")&lt;=$W$5,"GO","WAIT"),"")</calculatedColumnFormula>
    </tableColumn>
    <tableColumn id="24" xr3:uid="{8C42717A-8718-443B-89BA-60A7F227EE05}" name="Colonne1" dataDxfId="112" dataCellStyle="Normal 2">
      <calculatedColumnFormula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calculatedColumnFormula>
    </tableColumn>
    <tableColumn id="25" xr3:uid="{0E5E1840-6EEE-4721-AD77-A2DCC7EE545F}" name="3,6" dataDxfId="111" dataCellStyle="Normal 2">
      <calculatedColumnFormula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calculatedColumnFormula>
    </tableColumn>
    <tableColumn id="26" xr3:uid="{3E3546EE-816D-43CD-807A-5544FDB137DC}" name="3,7" dataDxfId="110" dataCellStyle="Normal 2">
      <calculatedColumnFormula>IF(Tableau4849[[#This Row],[INDEX]]&lt;3,"",IF(OR(_xlfn.MAXIFS(Tableau4849[T CLOSE],Tableau4849[Colonne5],Tableau4849[[#This Row],[Colonne5]])&gt;=$S$3),$Z$4,$S$3-_xlfn.MAXIFS(Tableau4849[T CLOSE],Tableau4849[Colonne5],Tableau4849[[#This Row],[Colonne5]])))</calculatedColumnFormula>
    </tableColumn>
    <tableColumn id="27" xr3:uid="{85D5CDA4-F034-4458-96B1-F97B4EBCA344}" name="3,8" dataDxfId="109" dataCellStyle="Normal 2">
      <calculatedColumnFormula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calculatedColumnFormula>
    </tableColumn>
    <tableColumn id="28" xr3:uid="{4C09FFA0-5CFB-445C-93D8-BFE47E443331}" name="REPOSITION" dataDxfId="108" dataCellStyle="Normal 2">
      <calculatedColumnFormula>IF(AND(Tableau4849[[#This Row],[3,8]]=1),Tableau4849[[#This Row],[INDEX]],"")</calculatedColumnFormula>
    </tableColumn>
    <tableColumn id="29" xr3:uid="{682938CD-8784-46F2-A2EF-CD722D1B0BF8}" name="BUYON" dataDxfId="107" dataCellStyle="Normal 2">
      <calculatedColumnFormula>IF(IFERROR(_xlfn.XLOOKUP(Tableau4849[[#This Row],[IDENTITE]],[1]!Tableau47[GLOBUY],[1]!Tableau47[GLOBUY]),"")="","",1)</calculatedColumnFormula>
    </tableColumn>
    <tableColumn id="30" xr3:uid="{A667F18A-3CDD-48C3-927C-FE0174F895C3}" name="SELLON" dataDxfId="106" dataCellStyle="Normal 2">
      <calculatedColumnFormula>IF(IFERROR(_xlfn.XLOOKUP(Tableau4849[[#This Row],[IDENTITE]],[1]!Tableau47[GLOSELL],[1]!Tableau47[GLOSELL]),"")="","",1)</calculatedColumnFormula>
    </tableColumn>
    <tableColumn id="31" xr3:uid="{353052B5-F054-4008-8DFA-2E12479BE7A3}" name="Colonne4" dataDxfId="105" dataCellStyle="Normal 2"/>
    <tableColumn id="32" xr3:uid="{B05633C7-F5DB-4694-A96A-D516BB89FFBA}" name="Colonne42" dataDxfId="104" dataCellStyle="Normal 2">
      <calculatedColumnFormula>IF(Tableau4849[[#This Row],[INDEX]]&lt;3,"",IF(Tableau4849[[#This Row],[COMMAND]]="","",IF('[1]Bar history'!$AA$33=1,1,"")))</calculatedColumnFormula>
    </tableColumn>
    <tableColumn id="33" xr3:uid="{7A2EB73D-1157-47BA-B803-1A6FED08B901}" name="Colonne43" dataDxfId="103" dataCellStyle="Normal 2"/>
    <tableColumn id="34" xr3:uid="{EC1A9BB1-EF73-4077-A451-3656AF31327F}" name="Colonne44" dataDxfId="102" dataCellStyle="Normal 2">
      <calculatedColumnFormula>IF(IFERROR(_xlfn.XLOOKUP(Tableau4849[[#This Row],[IDENTITE]],[1]!Tableau47[COMMENTAIRE],[1]!Tableau47[CLOTURE]),"")=[1]PARAMETRE!$BK$31,Tableau4849[[#This Row],[INDEX]],"")</calculatedColumnFormula>
    </tableColumn>
    <tableColumn id="35" xr3:uid="{38F1A8B3-93B3-4B80-9567-C3ABFC559D1E}" name="Colonne45" dataDxfId="101" dataCellStyle="Normal 2"/>
    <tableColumn id="36" xr3:uid="{C6FDBE67-2E2B-476B-8057-13B916FE0BFB}" name="COMMANDE" dataDxfId="7" dataCellStyle="Normal 2">
      <calculatedColumnFormula>IF(AND(ISNUMBER(SEARCH("BUY",Tableau4849[[#This Row],[COMMAND]]))),"BUYSTOP",IF(AND(ISNUMBER(SEARCH("SELL",Tableau4849[[#This Row],[COMMAND]]))),"SELLSTOP",""))</calculatedColumnFormula>
    </tableColumn>
    <tableColumn id="37" xr3:uid="{D9411E70-A286-42EC-860E-78071D374BB5}" name="PRIX" dataDxfId="6" dataCellStyle="Normal 2">
      <calculatedColumnFormula>IFERROR(SUBSTITUTE(Tableau4849[[#This Row],[PRICE]],",","."),"")</calculatedColumnFormula>
    </tableColumn>
    <tableColumn id="40" xr3:uid="{A0B77BF7-D282-4F00-85DE-B1583060B568}" name="IDENTITE2" dataDxfId="3" dataCellStyle="Normal 2">
      <calculatedColumnFormula>IF(Tableau4849[[#This Row],[INDEX]]&lt;3,"",Tableau4849[[#This Row],[IDENTITE]])</calculatedColumnFormula>
    </tableColumn>
    <tableColumn id="38" xr3:uid="{32A98C12-2307-42D2-B8FD-83CF713A5F99}" name="DEVISE2" dataDxfId="5" dataCellStyle="Normal 2">
      <calculatedColumnFormula>IF(Tableau4849[[#This Row],[INDEX]]&lt;3,"",Tableau4849[[#This Row],[DEVISE]])</calculatedColumnFormula>
    </tableColumn>
    <tableColumn id="41" xr3:uid="{8057C85A-3A30-4EE2-BEE5-0635E3775E14}" name="TAILLE DES LOTS" dataDxfId="0" dataCellStyle="Normal 2">
      <calculatedColumnFormula>IFERROR(IF(Tableau4849[[#This Row],[INDEX]]&lt;3,"",Tableau4849[[#This Row],[ATTEINT]]),100000)</calculatedColumnFormula>
    </tableColumn>
    <tableColumn id="39" xr3:uid="{63E41CE8-A1A9-4B1D-A7C7-FE710EE2C70F}" name="NUMERO D'OPERATION" dataDxfId="4" dataCellStyle="Normal 2">
      <calculatedColumnFormula>IF(Tableau4849[[#This Row],[INDEX]]&lt;3,"",Tableau4849[[#This Row],[COMPTE]])</calculatedColumnFormula>
    </tableColumn>
    <tableColumn id="42" xr3:uid="{7264D4E8-A450-4AF1-A5E3-4C6D3FA7289E}" name="POSITION EN ATTENTES " dataDxfId="2" dataCellStyle="Normal 2">
      <calculatedColumnFormula>IF(Tableau4849[[#This Row],[INDEX]]&lt;3,"","NON")</calculatedColumnFormula>
    </tableColumn>
    <tableColumn id="43" xr3:uid="{E51279B5-7A47-44A5-BCAE-63F625FF1104}" name="Colonne2" dataDxfId="1" dataCellStyle="Normal 2">
      <calculatedColumnFormula>IF(Tableau4849[[#This Row],[INDEX]]&lt;3,"",IF(Tableau4849[[#This Row],[0,5]]&lt;0,"NEGATIF",""))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78620B7-B8B6-4841-9E26-44B8BB9C74BB}" name="Tableau47" displayName="Tableau47" ref="L32:CY122" totalsRowShown="0" dataDxfId="100">
  <autoFilter ref="L32:CY122" xr:uid="{678620B7-B8B6-4841-9E26-44B8BB9C74BB}"/>
  <tableColumns count="92">
    <tableColumn id="8" xr3:uid="{48907A6C-13ED-4DB5-839C-EF305230EB67}" name="INDEX" dataDxfId="99"/>
    <tableColumn id="1" xr3:uid="{CC5D524E-1AD9-464C-BD38-27065C76D24D}" name="COMMAND" dataDxfId="98"/>
    <tableColumn id="2" xr3:uid="{5CA3C6F4-F734-499D-A811-1AD3A480D64E}" name="PRICE" dataDxfId="97">
      <calculatedColumnFormula>IFERROR(SUBSTITUTE(J25,",","."),"")</calculatedColumnFormula>
    </tableColumn>
    <tableColumn id="3" xr3:uid="{B6C80FF4-64E7-42E2-AC13-F4F7E0F4EF26}" name="COMMENTAIRE" dataDxfId="96"/>
    <tableColumn id="4" xr3:uid="{2176DABB-5F54-478E-AA1E-79F1C8AC3A81}" name="PRODUIT F" dataDxfId="95"/>
    <tableColumn id="7" xr3:uid="{BE93EE51-4593-4A22-8A6E-A51DCFE3C822}" name="LOT" dataDxfId="94"/>
    <tableColumn id="6" xr3:uid="{91F5F7FD-0A45-466A-9FC9-EE926DB1C4CD}" name="GO" dataDxfId="93">
      <calculatedColumnFormula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calculatedColumnFormula>
    </tableColumn>
    <tableColumn id="5" xr3:uid="{2DC32D19-64C7-42FA-B1E0-8897194B8D8C}" name="GO1" dataDxfId="92">
      <calculatedColumnFormula>IF(AND(ISNUMBER(SEARCH("BUY",Tableau47[[#This Row],[COMMAND]]))),"BUY",IF(AND(ISNUMBER(SEARCH("SELL",Tableau47[[#This Row],[COMMAND]]))),"SELL",""))</calculatedColumnFormula>
    </tableColumn>
    <tableColumn id="9" xr3:uid="{C71F5B28-ED9B-4D78-A8F8-4A1FB1B84D21}" name="GO2" dataDxfId="91">
      <calculatedColumnFormula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calculatedColumnFormula>
    </tableColumn>
    <tableColumn id="13" xr3:uid="{4EE58F32-C5EA-43B0-A71F-9B38D48A6423}" name="GO3" dataDxfId="90">
      <calculatedColumnFormula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calculatedColumnFormula>
    </tableColumn>
    <tableColumn id="14" xr3:uid="{00BEEE80-9604-47AD-A5BE-7658AFB1F3AE}" name="GO4" dataDxfId="89"/>
    <tableColumn id="10" xr3:uid="{1CA67705-5E1F-46C7-B50A-C26FE56607C8}" name="Cst TIME" dataDxfId="88">
      <calculatedColumnFormula>NOW()</calculatedColumnFormula>
    </tableColumn>
    <tableColumn id="11" xr3:uid="{04D46301-411C-4738-B107-575233780ED1}" name="GO6" dataDxfId="87">
      <calculatedColumnFormula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calculatedColumnFormula>
    </tableColumn>
    <tableColumn id="12" xr3:uid="{8FB9B6BC-0ECE-4500-8837-BE536870EC10}" name="GO7" dataDxfId="86">
      <calculatedColumnFormula>IFERROR(VALUE(SUBSTITUTE(Tableau47[[#This Row],[PRICE]],".",",")),"")</calculatedColumnFormula>
    </tableColumn>
    <tableColumn id="15" xr3:uid="{88F82D2F-719B-474F-8B40-D74C451E0B4E}" name="SELL" dataDxfId="85">
      <calculatedColumnFormula>IFERROR(IF(Tableau47[[#This Row],[DÉJÀ]]=1,"",IF(AND(Tableau47[[#This Row],[GO]]="GO",Tableau47[[#This Row],[GO1]]="SELL"),"S",IF(AND(Tableau47[[#This Row],[GO]]="GO",Tableau47[[#This Row],[GO1]]="BUY"),"B",""))),"")</calculatedColumnFormula>
    </tableColumn>
    <tableColumn id="16" xr3:uid="{B33AC4B1-EDEE-4AC9-A0A6-14A946DBA880}" name="BUY" dataDxfId="84">
      <calculatedColumnFormula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calculatedColumnFormula>
    </tableColumn>
    <tableColumn id="17" xr3:uid="{E03549B1-E60D-4698-985B-1C57623609FD}" name="DÉJÀ" dataDxfId="83">
      <calculatedColumnFormula>IF(IFERROR(_xlfn.XLOOKUP(Tableau47[[#This Row],[COMMENTAIRE]],'[1]Tickets (2)'!$J$6:$J$805,'[1]Tickets (2)'!$J$6:$J$805),"")&lt;&gt;"",1,"")</calculatedColumnFormula>
    </tableColumn>
    <tableColumn id="18" xr3:uid="{70584898-670C-47D8-9F2B-B8D30BB87A8E}" name="BUYER" dataDxfId="82">
      <calculatedColumnFormula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calculatedColumnFormula>
    </tableColumn>
    <tableColumn id="19" xr3:uid="{3DEC8FDB-49CB-45E2-AF71-0CF3DB908EC6}" name="SELLER" dataDxfId="81">
      <calculatedColumnFormula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calculatedColumnFormula>
    </tableColumn>
    <tableColumn id="20" xr3:uid="{E9DD95A1-02E4-430B-810A-A10518085E56}" name="DEVISE" dataDxfId="80">
      <calculatedColumnFormula>IFERROR(_xlfn.XLOOKUP(Tableau47[[#This Row],[INDEX]],Tableau47[COMPTE],Tableau47[COMPTE]),"")</calculatedColumnFormula>
    </tableColumn>
    <tableColumn id="21" xr3:uid="{DE2E956B-5B00-4CA0-BB03-8E0B3924511F}" name="COMPTE" dataDxfId="79">
      <calculatedColumnFormula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calculatedColumnFormula>
    </tableColumn>
    <tableColumn id="22" xr3:uid="{62636339-D231-4DC0-A7BD-CBC442CB5F06}" name="Colonne1" dataDxfId="78">
      <calculatedColumnFormula>IF(Tableau47[[#This Row],[COMMAND]]="","",IF(Tableau47[[#This Row],[INDEX]]&lt;3,"",IF(OR(Tableau47[[#This Row],[COMMAND]]="BUYSTOP",Tableau47[[#This Row],[COMMAND]]="SELLSTOP"),"",Tableau47[[#This Row],[INDEX]])))</calculatedColumnFormula>
    </tableColumn>
    <tableColumn id="23" xr3:uid="{88E2B597-4F10-4B89-8924-7305AF11B57C}" name="DIS_BUY" dataDxfId="77">
      <calculatedColumnFormula>IF(Tableau47[[#This Row],[COMMAND]]="BUYSTOP",IFERROR(ABS(Tableau47[[#This Row],[GO7]]-'[1]Deal ticket'!$B$15),""),"")</calculatedColumnFormula>
    </tableColumn>
    <tableColumn id="24" xr3:uid="{3F08343A-6E64-48AA-B4F4-C756426B117C}" name="DIS_SELL" dataDxfId="76">
      <calculatedColumnFormula>IF(Tableau47[[#This Row],[COMMAND]]="SELLSTOP",IFERROR(ABS(Tableau47[[#This Row],[GO7]]-'[1]Deal ticket'!$B$16),""),"")</calculatedColumnFormula>
    </tableColumn>
    <tableColumn id="25" xr3:uid="{442245D9-5A57-4E92-A298-14BAB1D2EF13}" name="doublons" dataDxfId="75">
      <calculatedColumnFormula>IF(IFERROR(_xlfn.XLOOKUP(Tableau47[[#This Row],[COMMENTAIRE]],'[1]Tickets (2)'!$J$6:$J$805,'[1]Tickets (2)'!$J$6:$J$805),"")&lt;&gt;"",1,"")</calculatedColumnFormula>
    </tableColumn>
    <tableColumn id="26" xr3:uid="{5014260A-7AD9-47C0-9C41-69D683B7318B}" name="DOUBLONS2" dataDxfId="74">
      <calculatedColumnFormula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calculatedColumnFormula>
    </tableColumn>
    <tableColumn id="27" xr3:uid="{811AF3D5-A8FA-434E-99FB-F9B444C453FF}" name="EN COURS" dataDxfId="73">
      <calculatedColumnFormula>IF(IFERROR(_xlfn.XLOOKUP(Tableau47[[#This Row],[COMMENTAIRE]],'[1]Tickets (2)'!$J$6:$J$805,'[1]Tickets (2)'!$D$6:$D$805),"")&lt;&gt;"",IFERROR(_xlfn.XLOOKUP(Tableau47[[#This Row],[COMMENTAIRE]],'[1]Tickets (2)'!$J$6:$J$805,'[1]Tickets (2)'!$D$6:$D$805),""),"")</calculatedColumnFormula>
    </tableColumn>
    <tableColumn id="28" xr3:uid="{526CB77A-EB32-4C2A-A9C0-B2D985663A0D}" name="DOUBLONS4" dataDxfId="72">
      <calculatedColumnFormula>IF(Tableau47[[#This Row],[COMMAND]]="","",IF(Tableau47[[#This Row],[INDEX]]&lt;3,"",IF(IFERROR(_xlfn.XLOOKUP(Tableau47[[#This Row],[EN COURS]],'[1]Tickets (2)'!$D$6:$D$805,'[1]Tickets (2)'!$E$6:$E$805),"")&lt;&gt;Tableau47[[#This Row],[GO4]],1,"")))</calculatedColumnFormula>
    </tableColumn>
    <tableColumn id="29" xr3:uid="{0CD41E50-156B-4946-A8BB-71E0E75E08D8}" name="TP" dataDxfId="71">
      <calculatedColumnFormula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calculatedColumnFormula>
    </tableColumn>
    <tableColumn id="30" xr3:uid="{FFE4A057-5F6D-4682-82D4-4CB2720DB00A}" name="OB" dataDxfId="70">
      <calculatedColumnFormula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calculatedColumnFormula>
    </tableColumn>
    <tableColumn id="31" xr3:uid="{E9C9D75B-6057-4DA2-844E-D718A552A4F9}" name="EN ATTENTES" dataDxfId="69"/>
    <tableColumn id="32" xr3:uid="{11007601-983C-4FCC-AE4A-3B1B45D80332}" name="Colonne2" dataDxfId="68">
      <calculatedColumnFormula>IFERROR(_xlfn.XLOOKUP(Tableau47[[#This Row],[COMMENTAIRE]],'[1]Tickets (2)'!$J$6:$J$805,'[1]Tickets (2)'!$C$6:$C$805),"")</calculatedColumnFormula>
    </tableColumn>
    <tableColumn id="33" xr3:uid="{C80A06AA-F5A6-4257-8890-7363AF20D87E}" name="Colonne3" dataDxfId="67">
      <calculatedColumnFormula>IF(AND(IF(Tableau47[[#This Row],[COMMAND]]="","",IF(Tableau47[[#This Row],[INDEX]]&lt;3,"",IF(AND(ISNUMBER(SEARCH("STOP",Tableau47[[#This Row],[Colonne2]]))),"",1)))=1,Tableau47[[#This Row],[EN ATTENTES]]="NON"),1,"")</calculatedColumnFormula>
    </tableColumn>
    <tableColumn id="34" xr3:uid="{179A01F5-EEC3-4D05-9D94-6A9CF734054B}" name="Colonne4" dataDxfId="66">
      <calculatedColumnFormula>IF(Tableau47[[#This Row],[EN COURS]]="","",IF(IF(IFERROR(_xlfn.XLOOKUP(Tableau47[[#This Row],[EN COURS]],'[1]Tickets (2)'!$D$6:$D$805,'[1]Tickets (2)'!$F$6:$F$805),"")&lt;&gt;Tableau47[[#This Row],[LOT]],1,"")=1,1,""))</calculatedColumnFormula>
    </tableColumn>
    <tableColumn id="37" xr3:uid="{685E24CA-AD1F-456D-8CCA-59404AAF0DEB}" name="Colonne5" dataDxfId="65">
      <calculatedColumnFormula>IF(Tableau47[[#This Row],[GOUBLOP]]=1,Tableau47[[#This Row],[COMMENTAIRE]],"")</calculatedColumnFormula>
    </tableColumn>
    <tableColumn id="39" xr3:uid="{3DF39139-F607-4DEA-B9AB-DCC062BDDD45}" name="Colonne6" dataDxfId="64"/>
    <tableColumn id="38" xr3:uid="{909F94E1-DBA0-476C-8AA2-E75E15460F01}" name="ATTEINT" dataDxfId="63">
      <calculatedColumnFormula>IFERROR(IF(_xlfn.XLOOKUP(Tableau47[[#This Row],[GOUBLOP2]],[1]!Tableau4849[ATTEINT],[1]!Tableau4849[ATTEINT])&lt;&gt;"",1,""),"")</calculatedColumnFormula>
    </tableColumn>
    <tableColumn id="36" xr3:uid="{7FA46F8D-AD14-4713-ADF8-5D5CE6E45600}" name="GOUBLOP" dataDxfId="62">
      <calculatedColumnFormula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calculatedColumnFormula>
    </tableColumn>
    <tableColumn id="35" xr3:uid="{0A925040-ECF4-422D-A64D-2D90F08CF01A}" name="GOUBLOP2" dataDxfId="61">
      <calculatedColumnFormula>IF(Tableau47[[#This Row],[COMMAND]]="","",IF(Tableau47[[#This Row],[INDEX]]&lt;3,"",LEFT(Tableau47[[#This Row],[COMMENTAIRE]],LEN(Tableau47[[#This Row],[COMMENTAIRE]])-2)))</calculatedColumnFormula>
    </tableColumn>
    <tableColumn id="40" xr3:uid="{2FCA809F-B84B-4466-B12E-2A41608CBB63}" name="NDONG" dataDxfId="60">
      <calculatedColumnFormula>IF(Tableau47[[#This Row],[COMMAND]]="","",IF(Tableau47[[#This Row],[INDEX]]&lt;3,"",IF(AND(Tableau47[[#This Row],[EN ATTENTES]]="",Tableau47[[#This Row],[EN COURS]]="",IF(AND(Tableau47[[#This Row],[GO1]]="SELL",Tableau47[[#This Row],[TP]]&gt;'[1]Deal ticket'!B13),1,IF(AND(Tableau47[[#This Row],[GO1]]="BUY",Tableau47[[#This Row],[TP]]&lt;'[1]Deal ticket'!B14),1,""))=1),1,"")))</calculatedColumnFormula>
    </tableColumn>
    <tableColumn id="41" xr3:uid="{E59F361D-7F58-49B8-AF45-C0E6F7C834DD}" name="NDONNG" dataDxfId="59">
      <calculatedColumnFormula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calculatedColumnFormula>
    </tableColumn>
    <tableColumn id="42" xr3:uid="{3363DCC7-54E9-4F49-95AF-A82C2D03BE91}" name="ATEINTESS" dataDxfId="58">
      <calculatedColumnFormula>IF(Tableau47[[#This Row],[INDEX]]&lt;3,"",IF(Tableau47[[#This Row],[COMMAND]]="","",IFERROR(Tableau47[[#This Row],[DIS_BUY]]*$AX$30,"")))</calculatedColumnFormula>
    </tableColumn>
    <tableColumn id="43" xr3:uid="{4CE83E07-1454-433B-80B1-6869BF9235C5}" name="tp2" dataDxfId="57">
      <calculatedColumnFormula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calculatedColumnFormula>
    </tableColumn>
    <tableColumn id="44" xr3:uid="{3CAC7770-B77F-4960-9B76-53FDD29745E5}" name="SL" dataDxfId="56">
      <calculatedColumnFormula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calculatedColumnFormula>
    </tableColumn>
    <tableColumn id="45" xr3:uid="{3184AB0D-61B8-4AD1-963E-5206E88890ED}" name="taille" dataDxfId="55">
      <calculatedColumnFormula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calculatedColumnFormula>
    </tableColumn>
    <tableColumn id="46" xr3:uid="{CD4ED7AF-4C21-4DD4-8A1F-E9ACB8F4E635}" name="Colonne7" dataDxfId="54">
      <calculatedColumnFormula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calculatedColumnFormula>
    </tableColumn>
    <tableColumn id="47" xr3:uid="{9346D70E-0E94-4206-973D-BD9AA78DC2B7}" name="Colonne8" dataDxfId="53">
      <calculatedColumnFormula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calculatedColumnFormula>
    </tableColumn>
    <tableColumn id="48" xr3:uid="{7428D436-694C-4DF9-81F1-A6BB1B1E8BB7}" name="GLOBAL BUY" dataDxfId="52">
      <calculatedColumnFormula>IF(AND(Tableau47[[#This Row],[GO]]="GO",ISNUMBER(SEARCH("BUY",Tableau47[[#This Row],[COMMAND]]))),1,"")</calculatedColumnFormula>
    </tableColumn>
    <tableColumn id="49" xr3:uid="{4296BD12-5F94-487D-8109-4E6018FD045E}" name="GLOBAL SELL" dataDxfId="51">
      <calculatedColumnFormula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calculatedColumnFormula>
    </tableColumn>
    <tableColumn id="50" xr3:uid="{DA1CB075-63AB-485F-A560-80322DD954B2}" name="GLOBUY" dataDxfId="50">
      <calculatedColumnFormula>IF(OR(Tableau47[[#This Row],[GLOBAL BUY]]=1),Tableau47[[#This Row],[COMMENTAIRE]],"")</calculatedColumnFormula>
    </tableColumn>
    <tableColumn id="51" xr3:uid="{76E721CC-205C-4D8F-8007-D59506FBDCBE}" name="GLOSELL" dataDxfId="49">
      <calculatedColumnFormula>IF(OR(Tableau47[[#This Row],[GLOBAL SELL]]=1),Tableau47[[#This Row],[COMMENTAIRE]],"")</calculatedColumnFormula>
    </tableColumn>
    <tableColumn id="52" xr3:uid="{48A1EB5F-6704-4DDF-ABB3-97F9B3A3C366}" name="Colonne9" dataDxfId="48">
      <calculatedColumnFormula>IF(Tableau47[[#This Row],[INDEX]]&lt;3,"",IF(Tableau47[[#This Row],[COMMAND]]="","",SUMIFS(Tableau47[COMMENTAIRE],Tableau47[COMMENTAIRE],Tableau47[[#This Row],[COMMENTAIRE]])))</calculatedColumnFormula>
    </tableColumn>
    <tableColumn id="53" xr3:uid="{5501AF27-1D95-4054-8E2E-7EB83DB2CAF5}" name="Colonne10" dataDxfId="47">
      <calculatedColumnFormula>IF(IFERROR(_xlfn.XLOOKUP(Tableau47[[#This Row],[COMMENTAIRE]],'[1]Tickets (2)'!$J$6:$J$805,'[1]Tickets (2)'!$J$6:$J$805),"")&lt;&gt;"",1,"")</calculatedColumnFormula>
    </tableColumn>
    <tableColumn id="54" xr3:uid="{6279294E-7972-4900-9F34-2140FB54D6FC}" name="suppression" dataDxfId="46">
      <calculatedColumnFormula>IF(Tableau47[[#This Row],[INDEX]]&lt;3,"",IF(Tableau47[[#This Row],[COMMAND]]="","",IF('[1]Bar history'!$AA$33=1,1,"")))</calculatedColumnFormula>
    </tableColumn>
    <tableColumn id="55" xr3:uid="{10CD63BA-9793-45AA-81DF-FB4F9FE10E96}" name="STATUT" dataDxfId="45">
      <calculatedColumnFormula>IFERROR(IFERROR(_xlfn.XLOOKUP(Tableau47[[#This Row],[COMMENTAIRE]],[1]!Tableau4849[IDENTITE],[1]!Tableau4849[0,5]),0),"")</calculatedColumnFormula>
    </tableColumn>
    <tableColumn id="56" xr3:uid="{43F877CD-113D-4EF5-BA13-F10AD528B5C2}" name="ENTREEE" dataDxfId="44">
      <calculatedColumnFormula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calculatedColumnFormula>
    </tableColumn>
    <tableColumn id="57" xr3:uid="{3D311C17-2F6A-48D6-AF3F-E5281C51BE82}" name="TP IN" dataDxfId="43">
      <calculatedColumnFormula>IF(IFERROR(_xlfn.XLOOKUP(Tableau47[[#This Row],[COMMENTAIRE]],'[1]Tickets (2)'!$J$6:$J$805,'[1]Tickets (2)'!$U$6:$U$805)," ")="","OK","")</calculatedColumnFormula>
    </tableColumn>
    <tableColumn id="58" xr3:uid="{D54ADC55-B9A0-42FB-990B-D6C1ED0E85D0}" name="SL IN" dataDxfId="42">
      <calculatedColumnFormula>IFERROR(IF(IFERROR(_xlfn.XLOOKUP(Tableau47[[#This Row],[COMMENTAIRE]],'[1]Tickets (2)'!$J$6:$J$805,'[1]Tickets (2)'!$V$6:$V$805)," ")="","OK",Tableau47[[#This Row],[NDONNG]]*Tableau47[[#This Row],[ATEINTESS]]),"")</calculatedColumnFormula>
    </tableColumn>
    <tableColumn id="59" xr3:uid="{184553FC-FD16-4A4A-8B9B-5D019A13BDEB}" name="CLOTURE" dataDxfId="41">
      <calculatedColumnFormula>IFERROR(IF(AND(IFERROR(VALUE(SUBSTITUTE(Tableau47[[#This Row],[PRICE]],".",",")),"")+$J$2&lt;=$G$2),"POSITIF",IF(AND(IFERROR(VALUE(SUBSTITUTE(Tableau47[[#This Row],[PRICE]],".",",")),"")+$J$2&gt;=$G$2),"NEGATIF","")),"")</calculatedColumnFormula>
    </tableColumn>
    <tableColumn id="60" xr3:uid="{547E8ABA-AB46-48E8-A17E-3B3C9DFAFFD4}" name="TIME" dataDxfId="40">
      <calculatedColumnFormula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calculatedColumnFormula>
    </tableColumn>
    <tableColumn id="61" xr3:uid="{7FD62E88-2909-41FC-9B5A-5223662082A2}" name="PRICR" dataDxfId="39">
      <calculatedColumnFormula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calculatedColumnFormula>
    </tableColumn>
    <tableColumn id="62" xr3:uid="{CE49A752-2AAF-41F3-9037-80163C90FF47}" name="TP OK" dataDxfId="38">
      <calculatedColumnFormula>IF(IFERROR(_xlfn.XLOOKUP(Tableau47[[#This Row],[COMMENTAIRE]],'[1]Tickets (2)'!$J$6:$J$805,'[1]Tickets (2)'!$U$6:$U$805)," ")="","OK","")</calculatedColumnFormula>
    </tableColumn>
    <tableColumn id="63" xr3:uid="{96A3FBC6-9ECD-41C1-896E-F2568B175777}" name="SL OK" dataDxfId="37">
      <calculatedColumnFormula>IF(IFERROR(_xlfn.XLOOKUP(Tableau47[[#This Row],[COMMENTAIRE]],'[1]Tickets (2)'!$J$6:$J$805,'[1]Tickets (2)'!$V$6:$V$805)," ")="","OK","")</calculatedColumnFormula>
    </tableColumn>
    <tableColumn id="64" xr3:uid="{C02570CB-867E-4B99-8FC9-059828C1B490}" name="GAIN" dataDxfId="36">
      <calculatedColumnFormula>IF(Tableau47[[#This Row],[INDEX]]&lt;3,"",IF(Tableau47[[#This Row],[COMMAND]]="","",([1]FSI_TB!$F$12/10)*(Tableau47[[#This Row],[LOT]]/$BW$30)))</calculatedColumnFormula>
    </tableColumn>
    <tableColumn id="65" xr3:uid="{B1E411D0-9A13-4B1D-96A4-E4015C0384A4}" name="PERTES" dataDxfId="35">
      <calculatedColumnFormula>IF(Tableau47[[#This Row],[INDEX]]&lt;3,"",IF(Tableau47[[#This Row],[COMMAND]]="","",-([1]FSI_TB!$D$12/10)*(Tableau47[[#This Row],[LOT]]/$BW$30)))</calculatedColumnFormula>
    </tableColumn>
    <tableColumn id="66" xr3:uid="{3239CE0C-854D-4DDF-A2B2-1D128D226973}" name="NON" dataDxfId="34"/>
    <tableColumn id="67" xr3:uid="{DA60F6D6-E5F9-4DFB-B96C-54071EA60F1C}" name="TAILLE CALC" dataDxfId="33">
      <calculatedColumnFormula>IF(AND(Tableau47[[#This Row],[CLOTURE]]="REPOSITIONNER"),"OK",IF(AND(Tableau47[[#This Row],[CLOTURE]]="GAGNANT"),"KO",IF(Tableau47[[#This Row],[NON]]="NON","NON","")))</calculatedColumnFormula>
    </tableColumn>
    <tableColumn id="68" xr3:uid="{906030B6-B369-46C8-8F5A-C7DE3F98627D}" name="taille pos" dataDxfId="32">
      <calculatedColumnFormula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calculatedColumnFormula>
    </tableColumn>
    <tableColumn id="69" xr3:uid="{9FBC3356-DC4C-4C1B-B2D7-EFD1C05AB7EE}" name="Colonne12" dataDxfId="31">
      <calculatedColumnFormula>IFERROR(_xlfn.XLOOKUP(Tableau47[[#This Row],[COMMENTAIRE]],'[1]Tickets (2)'!$J$6:$J$805,'[1]Tickets (2)'!$F$6:$F$805),"")</calculatedColumnFormula>
    </tableColumn>
    <tableColumn id="70" xr3:uid="{B32603BB-5134-487F-9BFD-2D6F386D872B}" name="Colonne13" dataDxfId="30">
      <calculatedColumnFormula>IF(Tableau47[[#This Row],[INDEX]]&lt;3,"",IF(Tableau47[[#This Row],[COMMAND]]="","",Tableau47[[#This Row],[LOT]]))</calculatedColumnFormula>
    </tableColumn>
    <tableColumn id="71" xr3:uid="{E1B3FDE5-ADF8-4EC0-992A-123EEC6D2965}" name="Colonne14" dataDxfId="29">
      <calculatedColumnFormula>IF(Tableau47[[#This Row],[INDEX]]&lt;3,"",IF(Tableau47[[#This Row],[COMMAND]]="","",IFERROR(_xlfn.XLOOKUP(Tableau47[[#This Row],[COMMENTAIRE]],[1]!Tableau4849[IDENTITE],[1]!Tableau4849[0,5]),0)))</calculatedColumnFormula>
    </tableColumn>
    <tableColumn id="72" xr3:uid="{625CC1A0-3C48-4C35-B0A2-1CEFDD94402E}" name="DISTANCE" dataDxfId="28">
      <calculatedColumnFormula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calculatedColumnFormula>
    </tableColumn>
    <tableColumn id="73" xr3:uid="{0C67D095-42E4-46D6-9244-438CDD578E49}" name="DISTANCE STOP" dataDxfId="27">
      <calculatedColumnFormula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calculatedColumnFormula>
    </tableColumn>
    <tableColumn id="74" xr3:uid="{24148559-10E4-4D29-9810-1FFD32249C6B}" name="P/L" dataDxfId="26">
      <calculatedColumnFormula array="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calculatedColumnFormula>
    </tableColumn>
    <tableColumn id="75" xr3:uid="{4277A55C-5092-4342-BFBA-CD6CFCB36D4B}" name="P/L TOTAL" dataDxfId="25"/>
    <tableColumn id="76" xr3:uid="{DA96284C-08F1-4956-8C1C-E62B15F9A31D}" name="NBRE DE REPRISE PAR POSITION" dataDxfId="24">
      <calculatedColumnFormula>IFERROR(IF(Tableau47[[#This Row],[INDEX]]&lt;3,"",IF(Tableau47[[#This Row],[COMMAND]]="","",IF(Tableau47[[#This Row],[NBRE DE REPRISE PAR POSITION2]]="",1,Tableau47[[#This Row],[NBRE DE REPRISE PAR POSITION2]]+1))),"")</calculatedColumnFormula>
    </tableColumn>
    <tableColumn id="77" xr3:uid="{223473BF-C6DA-45D4-A9E0-455BBF0AB194}" name="NBRE DE REPRISE PAR POSITION2" dataDxfId="23"/>
    <tableColumn id="78" xr3:uid="{8380669D-6F2B-4941-9A81-E06903020B5E}" name="FIAL" dataDxfId="22"/>
    <tableColumn id="79" xr3:uid="{6074F8EF-58C8-4D7C-8433-8345F77BD5D3}" name="MAJ de la position" dataDxfId="21">
      <calculatedColumnFormula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calculatedColumnFormula>
    </tableColumn>
    <tableColumn id="80" xr3:uid="{4BDCEDC7-B6C1-4ACF-944D-EEE17F84C44B}" name="TAILLE  A la cloture" dataDxfId="20"/>
    <tableColumn id="81" xr3:uid="{3B0459AD-9208-404D-9AE6-B08E0DEB1F80}" name="JUSTE OK" dataDxfId="19">
      <calculatedColumnFormula>IF(Tableau47[[#This Row],[INDEX]]&lt;3,"",IF(Tableau47[[#This Row],[COMMAND]]="","",IF(AND(Tableau47[[#This Row],[EN ATTENTES]]="NON",Tableau47[[#This Row],[EN COURS]]&lt;&gt;""),"OK","STOP")))</calculatedColumnFormula>
    </tableColumn>
    <tableColumn id="82" xr3:uid="{27DB0759-F9FB-42D5-89F1-3ADBD28CE3FF}" name="open T" dataDxfId="18">
      <calculatedColumnFormula>Tableau47[[#This Row],[Cst TIME]]</calculatedColumnFormula>
    </tableColumn>
    <tableColumn id="83" xr3:uid="{EEAEC55F-4C5D-499B-A4BA-B6A0DBDC75DC}" name="COMPTE2" dataDxfId="17">
      <calculatedColumnFormula>[1]analos!$Q$237</calculatedColumnFormula>
    </tableColumn>
    <tableColumn id="84" xr3:uid="{EEFBB79F-C7C0-4D99-BC2B-FF119B560E04}" name="DEVISE3" dataDxfId="16">
      <calculatedColumnFormula>[1]FSI_TB!$F$3</calculatedColumnFormula>
    </tableColumn>
    <tableColumn id="85" xr3:uid="{4D374EAA-4347-4935-91B8-04603745855F}" name="COMMAND4" dataDxfId="15">
      <calculatedColumnFormula>Tableau47[[#This Row],[GO1]]</calculatedColumnFormula>
    </tableColumn>
    <tableColumn id="86" xr3:uid="{506D556E-E32B-4129-8F4D-86B438FFC125}" name="PRICE5" dataDxfId="14">
      <calculatedColumnFormula>Tableau47[[#This Row],[PRICE]]</calculatedColumnFormula>
    </tableColumn>
    <tableColumn id="87" xr3:uid="{46A49F06-998D-49A3-B974-19DBB244E959}" name="VOLUME" dataDxfId="13">
      <calculatedColumnFormula>Tableau47[[#This Row],[LOT]]</calculatedColumnFormula>
    </tableColumn>
    <tableColumn id="88" xr3:uid="{1C11131F-718A-4E9A-B815-BD150496A02E}" name="IDENTITE" dataDxfId="12">
      <calculatedColumnFormula>Tableau47[[#This Row],[COMMENTAIRE]]</calculatedColumnFormula>
    </tableColumn>
    <tableColumn id="89" xr3:uid="{BD6069A2-37C4-4C8E-A003-14B8F0926809}" name="TP6" dataDxfId="11"/>
    <tableColumn id="90" xr3:uid="{ADA45774-9823-4C08-BF5C-802FA308D4D5}" name="SL7" dataDxfId="10">
      <calculatedColumnFormula>IF(AND(Tableau47[[#This Row],[CLOTURE]]=$BK$31),Tableau47[[#This Row],[PERTES]],IF(AND(Tableau47[[#This Row],[CLOTURE]]=BT29),Tableau47[[#This Row],[GAIN]],""))</calculatedColumnFormula>
    </tableColumn>
    <tableColumn id="91" xr3:uid="{6D9CC2BE-547C-4564-8263-BC082D27C2E5}" name="ETAT" dataDxfId="9">
      <calculatedColumnFormula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calculatedColumnFormula>
    </tableColumn>
    <tableColumn id="92" xr3:uid="{EACF46FC-3CB7-4EDE-919F-02A57D6593A2}" name="CLOSE" dataDxfId="8">
      <calculatedColumnFormula>NOW()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35319-DAC8-4F8E-9077-66D70A4A6113}">
  <sheetPr codeName="Feuil3">
    <pageSetUpPr autoPageBreaks="0"/>
  </sheetPr>
  <dimension ref="A1:AQ181"/>
  <sheetViews>
    <sheetView topLeftCell="Z1" zoomScale="85" zoomScaleNormal="85" workbookViewId="0">
      <selection activeCell="AK10" sqref="AK10"/>
    </sheetView>
  </sheetViews>
  <sheetFormatPr baseColWidth="10" defaultRowHeight="15" x14ac:dyDescent="0.25"/>
  <cols>
    <col min="2" max="2" width="22.140625" customWidth="1"/>
    <col min="3" max="3" width="18.42578125" customWidth="1"/>
    <col min="6" max="6" width="22.85546875" customWidth="1"/>
    <col min="7" max="7" width="11.7109375" customWidth="1"/>
    <col min="8" max="8" width="26.5703125" customWidth="1"/>
    <col min="9" max="9" width="11.7109375" customWidth="1"/>
    <col min="10" max="10" width="15.42578125" customWidth="1"/>
    <col min="11" max="12" width="11.7109375" customWidth="1"/>
    <col min="13" max="13" width="12" customWidth="1"/>
    <col min="14" max="14" width="62.140625" style="3" customWidth="1"/>
    <col min="15" max="17" width="11.85546875" style="3" customWidth="1"/>
    <col min="18" max="19" width="11.85546875" customWidth="1"/>
    <col min="38" max="38" width="28" customWidth="1"/>
  </cols>
  <sheetData>
    <row r="1" spans="1:43" x14ac:dyDescent="0.25">
      <c r="G1" s="10"/>
    </row>
    <row r="2" spans="1:43" x14ac:dyDescent="0.25">
      <c r="F2" s="6"/>
    </row>
    <row r="3" spans="1:43" x14ac:dyDescent="0.25">
      <c r="AJ3">
        <v>926507</v>
      </c>
      <c r="AK3" t="s">
        <v>0</v>
      </c>
      <c r="AL3" t="s">
        <v>47</v>
      </c>
      <c r="AM3" t="s">
        <v>124</v>
      </c>
      <c r="AN3">
        <v>2000</v>
      </c>
      <c r="AO3" t="s">
        <v>125</v>
      </c>
    </row>
    <row r="5" spans="1:43" x14ac:dyDescent="0.25">
      <c r="C5" s="1"/>
      <c r="D5" s="1"/>
      <c r="E5" s="1"/>
      <c r="F5" s="1"/>
      <c r="G5" s="1"/>
      <c r="H5" s="1"/>
      <c r="I5" s="1"/>
      <c r="J5" s="1"/>
      <c r="K5" s="1"/>
      <c r="M5" s="3"/>
      <c r="Q5"/>
      <c r="AJ5">
        <v>1</v>
      </c>
    </row>
    <row r="6" spans="1:43" x14ac:dyDescent="0.25">
      <c r="A6" s="12" t="s">
        <v>33</v>
      </c>
      <c r="B6" s="12" t="s">
        <v>113</v>
      </c>
      <c r="C6" s="13" t="s">
        <v>52</v>
      </c>
      <c r="D6" s="13" t="s">
        <v>51</v>
      </c>
      <c r="E6" s="13" t="s">
        <v>34</v>
      </c>
      <c r="F6" s="13" t="s">
        <v>28</v>
      </c>
      <c r="G6" s="13" t="s">
        <v>30</v>
      </c>
      <c r="H6" s="13" t="s">
        <v>1</v>
      </c>
      <c r="I6" s="13" t="s">
        <v>60</v>
      </c>
      <c r="J6" s="13" t="s">
        <v>75</v>
      </c>
      <c r="K6" s="14" t="s">
        <v>120</v>
      </c>
      <c r="L6" s="14" t="s">
        <v>121</v>
      </c>
      <c r="M6" t="s">
        <v>259</v>
      </c>
      <c r="N6" t="s">
        <v>260</v>
      </c>
      <c r="O6" t="s">
        <v>261</v>
      </c>
      <c r="P6" s="23" t="s">
        <v>262</v>
      </c>
      <c r="Q6" s="23" t="s">
        <v>66</v>
      </c>
      <c r="R6" s="23" t="s">
        <v>263</v>
      </c>
      <c r="S6" s="23" t="s">
        <v>264</v>
      </c>
      <c r="T6" s="23" t="s">
        <v>68</v>
      </c>
      <c r="U6" s="23" t="s">
        <v>265</v>
      </c>
      <c r="V6" s="23" t="s">
        <v>266</v>
      </c>
      <c r="W6" s="23" t="s">
        <v>267</v>
      </c>
      <c r="X6" s="23" t="s">
        <v>53</v>
      </c>
      <c r="Y6" s="23" t="s">
        <v>268</v>
      </c>
      <c r="Z6" s="23" t="s">
        <v>269</v>
      </c>
      <c r="AA6" s="23" t="s">
        <v>270</v>
      </c>
      <c r="AB6" s="23" t="s">
        <v>271</v>
      </c>
      <c r="AC6" s="23" t="s">
        <v>272</v>
      </c>
      <c r="AD6" s="23" t="s">
        <v>273</v>
      </c>
      <c r="AE6" s="23" t="s">
        <v>65</v>
      </c>
      <c r="AF6" s="23" t="s">
        <v>274</v>
      </c>
      <c r="AG6" s="23" t="s">
        <v>275</v>
      </c>
      <c r="AH6" s="23" t="s">
        <v>276</v>
      </c>
      <c r="AI6" s="23" t="s">
        <v>277</v>
      </c>
      <c r="AJ6" t="s">
        <v>286</v>
      </c>
      <c r="AK6" t="s">
        <v>287</v>
      </c>
      <c r="AL6" t="s">
        <v>288</v>
      </c>
      <c r="AM6" t="s">
        <v>289</v>
      </c>
      <c r="AN6" t="s">
        <v>291</v>
      </c>
      <c r="AO6" t="s">
        <v>290</v>
      </c>
      <c r="AP6" t="s">
        <v>292</v>
      </c>
      <c r="AQ6" t="s">
        <v>63</v>
      </c>
    </row>
    <row r="7" spans="1:43" x14ac:dyDescent="0.25">
      <c r="A7" s="24">
        <v>1</v>
      </c>
      <c r="B7" s="25"/>
      <c r="C7" s="26"/>
      <c r="D7" s="24"/>
      <c r="E7" s="24"/>
      <c r="F7" s="24"/>
      <c r="G7" s="26"/>
      <c r="H7" s="27"/>
      <c r="I7" s="28" t="str">
        <f>IF(IFERROR(_xlfn.XLOOKUP(Tableau4849[[#This Row],[SL]],'[1]Tickets (2)'!J3:J797,'[1]Tickets (2)'!I6:I800),"")=0,"",IFERROR(_xlfn.XLOOKUP(Tableau4849[[#This Row],[SL]],'[1]Tickets (2)'!J3:J797,'[1]Tickets (2)'!I6:I800),""))</f>
        <v/>
      </c>
      <c r="K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" s="30" t="str">
        <f>IF(Tableau4849[[#This Row],[T CLOSE]]="","",IF(AND(IF(AND(ISNUMBER(SEARCH("BUY",Tableau4849[[#This Row],[COMPTE]]))),"BUY",IF(AND(ISNUMBER(SEARCH("SELL",Tableau4849[[#This Row],[COMPTE]]))),"SELL",""))="BUY",IF(AND(ISNUMBER(SEARCH("SELL",Tableau4849[[#This Row],[COMPTE]]))),Tableau4849[[#This Row],[IDENTITE]]+#REF!,IF(AND(ISNUMBER(SEARCH("BUY",Tableau4849[[#This Row],[COMPTE]]))),Tableau4849[[#This Row],[IDENTITE]]-#REF!,""))&gt;_xlfn.MINIFS('[1]Live (2)'!DG360:DG526,'[1]Live (2)'!DD362:DD528,"&gt;"&amp;Tableau4849[[#This Row],[open T]])),"LOSE",IF(AND(IF(AND(ISNUMBER(SEARCH("BUY",Tableau4849[[#This Row],[COMPTE]]))),"BUY",IF(AND(ISNUMBER(SEARCH("SELL",Tableau4849[[#This Row],[COMPTE]]))),"SELL",""))="SELL",_xlfn.MAXIFS('[1]Live (2)'!DF362:DF528,'[1]Live (2)'!DD362:DD528,$P$2&amp;Tableau4849[[#This Row],[open T]])&gt;IF(AND(ISNUMBER(SEARCH("SELL",Tableau4849[[#This Row],[COMPTE]]))),Tableau4849[[#This Row],[IDENTITE]]+#REF!,IF(AND(ISNUMBER(SEARCH("BUY",Tableau4849[[#This Row],[COMPTE]]))),Tableau4849[[#This Row],[IDENTITE]]-#REF!,""))),"LOSE","")))</f>
        <v/>
      </c>
      <c r="N7" t="str">
        <f>IF(Tableau4849[[#This Row],[T CLOSE]]&gt;[1]CONFIGURATION!$K$4,Tableau4849[[#This Row],[IDENTITE]],"")</f>
        <v/>
      </c>
      <c r="O7" s="26" t="str">
        <f>IF(Tableau4849[[#This Row],[INDEX]]&lt;3,"",IFERROR(Tableau4849[[#This Row],[SL]]/(Tableau4849[[#This Row],[VOLUME]]/$I$5),0))</f>
        <v/>
      </c>
      <c r="P7" s="26">
        <f>Tableau4849[[#This Row],[COMMAND]]</f>
        <v>0</v>
      </c>
      <c r="Q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/>
      </c>
      <c r="R7" s="29">
        <v>-19</v>
      </c>
      <c r="S7" s="26" t="str">
        <f>IF(Tableau4849[[#This Row],[ETAT]]="LOSE",IF(IFERROR(ABS(SUBSTITUTE(Tableau4849[[#This Row],[PRICE]],".",",")-'[1]Deal ticket'!$B$16)*1000,"")&lt;=$S$5,"GO","WAIT"),"")</f>
        <v/>
      </c>
      <c r="T7" s="26" t="str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/>
      </c>
      <c r="U7" s="22" t="str">
        <f>IF(Tableau4849[[#This Row],[ETAT]]="LOSE",IF(IFERROR(ABS(SUBSTITUTE(Tableau4849[[#This Row],[PRICE]],".",",")-'[1]Deal ticket'!$B$16)*1000,"")&lt;=$U$5,"GO","WAIT"),"")</f>
        <v/>
      </c>
      <c r="V7" s="26" t="str">
        <f>IF(Tableau4849[[#This Row],[INDEX]]&lt;3,"",SUMIFS(Tableau4849[SL],Tableau4849[Colonne5],Tableau4849[[#This Row],[Colonne5]])+$S$4)</f>
        <v/>
      </c>
      <c r="W7" s="22" t="str">
        <f>IF(Tableau4849[[#This Row],[ETAT]]="LOSE",IF(IFERROR(ABS(SUBSTITUTE(Tableau4849[[#This Row],[PRICE]],".",",")-'[1]Deal ticket'!$B$16)*1000,"")&lt;=$W$5,"GO","WAIT"),"")</f>
        <v/>
      </c>
      <c r="X7" s="26" t="str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/>
      </c>
      <c r="Y7" s="26" t="str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/>
      </c>
      <c r="Z7" s="26" t="str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/>
      </c>
      <c r="AA7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7" s="26" t="str">
        <f>IF(AND(Tableau4849[[#This Row],[3,8]]=1),Tableau4849[[#This Row],[INDEX]],"")</f>
        <v/>
      </c>
      <c r="AC7" s="26" t="str">
        <f ca="1">IF(IFERROR(_xlfn.XLOOKUP(Tableau4849[[#This Row],[IDENTITE]],[1]!Tableau47[GLOBUY],[1]!Tableau47[GLOBUY]),"")="","",1)</f>
        <v/>
      </c>
      <c r="AD7" s="26" t="str">
        <f>IF(IFERROR(_xlfn.XLOOKUP(Tableau4849[[#This Row],[IDENTITE]],[1]!Tableau47[GLOSELL],[1]!Tableau47[GLOSELL]),"")="","",1)</f>
        <v/>
      </c>
      <c r="AE7" s="26" t="str">
        <f>IF(AND(Tableau4849[[#This Row],[open T]]=1),Tableau4849[[#This Row],[DEVISE]],"")</f>
        <v/>
      </c>
      <c r="AF7" s="26" t="str">
        <f>IF(Tableau4849[[#This Row],[INDEX]]&lt;3,"",IF(Tableau4849[[#This Row],[COMMAND]]="","",IF('[1]Bar history'!$AA$33=1,1,"")))</f>
        <v/>
      </c>
      <c r="AG7" s="26" t="str">
        <f>IF(Tableau4849[[#This Row],[open T]]&lt;3,"",IF(Tableau4849[[#This Row],[PRICE]]="","",COUNTIF(Tableau4849[Colonne5],Tableau4849[[#This Row],[Colonne5]])))</f>
        <v/>
      </c>
      <c r="AH7" s="26" t="str">
        <f>IF(IFERROR(_xlfn.XLOOKUP(Tableau4849[[#This Row],[IDENTITE]],[1]!Tableau47[COMMENTAIRE],[1]!Tableau47[CLOTURE]),"")=[1]PARAMETRE!$BK$31,Tableau4849[[#This Row],[INDEX]],"")</f>
        <v/>
      </c>
      <c r="AI7" s="26" t="str">
        <f>IF(Tableau4849[[#This Row],[Colonne44]]="","",IFERROR(_xlfn.XLOOKUP(Tableau4849[[#This Row],[IDENTITE]],[1]!Tableau47[COMMENTAIRE],[1]!Tableau47[taille pos]),""))</f>
        <v/>
      </c>
      <c r="AJ7" s="35" t="str">
        <f>IF(AND(ISNUMBER(SEARCH("BUY",Tableau4849[[#This Row],[COMMAND]]))),"BUYSTOP",IF(AND(ISNUMBER(SEARCH("SELL",Tableau4849[[#This Row],[COMMAND]]))),"SELLSTOP",""))</f>
        <v/>
      </c>
      <c r="AK7" s="35" t="str">
        <f>IFERROR(SUBSTITUTE(Tableau4849[[#This Row],[PRICE]],",","."),"")</f>
        <v/>
      </c>
      <c r="AL7" s="35" t="str">
        <f>IF(Tableau4849[[#This Row],[INDEX]]&lt;3,"",Tableau4849[[#This Row],[IDENTITE]])</f>
        <v/>
      </c>
      <c r="AM7" s="35" t="str">
        <f>IF(Tableau4849[[#This Row],[INDEX]]&lt;3,"",Tableau4849[[#This Row],[DEVISE]])</f>
        <v/>
      </c>
      <c r="AN7" s="35" t="str">
        <f>IFERROR(IF(Tableau4849[[#This Row],[INDEX]]&lt;3,"",Tableau4849[[#This Row],[ATTEINT]]),100000)</f>
        <v/>
      </c>
      <c r="AO7" s="35" t="str">
        <f>IF(Tableau4849[[#This Row],[INDEX]]&lt;3,"",Tableau4849[[#This Row],[COMPTE]])</f>
        <v/>
      </c>
      <c r="AP7" s="35" t="str">
        <f>IF(Tableau4849[[#This Row],[INDEX]]&lt;3,"","NON")</f>
        <v/>
      </c>
      <c r="AQ7" s="35" t="str">
        <f>IF(Tableau4849[[#This Row],[INDEX]]&lt;3,"",IF(Tableau4849[[#This Row],[0,5]]&lt;0,"NEGATIF",""))</f>
        <v/>
      </c>
    </row>
    <row r="8" spans="1:43" x14ac:dyDescent="0.25">
      <c r="A8" s="24">
        <v>2</v>
      </c>
      <c r="B8" s="32"/>
      <c r="C8" s="26"/>
      <c r="D8" s="24"/>
      <c r="E8" s="24"/>
      <c r="F8" s="24"/>
      <c r="G8" s="26"/>
      <c r="H8" s="27"/>
      <c r="I8" s="28" t="str">
        <f>IF(IFERROR(_xlfn.XLOOKUP(Tableau4849[[#This Row],[SL]],'[1]Tickets (2)'!J4:J798,'[1]Tickets (2)'!I7:I801),"")=0,"",IFERROR(_xlfn.XLOOKUP(Tableau4849[[#This Row],[SL]],'[1]Tickets (2)'!J4:J798,'[1]Tickets (2)'!I7:I801),""))</f>
        <v/>
      </c>
      <c r="K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" s="33" t="str">
        <f>IF(Tableau4849[[#This Row],[T CLOSE]]="","",IF(AND(IF(AND(ISNUMBER(SEARCH("BUY",Tableau4849[[#This Row],[COMPTE]]))),"BUY",IF(AND(ISNUMBER(SEARCH("SELL",Tableau4849[[#This Row],[COMPTE]]))),"SELL",""))="BUY",IF(AND(ISNUMBER(SEARCH("SELL",Tableau4849[[#This Row],[COMPTE]]))),Tableau4849[[#This Row],[IDENTITE]]+#REF!,IF(AND(ISNUMBER(SEARCH("BUY",Tableau4849[[#This Row],[COMPTE]]))),Tableau4849[[#This Row],[IDENTITE]]-#REF!,""))&gt;_xlfn.MINIFS('[1]Live (2)'!DG361:DG527,'[1]Live (2)'!DD363:DD529,"&gt;"&amp;Tableau4849[[#This Row],[open T]])),"LOSE",IF(AND(IF(AND(ISNUMBER(SEARCH("BUY",Tableau4849[[#This Row],[COMPTE]]))),"BUY",IF(AND(ISNUMBER(SEARCH("SELL",Tableau4849[[#This Row],[COMPTE]]))),"SELL",""))="SELL",_xlfn.MAXIFS('[1]Live (2)'!DF363:DF529,'[1]Live (2)'!DD363:DD529,$P$2&amp;Tableau4849[[#This Row],[open T]])&gt;IF(AND(ISNUMBER(SEARCH("SELL",Tableau4849[[#This Row],[COMPTE]]))),Tableau4849[[#This Row],[IDENTITE]]+#REF!,IF(AND(ISNUMBER(SEARCH("BUY",Tableau4849[[#This Row],[COMPTE]]))),Tableau4849[[#This Row],[IDENTITE]]-#REF!,""))),"LOSE","")))</f>
        <v/>
      </c>
      <c r="N8" t="str">
        <f>IF(Tableau4849[[#This Row],[T CLOSE]]&gt;[1]CONFIGURATION!$K$4,Tableau4849[[#This Row],[IDENTITE]],"")</f>
        <v/>
      </c>
      <c r="O8" s="26">
        <f>IFERROR(Tableau4849[[#This Row],[SL]]/(Tableau4849[[#This Row],[VOLUME]]/$I$5),0)</f>
        <v>0</v>
      </c>
      <c r="P8" s="26">
        <f>Tableau4849[[#This Row],[COMMAND]]</f>
        <v>0</v>
      </c>
      <c r="Q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/>
      </c>
      <c r="R8" s="29">
        <v>10</v>
      </c>
      <c r="S8" s="26" t="str">
        <f>IF(Tableau4849[[#This Row],[ETAT]]="LOSE",IF(IFERROR(ABS(SUBSTITUTE(Tableau4849[[#This Row],[PRICE]],".",",")-'[1]Deal ticket'!$B$16)*1000,"")&lt;=$S$5,"GO","WAIT"),"")</f>
        <v/>
      </c>
      <c r="T8" s="26" t="str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/>
      </c>
      <c r="U8" s="34" t="str">
        <f>IF(Tableau4849[[#This Row],[ETAT]]="LOSE",IF(IFERROR(ABS(SUBSTITUTE(Tableau4849[[#This Row],[PRICE]],".",",")-'[1]Deal ticket'!$B$16)*1000,"")&lt;=$U$5,"GO","WAIT"),"")</f>
        <v/>
      </c>
      <c r="V8" s="26" t="str">
        <f>IF(Tableau4849[[#This Row],[INDEX]]&lt;3,"",SUMIFS(Tableau4849[SL],Tableau4849[Colonne5],Tableau4849[[#This Row],[Colonne5]])+$S$4)</f>
        <v/>
      </c>
      <c r="W8" s="34" t="str">
        <f>IF(Tableau4849[[#This Row],[ETAT]]="LOSE",IF(IFERROR(ABS(SUBSTITUTE(Tableau4849[[#This Row],[PRICE]],".",",")-'[1]Deal ticket'!$B$16)*1000,"")&lt;=$W$5,"GO","WAIT"),"")</f>
        <v/>
      </c>
      <c r="X8" s="26" t="str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/>
      </c>
      <c r="Y8" s="26" t="str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/>
      </c>
      <c r="Z8" s="26" t="str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/>
      </c>
      <c r="AA8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8" s="26" t="str">
        <f>IF(AND(Tableau4849[[#This Row],[3,8]]=1),Tableau4849[[#This Row],[INDEX]],"")</f>
        <v/>
      </c>
      <c r="AC8" s="26" t="str">
        <f ca="1">IF(IFERROR(_xlfn.XLOOKUP(Tableau4849[[#This Row],[IDENTITE]],[1]!Tableau47[GLOBUY],[1]!Tableau47[GLOBUY]),"")="","",1)</f>
        <v/>
      </c>
      <c r="AD8" s="26" t="str">
        <f>IF(IFERROR(_xlfn.XLOOKUP(Tableau4849[[#This Row],[IDENTITE]],[1]!Tableau47[GLOSELL],[1]!Tableau47[GLOSELL]),"")="","",1)</f>
        <v/>
      </c>
      <c r="AE8" s="26"/>
      <c r="AF8" s="26" t="str">
        <f>IF(Tableau4849[[#This Row],[INDEX]]&lt;3,"",IF(Tableau4849[[#This Row],[COMMAND]]="","",IF('[1]Bar history'!$AA$33=1,1,"")))</f>
        <v/>
      </c>
      <c r="AG8" s="26"/>
      <c r="AH8" s="26" t="str">
        <f>IF(IFERROR(_xlfn.XLOOKUP(Tableau4849[[#This Row],[IDENTITE]],[1]!Tableau47[COMMENTAIRE],[1]!Tableau47[CLOTURE]),"")=[1]PARAMETRE!$BK$31,Tableau4849[[#This Row],[INDEX]],"")</f>
        <v/>
      </c>
      <c r="AI8" s="26"/>
      <c r="AJ8" s="35" t="str">
        <f>IF(AND(ISNUMBER(SEARCH("BUY",Tableau4849[[#This Row],[COMMAND]]))),"BUYSTOP",IF(AND(ISNUMBER(SEARCH("SELL",Tableau4849[[#This Row],[COMMAND]]))),"SELLSTOP",""))</f>
        <v/>
      </c>
      <c r="AK8" s="35" t="str">
        <f>IFERROR(SUBSTITUTE(Tableau4849[[#This Row],[PRICE]],",","."),"")</f>
        <v/>
      </c>
      <c r="AL8" s="35" t="str">
        <f>IF(Tableau4849[[#This Row],[INDEX]]&lt;3,"",Tableau4849[[#This Row],[IDENTITE]])</f>
        <v/>
      </c>
      <c r="AM8" s="35" t="str">
        <f>IF(Tableau4849[[#This Row],[INDEX]]&lt;3,"",Tableau4849[[#This Row],[DEVISE]])</f>
        <v/>
      </c>
      <c r="AN8" s="35" t="str">
        <f>IFERROR(IF(Tableau4849[[#This Row],[INDEX]]&lt;3,"",Tableau4849[[#This Row],[ATTEINT]]),100000)</f>
        <v/>
      </c>
      <c r="AO8" s="35" t="str">
        <f>IF(Tableau4849[[#This Row],[INDEX]]&lt;3,"",Tableau4849[[#This Row],[COMPTE]])</f>
        <v/>
      </c>
      <c r="AP8" s="35" t="str">
        <f>IF(Tableau4849[[#This Row],[INDEX]]&lt;3,"","NON")</f>
        <v/>
      </c>
      <c r="AQ8" s="35" t="str">
        <f>IF(Tableau4849[[#This Row],[INDEX]]&lt;3,"",IF(Tableau4849[[#This Row],[0,5]]&lt;0,"NEGATIF",""))</f>
        <v/>
      </c>
    </row>
    <row r="9" spans="1:43" x14ac:dyDescent="0.25">
      <c r="A9" s="24">
        <v>3</v>
      </c>
      <c r="B9" s="32">
        <v>44923.46434027778</v>
      </c>
      <c r="C9" s="26">
        <v>925832</v>
      </c>
      <c r="D9" s="24" t="s">
        <v>0</v>
      </c>
      <c r="E9" s="24" t="s">
        <v>47</v>
      </c>
      <c r="F9" s="24">
        <v>1.0637700000000001</v>
      </c>
      <c r="G9" s="26">
        <v>2000</v>
      </c>
      <c r="H9" s="27" t="s">
        <v>125</v>
      </c>
      <c r="I9" s="28" t="str">
        <f>IF(IFERROR(_xlfn.XLOOKUP(Tableau4849[[#This Row],[SL]],'[1]Tickets (2)'!J5:J799,'[1]Tickets (2)'!I8:I802),"")=0,"",IFERROR(_xlfn.XLOOKUP(Tableau4849[[#This Row],[SL]],'[1]Tickets (2)'!J5:J799,'[1]Tickets (2)'!I8:I802),""))</f>
        <v/>
      </c>
      <c r="K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9" s="33">
        <v>44923.630886574072</v>
      </c>
      <c r="N9" s="3" t="str">
        <f>IF(Tableau4849[[#This Row],[T CLOSE]]&gt;[1]CONFIGURATION!$K$4,Tableau4849[[#This Row],[IDENTITE]],"")</f>
        <v/>
      </c>
      <c r="O9" s="26">
        <f>IFERROR(Tableau4849[[#This Row],[SL]]/(Tableau4849[[#This Row],[VOLUME]]/$I$5),0)</f>
        <v>0</v>
      </c>
      <c r="P9" s="26" t="str">
        <f>Tableau4849[[#This Row],[COMMAND]]</f>
        <v>BUY</v>
      </c>
      <c r="Q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1.06247 M1M1</v>
      </c>
      <c r="R9" s="29">
        <v>-39</v>
      </c>
      <c r="S9" s="26" t="str">
        <f>IF(Tableau4849[[#This Row],[ETAT]]="LOSE",IF(IFERROR(ABS(SUBSTITUTE(Tableau4849[[#This Row],[PRICE]],".",",")-'[1]Deal ticket'!$B$16)*1000,"")&lt;=$S$5,"GO","WAIT"),"")</f>
        <v/>
      </c>
      <c r="T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" s="34" t="str">
        <f>IF(Tableau4849[[#This Row],[ETAT]]="LOSE",IF(IFERROR(ABS(SUBSTITUTE(Tableau4849[[#This Row],[PRICE]],".",",")-'[1]Deal ticket'!$B$16)*1000,"")&lt;=$U$5,"GO","WAIT"),"")</f>
        <v/>
      </c>
      <c r="V9" s="26">
        <f>IF(Tableau4849[[#This Row],[INDEX]]&lt;3,"",SUMIFS(Tableau4849[SL],Tableau4849[Colonne5],Tableau4849[[#This Row],[Colonne5]])+$S$4)</f>
        <v>1</v>
      </c>
      <c r="W9" s="34" t="str">
        <f>IF(Tableau4849[[#This Row],[ETAT]]="LOSE",IF(IFERROR(ABS(SUBSTITUTE(Tableau4849[[#This Row],[PRICE]],".",",")-'[1]Deal ticket'!$B$16)*1000,"")&lt;=$W$5,"GO","WAIT"),"")</f>
        <v/>
      </c>
      <c r="X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9" s="26">
        <f>IF(AND(Tableau4849[[#This Row],[3,8]]=1),Tableau4849[[#This Row],[INDEX]],"")</f>
        <v>3</v>
      </c>
      <c r="AC9" s="26" t="str">
        <f ca="1">IF(IFERROR(_xlfn.XLOOKUP(Tableau4849[[#This Row],[IDENTITE]],[1]!Tableau47[GLOBUY],[1]!Tableau47[GLOBUY]),"")="","",1)</f>
        <v/>
      </c>
      <c r="AD9" s="26" t="str">
        <f>IF(IFERROR(_xlfn.XLOOKUP(Tableau4849[[#This Row],[IDENTITE]],[1]!Tableau47[GLOSELL],[1]!Tableau47[GLOSELL]),"")="","",1)</f>
        <v/>
      </c>
      <c r="AE9" s="26"/>
      <c r="AF9" s="26">
        <f>IF(Tableau4849[[#This Row],[INDEX]]&lt;3,"",IF(Tableau4849[[#This Row],[COMMAND]]="","",IF('[1]Bar history'!$AA$33=1,1,"")))</f>
        <v>1</v>
      </c>
      <c r="AG9" s="26"/>
      <c r="AH9" s="26" t="str">
        <f>IF(IFERROR(_xlfn.XLOOKUP(Tableau4849[[#This Row],[IDENTITE]],[1]!Tableau47[COMMENTAIRE],[1]!Tableau47[CLOTURE]),"")=[1]PARAMETRE!$BK$31,Tableau4849[[#This Row],[INDEX]],"")</f>
        <v/>
      </c>
      <c r="AI9" s="26"/>
      <c r="AJ9" s="35" t="str">
        <f>IF(AND(ISNUMBER(SEARCH("BUY",Tableau4849[[#This Row],[COMMAND]]))),"BUYSTOP",IF(AND(ISNUMBER(SEARCH("SELL",Tableau4849[[#This Row],[COMMAND]]))),"SELLSTOP",""))</f>
        <v>BUYSTOP</v>
      </c>
      <c r="AK9" s="35" t="str">
        <f>IFERROR(SUBSTITUTE(Tableau4849[[#This Row],[PRICE]],",","."),"")</f>
        <v>1.06377</v>
      </c>
      <c r="AL9" s="35" t="str">
        <f>IF(Tableau4849[[#This Row],[INDEX]]&lt;3,"",Tableau4849[[#This Row],[IDENTITE]])</f>
        <v>1 RBRB B 1.06247 M1M1</v>
      </c>
      <c r="AM9" s="35" t="str">
        <f>IF(Tableau4849[[#This Row],[INDEX]]&lt;3,"",Tableau4849[[#This Row],[DEVISE]])</f>
        <v>EURUSD</v>
      </c>
      <c r="AN9" s="35">
        <f>IFERROR(IF(Tableau4849[[#This Row],[INDEX]]&lt;3,"",Tableau4849[[#This Row],[ATTEINT]]),100000)</f>
        <v>100000</v>
      </c>
      <c r="AO9" s="35">
        <f>IF(Tableau4849[[#This Row],[INDEX]]&lt;3,"",Tableau4849[[#This Row],[COMPTE]])</f>
        <v>925832</v>
      </c>
      <c r="AP9" s="35" t="str">
        <f>IF(Tableau4849[[#This Row],[INDEX]]&lt;3,"","NON")</f>
        <v>NON</v>
      </c>
      <c r="AQ9" s="35" t="str">
        <f>IF(Tableau4849[[#This Row],[INDEX]]&lt;3,"",IF(Tableau4849[[#This Row],[0,5]]&lt;0,"NEGATIF",""))</f>
        <v>NEGATIF</v>
      </c>
    </row>
    <row r="10" spans="1:43" x14ac:dyDescent="0.25">
      <c r="A10" s="24">
        <v>4</v>
      </c>
      <c r="B10" s="32">
        <v>44923.463229166664</v>
      </c>
      <c r="C10" s="26">
        <v>925832</v>
      </c>
      <c r="D10" s="24" t="s">
        <v>0</v>
      </c>
      <c r="E10" s="24" t="s">
        <v>47</v>
      </c>
      <c r="F10" s="24">
        <v>1.06403</v>
      </c>
      <c r="G10" s="26">
        <v>1000</v>
      </c>
      <c r="H10" s="27" t="s">
        <v>3</v>
      </c>
      <c r="I10" s="28" t="str">
        <f>IF(IFERROR(_xlfn.XLOOKUP(Tableau4849[[#This Row],[SL]],'[1]Tickets (2)'!J6:J800,'[1]Tickets (2)'!I9:I803),"")=0,"",IFERROR(_xlfn.XLOOKUP(Tableau4849[[#This Row],[SL]],'[1]Tickets (2)'!J6:J800,'[1]Tickets (2)'!I9:I803),""))</f>
        <v/>
      </c>
      <c r="K1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0" s="33">
        <v>44923.630886574072</v>
      </c>
      <c r="N10" s="3" t="str">
        <f>IF(Tableau4849[[#This Row],[T CLOSE]]&gt;[1]CONFIGURATION!$K$4,Tableau4849[[#This Row],[IDENTITE]],"")</f>
        <v/>
      </c>
      <c r="O10" s="26">
        <f>IFERROR(Tableau4849[[#This Row],[SL]]/(Tableau4849[[#This Row],[VOLUME]]/$I$5),0)</f>
        <v>0</v>
      </c>
      <c r="P10" s="26" t="str">
        <f>Tableau4849[[#This Row],[COMMAND]]</f>
        <v>BUY</v>
      </c>
      <c r="Q1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1.06251 M1M1</v>
      </c>
      <c r="R10" s="29">
        <v>-36</v>
      </c>
      <c r="S10" s="26" t="str">
        <f>IF(Tableau4849[[#This Row],[ETAT]]="LOSE",IF(IFERROR(ABS(SUBSTITUTE(Tableau4849[[#This Row],[PRICE]],".",",")-'[1]Deal ticket'!$B$16)*1000,"")&lt;=$S$5,"GO","WAIT"),"")</f>
        <v/>
      </c>
      <c r="T1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" s="34" t="str">
        <f>IF(Tableau4849[[#This Row],[ETAT]]="LOSE",IF(IFERROR(ABS(SUBSTITUTE(Tableau4849[[#This Row],[PRICE]],".",",")-'[1]Deal ticket'!$B$16)*1000,"")&lt;=$U$5,"GO","WAIT"),"")</f>
        <v/>
      </c>
      <c r="V10" s="26">
        <f>IF(Tableau4849[[#This Row],[INDEX]]&lt;3,"",SUMIFS(Tableau4849[SL],Tableau4849[Colonne5],Tableau4849[[#This Row],[Colonne5]])+$S$4)</f>
        <v>1</v>
      </c>
      <c r="W10" s="34" t="str">
        <f>IF(Tableau4849[[#This Row],[ETAT]]="LOSE",IF(IFERROR(ABS(SUBSTITUTE(Tableau4849[[#This Row],[PRICE]],".",",")-'[1]Deal ticket'!$B$16)*1000,"")&lt;=$W$5,"GO","WAIT"),"")</f>
        <v/>
      </c>
      <c r="X1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0" s="26">
        <f>IF(AND(Tableau4849[[#This Row],[3,8]]=1),Tableau4849[[#This Row],[INDEX]],"")</f>
        <v>4</v>
      </c>
      <c r="AC10" s="26" t="str">
        <f ca="1">IF(IFERROR(_xlfn.XLOOKUP(Tableau4849[[#This Row],[IDENTITE]],[1]!Tableau47[GLOBUY],[1]!Tableau47[GLOBUY]),"")="","",1)</f>
        <v/>
      </c>
      <c r="AD10" s="26" t="str">
        <f>IF(IFERROR(_xlfn.XLOOKUP(Tableau4849[[#This Row],[IDENTITE]],[1]!Tableau47[GLOSELL],[1]!Tableau47[GLOSELL]),"")="","",1)</f>
        <v/>
      </c>
      <c r="AE10" s="26"/>
      <c r="AF10" s="26">
        <f>IF(Tableau4849[[#This Row],[INDEX]]&lt;3,"",IF(Tableau4849[[#This Row],[COMMAND]]="","",IF('[1]Bar history'!$AA$33=1,1,"")))</f>
        <v>1</v>
      </c>
      <c r="AG10" s="26"/>
      <c r="AH10" s="26" t="str">
        <f>IF(IFERROR(_xlfn.XLOOKUP(Tableau4849[[#This Row],[IDENTITE]],[1]!Tableau47[COMMENTAIRE],[1]!Tableau47[CLOTURE]),"")=[1]PARAMETRE!$BK$31,Tableau4849[[#This Row],[INDEX]],"")</f>
        <v/>
      </c>
      <c r="AI10" s="26"/>
      <c r="AJ10" s="35" t="str">
        <f>IF(AND(ISNUMBER(SEARCH("BUY",Tableau4849[[#This Row],[COMMAND]]))),"BUYSTOP",IF(AND(ISNUMBER(SEARCH("SELL",Tableau4849[[#This Row],[COMMAND]]))),"SELLSTOP",""))</f>
        <v>BUYSTOP</v>
      </c>
      <c r="AK10" s="35" t="str">
        <f>IFERROR(SUBSTITUTE(Tableau4849[[#This Row],[PRICE]],",","."),"")</f>
        <v>1.06403</v>
      </c>
      <c r="AL10" s="35" t="str">
        <f>IF(Tableau4849[[#This Row],[INDEX]]&lt;3,"",Tableau4849[[#This Row],[IDENTITE]])</f>
        <v>1 RBRB B 1.06251 M1M1</v>
      </c>
      <c r="AM10" s="35" t="str">
        <f>IF(Tableau4849[[#This Row],[INDEX]]&lt;3,"",Tableau4849[[#This Row],[DEVISE]])</f>
        <v>EURUSD</v>
      </c>
      <c r="AN10" s="35">
        <f>IFERROR(IF(Tableau4849[[#This Row],[INDEX]]&lt;3,"",Tableau4849[[#This Row],[ATTEINT]]),100000)</f>
        <v>100000</v>
      </c>
      <c r="AO10" s="35">
        <f>IF(Tableau4849[[#This Row],[INDEX]]&lt;3,"",Tableau4849[[#This Row],[COMPTE]])</f>
        <v>925832</v>
      </c>
      <c r="AP10" s="35" t="str">
        <f>IF(Tableau4849[[#This Row],[INDEX]]&lt;3,"","NON")</f>
        <v>NON</v>
      </c>
      <c r="AQ10" s="35" t="str">
        <f>IF(Tableau4849[[#This Row],[INDEX]]&lt;3,"",IF(Tableau4849[[#This Row],[0,5]]&lt;0,"NEGATIF",""))</f>
        <v>NEGATIF</v>
      </c>
    </row>
    <row r="11" spans="1:43" x14ac:dyDescent="0.25">
      <c r="A11" s="24">
        <v>5</v>
      </c>
      <c r="B11" s="32">
        <v>44923.461759259262</v>
      </c>
      <c r="C11" s="26">
        <v>925832</v>
      </c>
      <c r="D11" s="24" t="s">
        <v>0</v>
      </c>
      <c r="E11" s="24" t="s">
        <v>47</v>
      </c>
      <c r="F11" s="24">
        <v>1.0636099999999999</v>
      </c>
      <c r="G11" s="26">
        <v>1000</v>
      </c>
      <c r="H11" s="27" t="s">
        <v>128</v>
      </c>
      <c r="I11" s="28" t="str">
        <f>IF(IFERROR(_xlfn.XLOOKUP(Tableau4849[[#This Row],[SL]],'[1]Tickets (2)'!J7:J801,'[1]Tickets (2)'!I10:I804),"")=0,"",IFERROR(_xlfn.XLOOKUP(Tableau4849[[#This Row],[SL]],'[1]Tickets (2)'!J7:J801,'[1]Tickets (2)'!I10:I804),""))</f>
        <v/>
      </c>
      <c r="K1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1" s="33">
        <v>44923.630886574072</v>
      </c>
      <c r="N11" s="3" t="str">
        <f>IF(Tableau4849[[#This Row],[T CLOSE]]&gt;[1]CONFIGURATION!$K$4,Tableau4849[[#This Row],[IDENTITE]],"")</f>
        <v/>
      </c>
      <c r="O11" s="26">
        <f>IFERROR(Tableau4849[[#This Row],[SL]]/(Tableau4849[[#This Row],[VOLUME]]/$I$5),0)</f>
        <v>0</v>
      </c>
      <c r="P11" s="26" t="str">
        <f>Tableau4849[[#This Row],[COMMAND]]</f>
        <v>BUY</v>
      </c>
      <c r="Q1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1.06211 M1M1</v>
      </c>
      <c r="R11" s="29">
        <v>-46</v>
      </c>
      <c r="S11" s="26" t="str">
        <f>IF(Tableau4849[[#This Row],[ETAT]]="LOSE",IF(IFERROR(ABS(SUBSTITUTE(Tableau4849[[#This Row],[PRICE]],".",",")-'[1]Deal ticket'!$B$16)*1000,"")&lt;=$S$5,"GO","WAIT"),"")</f>
        <v/>
      </c>
      <c r="T1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" s="34" t="str">
        <f>IF(Tableau4849[[#This Row],[ETAT]]="LOSE",IF(IFERROR(ABS(SUBSTITUTE(Tableau4849[[#This Row],[PRICE]],".",",")-'[1]Deal ticket'!$B$16)*1000,"")&lt;=$U$5,"GO","WAIT"),"")</f>
        <v/>
      </c>
      <c r="V11" s="26">
        <f>IF(Tableau4849[[#This Row],[INDEX]]&lt;3,"",SUMIFS(Tableau4849[SL],Tableau4849[Colonne5],Tableau4849[[#This Row],[Colonne5]])+$S$4)</f>
        <v>1</v>
      </c>
      <c r="W11" s="34" t="str">
        <f>IF(Tableau4849[[#This Row],[ETAT]]="LOSE",IF(IFERROR(ABS(SUBSTITUTE(Tableau4849[[#This Row],[PRICE]],".",",")-'[1]Deal ticket'!$B$16)*1000,"")&lt;=$W$5,"GO","WAIT"),"")</f>
        <v/>
      </c>
      <c r="X1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" s="26">
        <f>IF(AND(Tableau4849[[#This Row],[3,8]]=1),Tableau4849[[#This Row],[INDEX]],"")</f>
        <v>5</v>
      </c>
      <c r="AC11" s="26" t="str">
        <f ca="1">IF(IFERROR(_xlfn.XLOOKUP(Tableau4849[[#This Row],[IDENTITE]],[1]!Tableau47[GLOBUY],[1]!Tableau47[GLOBUY]),"")="","",1)</f>
        <v/>
      </c>
      <c r="AD11" s="26" t="str">
        <f>IF(IFERROR(_xlfn.XLOOKUP(Tableau4849[[#This Row],[IDENTITE]],[1]!Tableau47[GLOSELL],[1]!Tableau47[GLOSELL]),"")="","",1)</f>
        <v/>
      </c>
      <c r="AE11" s="26"/>
      <c r="AF11" s="26">
        <f>IF(Tableau4849[[#This Row],[INDEX]]&lt;3,"",IF(Tableau4849[[#This Row],[COMMAND]]="","",IF('[1]Bar history'!$AA$33=1,1,"")))</f>
        <v>1</v>
      </c>
      <c r="AG11" s="26"/>
      <c r="AH11" s="26" t="str">
        <f>IF(IFERROR(_xlfn.XLOOKUP(Tableau4849[[#This Row],[IDENTITE]],[1]!Tableau47[COMMENTAIRE],[1]!Tableau47[CLOTURE]),"")=[1]PARAMETRE!$BK$31,Tableau4849[[#This Row],[INDEX]],"")</f>
        <v/>
      </c>
      <c r="AI11" s="26"/>
      <c r="AJ11" s="35" t="str">
        <f>IF(AND(ISNUMBER(SEARCH("BUY",Tableau4849[[#This Row],[COMMAND]]))),"BUYSTOP",IF(AND(ISNUMBER(SEARCH("SELL",Tableau4849[[#This Row],[COMMAND]]))),"SELLSTOP",""))</f>
        <v>BUYSTOP</v>
      </c>
      <c r="AK11" s="35" t="str">
        <f>IFERROR(SUBSTITUTE(Tableau4849[[#This Row],[PRICE]],",","."),"")</f>
        <v>1.06361</v>
      </c>
      <c r="AL11" s="35" t="str">
        <f>IF(Tableau4849[[#This Row],[INDEX]]&lt;3,"",Tableau4849[[#This Row],[IDENTITE]])</f>
        <v>1 RBRB B 1.06211 M1M1</v>
      </c>
      <c r="AM11" s="35" t="str">
        <f>IF(Tableau4849[[#This Row],[INDEX]]&lt;3,"",Tableau4849[[#This Row],[DEVISE]])</f>
        <v>EURUSD</v>
      </c>
      <c r="AN11" s="35">
        <f>IFERROR(IF(Tableau4849[[#This Row],[INDEX]]&lt;3,"",Tableau4849[[#This Row],[ATTEINT]]),100000)</f>
        <v>100000</v>
      </c>
      <c r="AO11" s="35">
        <f>IF(Tableau4849[[#This Row],[INDEX]]&lt;3,"",Tableau4849[[#This Row],[COMPTE]])</f>
        <v>925832</v>
      </c>
      <c r="AP11" s="35" t="str">
        <f>IF(Tableau4849[[#This Row],[INDEX]]&lt;3,"","NON")</f>
        <v>NON</v>
      </c>
      <c r="AQ11" s="35" t="str">
        <f>IF(Tableau4849[[#This Row],[INDEX]]&lt;3,"",IF(Tableau4849[[#This Row],[0,5]]&lt;0,"NEGATIF",""))</f>
        <v>NEGATIF</v>
      </c>
    </row>
    <row r="12" spans="1:43" x14ac:dyDescent="0.25">
      <c r="A12" s="24">
        <v>6</v>
      </c>
      <c r="B12" s="32">
        <v>44923.461018518516</v>
      </c>
      <c r="C12" s="26">
        <v>925832</v>
      </c>
      <c r="D12" s="24" t="s">
        <v>0</v>
      </c>
      <c r="E12" s="24" t="s">
        <v>47</v>
      </c>
      <c r="F12" s="24">
        <v>1.0636300000000001</v>
      </c>
      <c r="G12" s="26">
        <v>1000</v>
      </c>
      <c r="H12" s="27" t="s">
        <v>129</v>
      </c>
      <c r="I12" s="28" t="str">
        <f>IF(IFERROR(_xlfn.XLOOKUP(Tableau4849[[#This Row],[SL]],'[1]Tickets (2)'!J8:J802,'[1]Tickets (2)'!I11:I805),"")=0,"",IFERROR(_xlfn.XLOOKUP(Tableau4849[[#This Row],[SL]],'[1]Tickets (2)'!J8:J802,'[1]Tickets (2)'!I11:I805),""))</f>
        <v/>
      </c>
      <c r="K1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2" s="33">
        <v>44923.630886574072</v>
      </c>
      <c r="N12" s="3" t="str">
        <f>IF(Tableau4849[[#This Row],[T CLOSE]]&gt;[1]CONFIGURATION!$K$4,Tableau4849[[#This Row],[IDENTITE]],"")</f>
        <v/>
      </c>
      <c r="O12" s="26">
        <f>IFERROR(Tableau4849[[#This Row],[SL]]/(Tableau4849[[#This Row],[VOLUME]]/$I$5),0)</f>
        <v>0</v>
      </c>
      <c r="P12" s="26" t="str">
        <f>Tableau4849[[#This Row],[COMMAND]]</f>
        <v>BUY</v>
      </c>
      <c r="Q1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1.06212 M1M1</v>
      </c>
      <c r="R12" s="29">
        <v>-56</v>
      </c>
      <c r="S12" s="26" t="str">
        <f>IF(Tableau4849[[#This Row],[ETAT]]="LOSE",IF(IFERROR(ABS(SUBSTITUTE(Tableau4849[[#This Row],[PRICE]],".",",")-'[1]Deal ticket'!$B$16)*1000,"")&lt;=$S$5,"GO","WAIT"),"")</f>
        <v/>
      </c>
      <c r="T1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" s="34" t="str">
        <f>IF(Tableau4849[[#This Row],[ETAT]]="LOSE",IF(IFERROR(ABS(SUBSTITUTE(Tableau4849[[#This Row],[PRICE]],".",",")-'[1]Deal ticket'!$B$16)*1000,"")&lt;=$U$5,"GO","WAIT"),"")</f>
        <v/>
      </c>
      <c r="V12" s="26">
        <f>IF(Tableau4849[[#This Row],[INDEX]]&lt;3,"",SUMIFS(Tableau4849[SL],Tableau4849[Colonne5],Tableau4849[[#This Row],[Colonne5]])+$S$4)</f>
        <v>1</v>
      </c>
      <c r="W12" s="34" t="str">
        <f>IF(Tableau4849[[#This Row],[ETAT]]="LOSE",IF(IFERROR(ABS(SUBSTITUTE(Tableau4849[[#This Row],[PRICE]],".",",")-'[1]Deal ticket'!$B$16)*1000,"")&lt;=$W$5,"GO","WAIT"),"")</f>
        <v/>
      </c>
      <c r="X1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" s="26">
        <f>IF(AND(Tableau4849[[#This Row],[3,8]]=1),Tableau4849[[#This Row],[INDEX]],"")</f>
        <v>6</v>
      </c>
      <c r="AC12" s="26" t="str">
        <f ca="1">IF(IFERROR(_xlfn.XLOOKUP(Tableau4849[[#This Row],[IDENTITE]],[1]!Tableau47[GLOBUY],[1]!Tableau47[GLOBUY]),"")="","",1)</f>
        <v/>
      </c>
      <c r="AD12" s="26" t="str">
        <f>IF(IFERROR(_xlfn.XLOOKUP(Tableau4849[[#This Row],[IDENTITE]],[1]!Tableau47[GLOSELL],[1]!Tableau47[GLOSELL]),"")="","",1)</f>
        <v/>
      </c>
      <c r="AE12" s="26"/>
      <c r="AF12" s="26">
        <f>IF(Tableau4849[[#This Row],[INDEX]]&lt;3,"",IF(Tableau4849[[#This Row],[COMMAND]]="","",IF('[1]Bar history'!$AA$33=1,1,"")))</f>
        <v>1</v>
      </c>
      <c r="AG12" s="26"/>
      <c r="AH12" s="26" t="str">
        <f>IF(IFERROR(_xlfn.XLOOKUP(Tableau4849[[#This Row],[IDENTITE]],[1]!Tableau47[COMMENTAIRE],[1]!Tableau47[CLOTURE]),"")=[1]PARAMETRE!$BK$31,Tableau4849[[#This Row],[INDEX]],"")</f>
        <v/>
      </c>
      <c r="AI12" s="26"/>
      <c r="AJ12" s="35" t="str">
        <f>IF(AND(ISNUMBER(SEARCH("BUY",Tableau4849[[#This Row],[COMMAND]]))),"BUYSTOP",IF(AND(ISNUMBER(SEARCH("SELL",Tableau4849[[#This Row],[COMMAND]]))),"SELLSTOP",""))</f>
        <v>BUYSTOP</v>
      </c>
      <c r="AK12" s="35" t="str">
        <f>IFERROR(SUBSTITUTE(Tableau4849[[#This Row],[PRICE]],",","."),"")</f>
        <v>1.06363</v>
      </c>
      <c r="AL12" s="35" t="str">
        <f>IF(Tableau4849[[#This Row],[INDEX]]&lt;3,"",Tableau4849[[#This Row],[IDENTITE]])</f>
        <v>1 RBRB B 1.06212 M1M1</v>
      </c>
      <c r="AM12" s="35" t="str">
        <f>IF(Tableau4849[[#This Row],[INDEX]]&lt;3,"",Tableau4849[[#This Row],[DEVISE]])</f>
        <v>EURUSD</v>
      </c>
      <c r="AN12" s="35">
        <f>IFERROR(IF(Tableau4849[[#This Row],[INDEX]]&lt;3,"",Tableau4849[[#This Row],[ATTEINT]]),100000)</f>
        <v>100000</v>
      </c>
      <c r="AO12" s="35">
        <f>IF(Tableau4849[[#This Row],[INDEX]]&lt;3,"",Tableau4849[[#This Row],[COMPTE]])</f>
        <v>925832</v>
      </c>
      <c r="AP12" s="35" t="str">
        <f>IF(Tableau4849[[#This Row],[INDEX]]&lt;3,"","NON")</f>
        <v>NON</v>
      </c>
      <c r="AQ12" s="35" t="str">
        <f>IF(Tableau4849[[#This Row],[INDEX]]&lt;3,"",IF(Tableau4849[[#This Row],[0,5]]&lt;0,"NEGATIF",""))</f>
        <v>NEGATIF</v>
      </c>
    </row>
    <row r="13" spans="1:43" x14ac:dyDescent="0.25">
      <c r="A13" s="24">
        <v>7</v>
      </c>
      <c r="B13" s="32">
        <v>44923.46025462963</v>
      </c>
      <c r="C13" s="26">
        <v>925832</v>
      </c>
      <c r="D13" s="24" t="s">
        <v>0</v>
      </c>
      <c r="E13" s="24" t="s">
        <v>47</v>
      </c>
      <c r="F13" s="24">
        <v>1.06348</v>
      </c>
      <c r="G13" s="26">
        <v>1000</v>
      </c>
      <c r="H13" s="27" t="s">
        <v>131</v>
      </c>
      <c r="I13" s="28" t="str">
        <f>IF(IFERROR(_xlfn.XLOOKUP(Tableau4849[[#This Row],[SL]],'[1]Tickets (2)'!J9:J803,'[1]Tickets (2)'!I12:I806),"")=0,"",IFERROR(_xlfn.XLOOKUP(Tableau4849[[#This Row],[SL]],'[1]Tickets (2)'!J9:J803,'[1]Tickets (2)'!I12:I806),""))</f>
        <v/>
      </c>
      <c r="K1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3" s="33">
        <v>44923.630886574072</v>
      </c>
      <c r="N13" s="3" t="str">
        <f>IF(Tableau4849[[#This Row],[T CLOSE]]&gt;[1]CONFIGURATION!$K$4,Tableau4849[[#This Row],[IDENTITE]],"")</f>
        <v/>
      </c>
      <c r="O13" s="26">
        <f>IFERROR(Tableau4849[[#This Row],[SL]]/(Tableau4849[[#This Row],[VOLUME]]/$I$5),0)</f>
        <v>0</v>
      </c>
      <c r="P13" s="26" t="str">
        <f>Tableau4849[[#This Row],[COMMAND]]</f>
        <v>BUY</v>
      </c>
      <c r="Q1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1.06201 M1M1</v>
      </c>
      <c r="R13" s="29">
        <v>-66</v>
      </c>
      <c r="S13" s="26" t="str">
        <f>IF(Tableau4849[[#This Row],[ETAT]]="LOSE",IF(IFERROR(ABS(SUBSTITUTE(Tableau4849[[#This Row],[PRICE]],".",",")-'[1]Deal ticket'!$B$16)*1000,"")&lt;=$S$5,"GO","WAIT"),"")</f>
        <v/>
      </c>
      <c r="T1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" s="34" t="str">
        <f>IF(Tableau4849[[#This Row],[ETAT]]="LOSE",IF(IFERROR(ABS(SUBSTITUTE(Tableau4849[[#This Row],[PRICE]],".",",")-'[1]Deal ticket'!$B$16)*1000,"")&lt;=$U$5,"GO","WAIT"),"")</f>
        <v/>
      </c>
      <c r="V13" s="26">
        <f>IF(Tableau4849[[#This Row],[INDEX]]&lt;3,"",SUMIFS(Tableau4849[SL],Tableau4849[Colonne5],Tableau4849[[#This Row],[Colonne5]])+$S$4)</f>
        <v>1</v>
      </c>
      <c r="W13" s="34" t="str">
        <f>IF(Tableau4849[[#This Row],[ETAT]]="LOSE",IF(IFERROR(ABS(SUBSTITUTE(Tableau4849[[#This Row],[PRICE]],".",",")-'[1]Deal ticket'!$B$16)*1000,"")&lt;=$W$5,"GO","WAIT"),"")</f>
        <v/>
      </c>
      <c r="X1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3" s="26">
        <f>IF(AND(Tableau4849[[#This Row],[3,8]]=1),Tableau4849[[#This Row],[INDEX]],"")</f>
        <v>7</v>
      </c>
      <c r="AC13" s="26" t="str">
        <f ca="1">IF(IFERROR(_xlfn.XLOOKUP(Tableau4849[[#This Row],[IDENTITE]],[1]!Tableau47[GLOBUY],[1]!Tableau47[GLOBUY]),"")="","",1)</f>
        <v/>
      </c>
      <c r="AD13" s="26" t="str">
        <f>IF(IFERROR(_xlfn.XLOOKUP(Tableau4849[[#This Row],[IDENTITE]],[1]!Tableau47[GLOSELL],[1]!Tableau47[GLOSELL]),"")="","",1)</f>
        <v/>
      </c>
      <c r="AE13" s="26"/>
      <c r="AF13" s="26">
        <f>IF(Tableau4849[[#This Row],[INDEX]]&lt;3,"",IF(Tableau4849[[#This Row],[COMMAND]]="","",IF('[1]Bar history'!$AA$33=1,1,"")))</f>
        <v>1</v>
      </c>
      <c r="AG13" s="26"/>
      <c r="AH13" s="26" t="str">
        <f>IF(IFERROR(_xlfn.XLOOKUP(Tableau4849[[#This Row],[IDENTITE]],[1]!Tableau47[COMMENTAIRE],[1]!Tableau47[CLOTURE]),"")=[1]PARAMETRE!$BK$31,Tableau4849[[#This Row],[INDEX]],"")</f>
        <v/>
      </c>
      <c r="AI13" s="26"/>
      <c r="AJ13" s="35" t="str">
        <f>IF(AND(ISNUMBER(SEARCH("BUY",Tableau4849[[#This Row],[COMMAND]]))),"BUYSTOP",IF(AND(ISNUMBER(SEARCH("SELL",Tableau4849[[#This Row],[COMMAND]]))),"SELLSTOP",""))</f>
        <v>BUYSTOP</v>
      </c>
      <c r="AK13" s="35" t="str">
        <f>IFERROR(SUBSTITUTE(Tableau4849[[#This Row],[PRICE]],",","."),"")</f>
        <v>1.06348</v>
      </c>
      <c r="AL13" s="35" t="str">
        <f>IF(Tableau4849[[#This Row],[INDEX]]&lt;3,"",Tableau4849[[#This Row],[IDENTITE]])</f>
        <v>1 RBRB B 1.06201 M1M1</v>
      </c>
      <c r="AM13" s="35" t="str">
        <f>IF(Tableau4849[[#This Row],[INDEX]]&lt;3,"",Tableau4849[[#This Row],[DEVISE]])</f>
        <v>EURUSD</v>
      </c>
      <c r="AN13" s="35">
        <f>IFERROR(IF(Tableau4849[[#This Row],[INDEX]]&lt;3,"",Tableau4849[[#This Row],[ATTEINT]]),100000)</f>
        <v>100000</v>
      </c>
      <c r="AO13" s="35">
        <f>IF(Tableau4849[[#This Row],[INDEX]]&lt;3,"",Tableau4849[[#This Row],[COMPTE]])</f>
        <v>925832</v>
      </c>
      <c r="AP13" s="35" t="str">
        <f>IF(Tableau4849[[#This Row],[INDEX]]&lt;3,"","NON")</f>
        <v>NON</v>
      </c>
      <c r="AQ13" s="35" t="str">
        <f>IF(Tableau4849[[#This Row],[INDEX]]&lt;3,"",IF(Tableau4849[[#This Row],[0,5]]&lt;0,"NEGATIF",""))</f>
        <v>NEGATIF</v>
      </c>
    </row>
    <row r="14" spans="1:43" x14ac:dyDescent="0.25">
      <c r="A14" s="24">
        <v>8</v>
      </c>
      <c r="B14" s="32">
        <v>44923.458738425928</v>
      </c>
      <c r="C14" s="26">
        <v>925832</v>
      </c>
      <c r="D14" s="24" t="s">
        <v>0</v>
      </c>
      <c r="E14" s="24" t="s">
        <v>46</v>
      </c>
      <c r="F14" s="24">
        <v>1.06335</v>
      </c>
      <c r="G14" s="26">
        <v>2000</v>
      </c>
      <c r="H14" s="27" t="s">
        <v>134</v>
      </c>
      <c r="I14" s="28" t="str">
        <f>IF(IFERROR(_xlfn.XLOOKUP(Tableau4849[[#This Row],[SL]],'[1]Tickets (2)'!J10:J804,'[1]Tickets (2)'!I13:I807),"")=0,"",IFERROR(_xlfn.XLOOKUP(Tableau4849[[#This Row],[SL]],'[1]Tickets (2)'!J10:J804,'[1]Tickets (2)'!I13:I807),""))</f>
        <v/>
      </c>
      <c r="K1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4" s="33">
        <v>44923.630886574072</v>
      </c>
      <c r="N14" s="3" t="str">
        <f>IF(Tableau4849[[#This Row],[T CLOSE]]&gt;[1]CONFIGURATION!$K$4,Tableau4849[[#This Row],[IDENTITE]],"")</f>
        <v/>
      </c>
      <c r="O14" s="26">
        <f>IFERROR(Tableau4849[[#This Row],[SL]]/(Tableau4849[[#This Row],[VOLUME]]/$I$5),0)</f>
        <v>0</v>
      </c>
      <c r="P14" s="26" t="str">
        <f>Tableau4849[[#This Row],[COMMAND]]</f>
        <v>SELL</v>
      </c>
      <c r="Q1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1.06383 M1M1</v>
      </c>
      <c r="R14" s="29">
        <v>13</v>
      </c>
      <c r="S14" s="26" t="str">
        <f>IF(Tableau4849[[#This Row],[ETAT]]="LOSE",IF(IFERROR(ABS(SUBSTITUTE(Tableau4849[[#This Row],[PRICE]],".",",")-'[1]Deal ticket'!$B$16)*1000,"")&lt;=$S$5,"GO","WAIT"),"")</f>
        <v/>
      </c>
      <c r="T1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" s="34" t="str">
        <f>IF(Tableau4849[[#This Row],[ETAT]]="LOSE",IF(IFERROR(ABS(SUBSTITUTE(Tableau4849[[#This Row],[PRICE]],".",",")-'[1]Deal ticket'!$B$16)*1000,"")&lt;=$U$5,"GO","WAIT"),"")</f>
        <v/>
      </c>
      <c r="V14" s="26">
        <f>IF(Tableau4849[[#This Row],[INDEX]]&lt;3,"",SUMIFS(Tableau4849[SL],Tableau4849[Colonne5],Tableau4849[[#This Row],[Colonne5]])+$S$4)</f>
        <v>1</v>
      </c>
      <c r="W14" s="34" t="str">
        <f>IF(Tableau4849[[#This Row],[ETAT]]="LOSE",IF(IFERROR(ABS(SUBSTITUTE(Tableau4849[[#This Row],[PRICE]],".",",")-'[1]Deal ticket'!$B$16)*1000,"")&lt;=$W$5,"GO","WAIT"),"")</f>
        <v/>
      </c>
      <c r="X1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4" s="26" t="str">
        <f>IF(AND(Tableau4849[[#This Row],[3,8]]=1),Tableau4849[[#This Row],[INDEX]],"")</f>
        <v/>
      </c>
      <c r="AC14" s="26" t="str">
        <f ca="1">IF(IFERROR(_xlfn.XLOOKUP(Tableau4849[[#This Row],[IDENTITE]],[1]!Tableau47[GLOBUY],[1]!Tableau47[GLOBUY]),"")="","",1)</f>
        <v/>
      </c>
      <c r="AD14" s="26" t="str">
        <f>IF(IFERROR(_xlfn.XLOOKUP(Tableau4849[[#This Row],[IDENTITE]],[1]!Tableau47[GLOSELL],[1]!Tableau47[GLOSELL]),"")="","",1)</f>
        <v/>
      </c>
      <c r="AE14" s="26"/>
      <c r="AF14" s="26">
        <f>IF(Tableau4849[[#This Row],[INDEX]]&lt;3,"",IF(Tableau4849[[#This Row],[COMMAND]]="","",IF('[1]Bar history'!$AA$33=1,1,"")))</f>
        <v>1</v>
      </c>
      <c r="AG14" s="26"/>
      <c r="AH14" s="26" t="str">
        <f>IF(IFERROR(_xlfn.XLOOKUP(Tableau4849[[#This Row],[IDENTITE]],[1]!Tableau47[COMMENTAIRE],[1]!Tableau47[CLOTURE]),"")=[1]PARAMETRE!$BK$31,Tableau4849[[#This Row],[INDEX]],"")</f>
        <v/>
      </c>
      <c r="AI14" s="26"/>
      <c r="AJ14" s="35" t="str">
        <f>IF(AND(ISNUMBER(SEARCH("BUY",Tableau4849[[#This Row],[COMMAND]]))),"BUYSTOP",IF(AND(ISNUMBER(SEARCH("SELL",Tableau4849[[#This Row],[COMMAND]]))),"SELLSTOP",""))</f>
        <v>SELLSTOP</v>
      </c>
      <c r="AK14" s="35" t="str">
        <f>IFERROR(SUBSTITUTE(Tableau4849[[#This Row],[PRICE]],",","."),"")</f>
        <v>1.06335</v>
      </c>
      <c r="AL14" s="35" t="str">
        <f>IF(Tableau4849[[#This Row],[INDEX]]&lt;3,"",Tableau4849[[#This Row],[IDENTITE]])</f>
        <v>1 RSRS S 1.06383 M1M1</v>
      </c>
      <c r="AM14" s="35" t="str">
        <f>IF(Tableau4849[[#This Row],[INDEX]]&lt;3,"",Tableau4849[[#This Row],[DEVISE]])</f>
        <v>EURUSD</v>
      </c>
      <c r="AN14" s="35">
        <f>IFERROR(IF(Tableau4849[[#This Row],[INDEX]]&lt;3,"",Tableau4849[[#This Row],[ATTEINT]]),100000)</f>
        <v>100000</v>
      </c>
      <c r="AO14" s="35">
        <f>IF(Tableau4849[[#This Row],[INDEX]]&lt;3,"",Tableau4849[[#This Row],[COMPTE]])</f>
        <v>925832</v>
      </c>
      <c r="AP14" s="35" t="str">
        <f>IF(Tableau4849[[#This Row],[INDEX]]&lt;3,"","NON")</f>
        <v>NON</v>
      </c>
      <c r="AQ14" s="35" t="str">
        <f>IF(Tableau4849[[#This Row],[INDEX]]&lt;3,"",IF(Tableau4849[[#This Row],[0,5]]&lt;0,"NEGATIF",""))</f>
        <v/>
      </c>
    </row>
    <row r="15" spans="1:43" x14ac:dyDescent="0.25">
      <c r="A15" s="24">
        <v>9</v>
      </c>
      <c r="B15" s="32">
        <v>44923.458344907405</v>
      </c>
      <c r="C15" s="26">
        <v>925832</v>
      </c>
      <c r="D15" s="24" t="s">
        <v>0</v>
      </c>
      <c r="E15" s="24" t="s">
        <v>46</v>
      </c>
      <c r="F15" s="24">
        <v>1.06315</v>
      </c>
      <c r="G15" s="26">
        <v>7000</v>
      </c>
      <c r="H15" s="27" t="s">
        <v>136</v>
      </c>
      <c r="I15" s="28" t="str">
        <f>IF(IFERROR(_xlfn.XLOOKUP(Tableau4849[[#This Row],[SL]],'[1]Tickets (2)'!J11:J805,'[1]Tickets (2)'!I14:I808),"")=0,"",IFERROR(_xlfn.XLOOKUP(Tableau4849[[#This Row],[SL]],'[1]Tickets (2)'!J11:J805,'[1]Tickets (2)'!I14:I808),""))</f>
        <v/>
      </c>
      <c r="K1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5" s="33">
        <v>44923.630886574072</v>
      </c>
      <c r="N15" s="3" t="str">
        <f>IF(Tableau4849[[#This Row],[T CLOSE]]&gt;[1]CONFIGURATION!$K$4,Tableau4849[[#This Row],[IDENTITE]],"")</f>
        <v/>
      </c>
      <c r="O15" s="26">
        <f>IFERROR(Tableau4849[[#This Row],[SL]]/(Tableau4849[[#This Row],[VOLUME]]/$I$5),0)</f>
        <v>0</v>
      </c>
      <c r="P15" s="26" t="str">
        <f>Tableau4849[[#This Row],[COMMAND]]</f>
        <v>SELL</v>
      </c>
      <c r="Q1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1.06304 M1M1</v>
      </c>
      <c r="R15" s="29">
        <v>14</v>
      </c>
      <c r="S15" s="26" t="str">
        <f>IF(Tableau4849[[#This Row],[ETAT]]="LOSE",IF(IFERROR(ABS(SUBSTITUTE(Tableau4849[[#This Row],[PRICE]],".",",")-'[1]Deal ticket'!$B$16)*1000,"")&lt;=$S$5,"GO","WAIT"),"")</f>
        <v/>
      </c>
      <c r="T1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" s="34" t="str">
        <f>IF(Tableau4849[[#This Row],[ETAT]]="LOSE",IF(IFERROR(ABS(SUBSTITUTE(Tableau4849[[#This Row],[PRICE]],".",",")-'[1]Deal ticket'!$B$16)*1000,"")&lt;=$U$5,"GO","WAIT"),"")</f>
        <v/>
      </c>
      <c r="V15" s="26">
        <f>IF(Tableau4849[[#This Row],[INDEX]]&lt;3,"",SUMIFS(Tableau4849[SL],Tableau4849[Colonne5],Tableau4849[[#This Row],[Colonne5]])+$S$4)</f>
        <v>1</v>
      </c>
      <c r="W15" s="34" t="str">
        <f>IF(Tableau4849[[#This Row],[ETAT]]="LOSE",IF(IFERROR(ABS(SUBSTITUTE(Tableau4849[[#This Row],[PRICE]],".",",")-'[1]Deal ticket'!$B$16)*1000,"")&lt;=$W$5,"GO","WAIT"),"")</f>
        <v/>
      </c>
      <c r="X1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5" s="26" t="str">
        <f>IF(AND(Tableau4849[[#This Row],[3,8]]=1),Tableau4849[[#This Row],[INDEX]],"")</f>
        <v/>
      </c>
      <c r="AC15" s="26" t="str">
        <f ca="1">IF(IFERROR(_xlfn.XLOOKUP(Tableau4849[[#This Row],[IDENTITE]],[1]!Tableau47[GLOBUY],[1]!Tableau47[GLOBUY]),"")="","",1)</f>
        <v/>
      </c>
      <c r="AD15" s="26" t="str">
        <f>IF(IFERROR(_xlfn.XLOOKUP(Tableau4849[[#This Row],[IDENTITE]],[1]!Tableau47[GLOSELL],[1]!Tableau47[GLOSELL]),"")="","",1)</f>
        <v/>
      </c>
      <c r="AE15" s="26"/>
      <c r="AF15" s="26">
        <f>IF(Tableau4849[[#This Row],[INDEX]]&lt;3,"",IF(Tableau4849[[#This Row],[COMMAND]]="","",IF('[1]Bar history'!$AA$33=1,1,"")))</f>
        <v>1</v>
      </c>
      <c r="AG15" s="26"/>
      <c r="AH15" s="26" t="str">
        <f>IF(IFERROR(_xlfn.XLOOKUP(Tableau4849[[#This Row],[IDENTITE]],[1]!Tableau47[COMMENTAIRE],[1]!Tableau47[CLOTURE]),"")=[1]PARAMETRE!$BK$31,Tableau4849[[#This Row],[INDEX]],"")</f>
        <v/>
      </c>
      <c r="AI15" s="26"/>
      <c r="AJ15" s="35" t="str">
        <f>IF(AND(ISNUMBER(SEARCH("BUY",Tableau4849[[#This Row],[COMMAND]]))),"BUYSTOP",IF(AND(ISNUMBER(SEARCH("SELL",Tableau4849[[#This Row],[COMMAND]]))),"SELLSTOP",""))</f>
        <v>SELLSTOP</v>
      </c>
      <c r="AK15" s="35" t="str">
        <f>IFERROR(SUBSTITUTE(Tableau4849[[#This Row],[PRICE]],",","."),"")</f>
        <v>1.06315</v>
      </c>
      <c r="AL15" s="35" t="str">
        <f>IF(Tableau4849[[#This Row],[INDEX]]&lt;3,"",Tableau4849[[#This Row],[IDENTITE]])</f>
        <v>1 RSRS S 1.06304 M1M1</v>
      </c>
      <c r="AM15" s="35" t="str">
        <f>IF(Tableau4849[[#This Row],[INDEX]]&lt;3,"",Tableau4849[[#This Row],[DEVISE]])</f>
        <v>EURUSD</v>
      </c>
      <c r="AN15" s="35">
        <f>IFERROR(IF(Tableau4849[[#This Row],[INDEX]]&lt;3,"",Tableau4849[[#This Row],[ATTEINT]]),100000)</f>
        <v>100000</v>
      </c>
      <c r="AO15" s="35">
        <f>IF(Tableau4849[[#This Row],[INDEX]]&lt;3,"",Tableau4849[[#This Row],[COMPTE]])</f>
        <v>925832</v>
      </c>
      <c r="AP15" s="35" t="str">
        <f>IF(Tableau4849[[#This Row],[INDEX]]&lt;3,"","NON")</f>
        <v>NON</v>
      </c>
      <c r="AQ15" s="35" t="str">
        <f>IF(Tableau4849[[#This Row],[INDEX]]&lt;3,"",IF(Tableau4849[[#This Row],[0,5]]&lt;0,"NEGATIF",""))</f>
        <v/>
      </c>
    </row>
    <row r="16" spans="1:43" x14ac:dyDescent="0.25">
      <c r="A16" s="24">
        <v>10</v>
      </c>
      <c r="B16" s="32">
        <v>44923.458055555559</v>
      </c>
      <c r="C16" s="26">
        <v>925832</v>
      </c>
      <c r="D16" s="24" t="s">
        <v>0</v>
      </c>
      <c r="E16" s="24" t="s">
        <v>46</v>
      </c>
      <c r="F16" s="24">
        <v>1.0630900000000001</v>
      </c>
      <c r="G16" s="26">
        <v>9000</v>
      </c>
      <c r="H16" s="27" t="s">
        <v>138</v>
      </c>
      <c r="I16" s="28" t="str">
        <f>IF(IFERROR(_xlfn.XLOOKUP(Tableau4849[[#This Row],[SL]],'[1]Tickets (2)'!J12:J806,'[1]Tickets (2)'!I15:I809),"")=0,"",IFERROR(_xlfn.XLOOKUP(Tableau4849[[#This Row],[SL]],'[1]Tickets (2)'!J12:J806,'[1]Tickets (2)'!I15:I809),""))</f>
        <v/>
      </c>
      <c r="K1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6" s="33">
        <v>44923.630886574072</v>
      </c>
      <c r="N16" s="3" t="str">
        <f>IF(Tableau4849[[#This Row],[T CLOSE]]&gt;[1]CONFIGURATION!$K$4,Tableau4849[[#This Row],[IDENTITE]],"")</f>
        <v/>
      </c>
      <c r="O16" s="26">
        <f>IFERROR(Tableau4849[[#This Row],[SL]]/(Tableau4849[[#This Row],[VOLUME]]/$I$5),0)</f>
        <v>0</v>
      </c>
      <c r="P16" s="26" t="str">
        <f>Tableau4849[[#This Row],[COMMAND]]</f>
        <v>SELL</v>
      </c>
      <c r="Q1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1.0631 M1M1</v>
      </c>
      <c r="R16" s="29">
        <v>15</v>
      </c>
      <c r="S16" s="26" t="str">
        <f>IF(Tableau4849[[#This Row],[ETAT]]="LOSE",IF(IFERROR(ABS(SUBSTITUTE(Tableau4849[[#This Row],[PRICE]],".",",")-'[1]Deal ticket'!$B$16)*1000,"")&lt;=$S$5,"GO","WAIT"),"")</f>
        <v/>
      </c>
      <c r="T1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" s="34" t="str">
        <f>IF(Tableau4849[[#This Row],[ETAT]]="LOSE",IF(IFERROR(ABS(SUBSTITUTE(Tableau4849[[#This Row],[PRICE]],".",",")-'[1]Deal ticket'!$B$16)*1000,"")&lt;=$U$5,"GO","WAIT"),"")</f>
        <v/>
      </c>
      <c r="V16" s="26">
        <f>IF(Tableau4849[[#This Row],[INDEX]]&lt;3,"",SUMIFS(Tableau4849[SL],Tableau4849[Colonne5],Tableau4849[[#This Row],[Colonne5]])+$S$4)</f>
        <v>1</v>
      </c>
      <c r="W16" s="34" t="str">
        <f>IF(Tableau4849[[#This Row],[ETAT]]="LOSE",IF(IFERROR(ABS(SUBSTITUTE(Tableau4849[[#This Row],[PRICE]],".",",")-'[1]Deal ticket'!$B$16)*1000,"")&lt;=$W$5,"GO","WAIT"),"")</f>
        <v/>
      </c>
      <c r="X1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6" s="26" t="str">
        <f>IF(AND(Tableau4849[[#This Row],[3,8]]=1),Tableau4849[[#This Row],[INDEX]],"")</f>
        <v/>
      </c>
      <c r="AC16" s="26" t="str">
        <f ca="1">IF(IFERROR(_xlfn.XLOOKUP(Tableau4849[[#This Row],[IDENTITE]],[1]!Tableau47[GLOBUY],[1]!Tableau47[GLOBUY]),"")="","",1)</f>
        <v/>
      </c>
      <c r="AD16" s="26" t="str">
        <f>IF(IFERROR(_xlfn.XLOOKUP(Tableau4849[[#This Row],[IDENTITE]],[1]!Tableau47[GLOSELL],[1]!Tableau47[GLOSELL]),"")="","",1)</f>
        <v/>
      </c>
      <c r="AE16" s="26"/>
      <c r="AF16" s="26">
        <f>IF(Tableau4849[[#This Row],[INDEX]]&lt;3,"",IF(Tableau4849[[#This Row],[COMMAND]]="","",IF('[1]Bar history'!$AA$33=1,1,"")))</f>
        <v>1</v>
      </c>
      <c r="AG16" s="26"/>
      <c r="AH16" s="26" t="str">
        <f>IF(IFERROR(_xlfn.XLOOKUP(Tableau4849[[#This Row],[IDENTITE]],[1]!Tableau47[COMMENTAIRE],[1]!Tableau47[CLOTURE]),"")=[1]PARAMETRE!$BK$31,Tableau4849[[#This Row],[INDEX]],"")</f>
        <v/>
      </c>
      <c r="AI16" s="26"/>
      <c r="AJ16" s="35" t="str">
        <f>IF(AND(ISNUMBER(SEARCH("BUY",Tableau4849[[#This Row],[COMMAND]]))),"BUYSTOP",IF(AND(ISNUMBER(SEARCH("SELL",Tableau4849[[#This Row],[COMMAND]]))),"SELLSTOP",""))</f>
        <v>SELLSTOP</v>
      </c>
      <c r="AK16" s="35" t="str">
        <f>IFERROR(SUBSTITUTE(Tableau4849[[#This Row],[PRICE]],",","."),"")</f>
        <v>1.06309</v>
      </c>
      <c r="AL16" s="35" t="str">
        <f>IF(Tableau4849[[#This Row],[INDEX]]&lt;3,"",Tableau4849[[#This Row],[IDENTITE]])</f>
        <v>1 RSRS S 1.0631 M1M1</v>
      </c>
      <c r="AM16" s="35" t="str">
        <f>IF(Tableau4849[[#This Row],[INDEX]]&lt;3,"",Tableau4849[[#This Row],[DEVISE]])</f>
        <v>EURUSD</v>
      </c>
      <c r="AN16" s="35">
        <f>IFERROR(IF(Tableau4849[[#This Row],[INDEX]]&lt;3,"",Tableau4849[[#This Row],[ATTEINT]]),100000)</f>
        <v>100000</v>
      </c>
      <c r="AO16" s="35">
        <f>IF(Tableau4849[[#This Row],[INDEX]]&lt;3,"",Tableau4849[[#This Row],[COMPTE]])</f>
        <v>925832</v>
      </c>
      <c r="AP16" s="35" t="str">
        <f>IF(Tableau4849[[#This Row],[INDEX]]&lt;3,"","NON")</f>
        <v>NON</v>
      </c>
      <c r="AQ16" s="35" t="str">
        <f>IF(Tableau4849[[#This Row],[INDEX]]&lt;3,"",IF(Tableau4849[[#This Row],[0,5]]&lt;0,"NEGATIF",""))</f>
        <v/>
      </c>
    </row>
    <row r="17" spans="1:43" x14ac:dyDescent="0.25">
      <c r="A17" s="24">
        <v>11</v>
      </c>
      <c r="B17" s="32">
        <v>44923.457719907405</v>
      </c>
      <c r="C17" s="26">
        <v>925832</v>
      </c>
      <c r="D17" s="24" t="s">
        <v>0</v>
      </c>
      <c r="E17" s="24" t="s">
        <v>46</v>
      </c>
      <c r="F17" s="24">
        <v>1.0630299999999999</v>
      </c>
      <c r="G17" s="26">
        <v>4000</v>
      </c>
      <c r="H17" s="27" t="s">
        <v>139</v>
      </c>
      <c r="I17" s="28" t="str">
        <f>IF(IFERROR(_xlfn.XLOOKUP(Tableau4849[[#This Row],[SL]],'[1]Tickets (2)'!J13:J807,'[1]Tickets (2)'!I16:I810),"")=0,"",IFERROR(_xlfn.XLOOKUP(Tableau4849[[#This Row],[SL]],'[1]Tickets (2)'!J13:J807,'[1]Tickets (2)'!I16:I810),""))</f>
        <v/>
      </c>
      <c r="K1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7" s="33">
        <v>44923.630886574072</v>
      </c>
      <c r="N17" s="3" t="str">
        <f>IF(Tableau4849[[#This Row],[T CLOSE]]&gt;[1]CONFIGURATION!$K$4,Tableau4849[[#This Row],[IDENTITE]],"")</f>
        <v/>
      </c>
      <c r="O17" s="26">
        <f>IFERROR(Tableau4849[[#This Row],[SL]]/(Tableau4849[[#This Row],[VOLUME]]/$I$5),0)</f>
        <v>0</v>
      </c>
      <c r="P17" s="26" t="str">
        <f>Tableau4849[[#This Row],[COMMAND]]</f>
        <v>SELL</v>
      </c>
      <c r="Q1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1.0645 M1M1</v>
      </c>
      <c r="R17" s="29">
        <v>16</v>
      </c>
      <c r="S17" s="26" t="str">
        <f>IF(Tableau4849[[#This Row],[ETAT]]="LOSE",IF(IFERROR(ABS(SUBSTITUTE(Tableau4849[[#This Row],[PRICE]],".",",")-'[1]Deal ticket'!$B$16)*1000,"")&lt;=$S$5,"GO","WAIT"),"")</f>
        <v/>
      </c>
      <c r="T1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" s="34" t="str">
        <f>IF(Tableau4849[[#This Row],[ETAT]]="LOSE",IF(IFERROR(ABS(SUBSTITUTE(Tableau4849[[#This Row],[PRICE]],".",",")-'[1]Deal ticket'!$B$16)*1000,"")&lt;=$U$5,"GO","WAIT"),"")</f>
        <v/>
      </c>
      <c r="V17" s="26">
        <f>IF(Tableau4849[[#This Row],[INDEX]]&lt;3,"",SUMIFS(Tableau4849[SL],Tableau4849[Colonne5],Tableau4849[[#This Row],[Colonne5]])+$S$4)</f>
        <v>1</v>
      </c>
      <c r="W17" s="34" t="str">
        <f>IF(Tableau4849[[#This Row],[ETAT]]="LOSE",IF(IFERROR(ABS(SUBSTITUTE(Tableau4849[[#This Row],[PRICE]],".",",")-'[1]Deal ticket'!$B$16)*1000,"")&lt;=$W$5,"GO","WAIT"),"")</f>
        <v/>
      </c>
      <c r="X1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7" s="26" t="str">
        <f>IF(AND(Tableau4849[[#This Row],[3,8]]=1),Tableau4849[[#This Row],[INDEX]],"")</f>
        <v/>
      </c>
      <c r="AC17" s="26" t="str">
        <f ca="1">IF(IFERROR(_xlfn.XLOOKUP(Tableau4849[[#This Row],[IDENTITE]],[1]!Tableau47[GLOBUY],[1]!Tableau47[GLOBUY]),"")="","",1)</f>
        <v/>
      </c>
      <c r="AD17" s="26" t="str">
        <f>IF(IFERROR(_xlfn.XLOOKUP(Tableau4849[[#This Row],[IDENTITE]],[1]!Tableau47[GLOSELL],[1]!Tableau47[GLOSELL]),"")="","",1)</f>
        <v/>
      </c>
      <c r="AE17" s="26"/>
      <c r="AF17" s="26">
        <f>IF(Tableau4849[[#This Row],[INDEX]]&lt;3,"",IF(Tableau4849[[#This Row],[COMMAND]]="","",IF('[1]Bar history'!$AA$33=1,1,"")))</f>
        <v>1</v>
      </c>
      <c r="AG17" s="26"/>
      <c r="AH17" s="26" t="str">
        <f>IF(IFERROR(_xlfn.XLOOKUP(Tableau4849[[#This Row],[IDENTITE]],[1]!Tableau47[COMMENTAIRE],[1]!Tableau47[CLOTURE]),"")=[1]PARAMETRE!$BK$31,Tableau4849[[#This Row],[INDEX]],"")</f>
        <v/>
      </c>
      <c r="AI17" s="26"/>
      <c r="AJ17" s="35" t="str">
        <f>IF(AND(ISNUMBER(SEARCH("BUY",Tableau4849[[#This Row],[COMMAND]]))),"BUYSTOP",IF(AND(ISNUMBER(SEARCH("SELL",Tableau4849[[#This Row],[COMMAND]]))),"SELLSTOP",""))</f>
        <v>SELLSTOP</v>
      </c>
      <c r="AK17" s="35" t="str">
        <f>IFERROR(SUBSTITUTE(Tableau4849[[#This Row],[PRICE]],",","."),"")</f>
        <v>1.06303</v>
      </c>
      <c r="AL17" s="35" t="str">
        <f>IF(Tableau4849[[#This Row],[INDEX]]&lt;3,"",Tableau4849[[#This Row],[IDENTITE]])</f>
        <v>1 RSRS S 1.0645 M1M1</v>
      </c>
      <c r="AM17" s="35" t="str">
        <f>IF(Tableau4849[[#This Row],[INDEX]]&lt;3,"",Tableau4849[[#This Row],[DEVISE]])</f>
        <v>EURUSD</v>
      </c>
      <c r="AN17" s="35">
        <f>IFERROR(IF(Tableau4849[[#This Row],[INDEX]]&lt;3,"",Tableau4849[[#This Row],[ATTEINT]]),100000)</f>
        <v>100000</v>
      </c>
      <c r="AO17" s="35">
        <f>IF(Tableau4849[[#This Row],[INDEX]]&lt;3,"",Tableau4849[[#This Row],[COMPTE]])</f>
        <v>925832</v>
      </c>
      <c r="AP17" s="35" t="str">
        <f>IF(Tableau4849[[#This Row],[INDEX]]&lt;3,"","NON")</f>
        <v>NON</v>
      </c>
      <c r="AQ17" s="35" t="str">
        <f>IF(Tableau4849[[#This Row],[INDEX]]&lt;3,"",IF(Tableau4849[[#This Row],[0,5]]&lt;0,"NEGATIF",""))</f>
        <v/>
      </c>
    </row>
    <row r="18" spans="1:43" x14ac:dyDescent="0.25">
      <c r="A18" s="24">
        <v>12</v>
      </c>
      <c r="B18" s="32">
        <v>44923.451747685183</v>
      </c>
      <c r="C18" s="26">
        <v>925832</v>
      </c>
      <c r="D18" s="24" t="s">
        <v>0</v>
      </c>
      <c r="E18" s="24" t="s">
        <v>46</v>
      </c>
      <c r="F18" s="24">
        <v>1.06372</v>
      </c>
      <c r="G18" s="26">
        <v>4000</v>
      </c>
      <c r="H18" s="27" t="s">
        <v>141</v>
      </c>
      <c r="I18" s="28" t="str">
        <f>IF(IFERROR(_xlfn.XLOOKUP(Tableau4849[[#This Row],[SL]],'[1]Tickets (2)'!J14:J808,'[1]Tickets (2)'!I17:I811),"")=0,"",IFERROR(_xlfn.XLOOKUP(Tableau4849[[#This Row],[SL]],'[1]Tickets (2)'!J14:J808,'[1]Tickets (2)'!I17:I811),""))</f>
        <v/>
      </c>
      <c r="K1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8" s="33">
        <v>44923.630886574072</v>
      </c>
      <c r="N18" s="3" t="str">
        <f>IF(Tableau4849[[#This Row],[T CLOSE]]&gt;[1]CONFIGURATION!$K$4,Tableau4849[[#This Row],[IDENTITE]],"")</f>
        <v/>
      </c>
      <c r="O18" s="26">
        <f>IFERROR(Tableau4849[[#This Row],[SL]]/(Tableau4849[[#This Row],[VOLUME]]/$I$5),0)</f>
        <v>0</v>
      </c>
      <c r="P18" s="26" t="str">
        <f>Tableau4849[[#This Row],[COMMAND]]</f>
        <v>SELL</v>
      </c>
      <c r="Q1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1.06411 M1M1</v>
      </c>
      <c r="R18" s="29">
        <v>17</v>
      </c>
      <c r="S18" s="26" t="str">
        <f>IF(Tableau4849[[#This Row],[ETAT]]="LOSE",IF(IFERROR(ABS(SUBSTITUTE(Tableau4849[[#This Row],[PRICE]],".",",")-'[1]Deal ticket'!$B$16)*1000,"")&lt;=$S$5,"GO","WAIT"),"")</f>
        <v/>
      </c>
      <c r="T1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8" s="34" t="str">
        <f>IF(Tableau4849[[#This Row],[ETAT]]="LOSE",IF(IFERROR(ABS(SUBSTITUTE(Tableau4849[[#This Row],[PRICE]],".",",")-'[1]Deal ticket'!$B$16)*1000,"")&lt;=$U$5,"GO","WAIT"),"")</f>
        <v/>
      </c>
      <c r="V18" s="26">
        <f>IF(Tableau4849[[#This Row],[INDEX]]&lt;3,"",SUMIFS(Tableau4849[SL],Tableau4849[Colonne5],Tableau4849[[#This Row],[Colonne5]])+$S$4)</f>
        <v>1</v>
      </c>
      <c r="W18" s="34" t="str">
        <f>IF(Tableau4849[[#This Row],[ETAT]]="LOSE",IF(IFERROR(ABS(SUBSTITUTE(Tableau4849[[#This Row],[PRICE]],".",",")-'[1]Deal ticket'!$B$16)*1000,"")&lt;=$W$5,"GO","WAIT"),"")</f>
        <v/>
      </c>
      <c r="X1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8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8" s="26" t="str">
        <f>IF(AND(Tableau4849[[#This Row],[3,8]]=1),Tableau4849[[#This Row],[INDEX]],"")</f>
        <v/>
      </c>
      <c r="AC18" s="26" t="str">
        <f ca="1">IF(IFERROR(_xlfn.XLOOKUP(Tableau4849[[#This Row],[IDENTITE]],[1]!Tableau47[GLOBUY],[1]!Tableau47[GLOBUY]),"")="","",1)</f>
        <v/>
      </c>
      <c r="AD18" s="26" t="str">
        <f>IF(IFERROR(_xlfn.XLOOKUP(Tableau4849[[#This Row],[IDENTITE]],[1]!Tableau47[GLOSELL],[1]!Tableau47[GLOSELL]),"")="","",1)</f>
        <v/>
      </c>
      <c r="AE18" s="26"/>
      <c r="AF18" s="26">
        <f>IF(Tableau4849[[#This Row],[INDEX]]&lt;3,"",IF(Tableau4849[[#This Row],[COMMAND]]="","",IF('[1]Bar history'!$AA$33=1,1,"")))</f>
        <v>1</v>
      </c>
      <c r="AG18" s="26"/>
      <c r="AH18" s="26" t="str">
        <f>IF(IFERROR(_xlfn.XLOOKUP(Tableau4849[[#This Row],[IDENTITE]],[1]!Tableau47[COMMENTAIRE],[1]!Tableau47[CLOTURE]),"")=[1]PARAMETRE!$BK$31,Tableau4849[[#This Row],[INDEX]],"")</f>
        <v/>
      </c>
      <c r="AI18" s="26"/>
      <c r="AJ18" s="35" t="str">
        <f>IF(AND(ISNUMBER(SEARCH("BUY",Tableau4849[[#This Row],[COMMAND]]))),"BUYSTOP",IF(AND(ISNUMBER(SEARCH("SELL",Tableau4849[[#This Row],[COMMAND]]))),"SELLSTOP",""))</f>
        <v>SELLSTOP</v>
      </c>
      <c r="AK18" s="35" t="str">
        <f>IFERROR(SUBSTITUTE(Tableau4849[[#This Row],[PRICE]],",","."),"")</f>
        <v>1.06372</v>
      </c>
      <c r="AL18" s="35" t="str">
        <f>IF(Tableau4849[[#This Row],[INDEX]]&lt;3,"",Tableau4849[[#This Row],[IDENTITE]])</f>
        <v>1 RSRS S 1.06411 M1M1</v>
      </c>
      <c r="AM18" s="35" t="str">
        <f>IF(Tableau4849[[#This Row],[INDEX]]&lt;3,"",Tableau4849[[#This Row],[DEVISE]])</f>
        <v>EURUSD</v>
      </c>
      <c r="AN18" s="35">
        <f>IFERROR(IF(Tableau4849[[#This Row],[INDEX]]&lt;3,"",Tableau4849[[#This Row],[ATTEINT]]),100000)</f>
        <v>100000</v>
      </c>
      <c r="AO18" s="35">
        <f>IF(Tableau4849[[#This Row],[INDEX]]&lt;3,"",Tableau4849[[#This Row],[COMPTE]])</f>
        <v>925832</v>
      </c>
      <c r="AP18" s="35" t="str">
        <f>IF(Tableau4849[[#This Row],[INDEX]]&lt;3,"","NON")</f>
        <v>NON</v>
      </c>
      <c r="AQ18" s="35" t="str">
        <f>IF(Tableau4849[[#This Row],[INDEX]]&lt;3,"",IF(Tableau4849[[#This Row],[0,5]]&lt;0,"NEGATIF",""))</f>
        <v/>
      </c>
    </row>
    <row r="19" spans="1:43" x14ac:dyDescent="0.25">
      <c r="A19" s="24">
        <v>13</v>
      </c>
      <c r="B19" s="32">
        <v>44923.451574074075</v>
      </c>
      <c r="C19" s="26">
        <v>925832</v>
      </c>
      <c r="D19" s="24" t="s">
        <v>0</v>
      </c>
      <c r="E19" s="24" t="s">
        <v>46</v>
      </c>
      <c r="F19" s="24">
        <v>1.06375</v>
      </c>
      <c r="G19" s="26">
        <v>4000</v>
      </c>
      <c r="H19" s="27" t="s">
        <v>143</v>
      </c>
      <c r="I19" s="28" t="str">
        <f>IF(IFERROR(_xlfn.XLOOKUP(Tableau4849[[#This Row],[SL]],'[1]Tickets (2)'!J15:J809,'[1]Tickets (2)'!I18:I812),"")=0,"",IFERROR(_xlfn.XLOOKUP(Tableau4849[[#This Row],[SL]],'[1]Tickets (2)'!J15:J809,'[1]Tickets (2)'!I18:I812),""))</f>
        <v/>
      </c>
      <c r="K1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19" s="33">
        <v>44923.630886574072</v>
      </c>
      <c r="N19" s="3" t="str">
        <f>IF(Tableau4849[[#This Row],[T CLOSE]]&gt;[1]CONFIGURATION!$K$4,Tableau4849[[#This Row],[IDENTITE]],"")</f>
        <v/>
      </c>
      <c r="O19" s="26">
        <f>IFERROR(Tableau4849[[#This Row],[SL]]/(Tableau4849[[#This Row],[VOLUME]]/$I$5),0)</f>
        <v>0</v>
      </c>
      <c r="P19" s="26" t="str">
        <f>Tableau4849[[#This Row],[COMMAND]]</f>
        <v>SELL</v>
      </c>
      <c r="Q1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1.06401 M1M1</v>
      </c>
      <c r="R19" s="29">
        <v>18</v>
      </c>
      <c r="S19" s="26" t="str">
        <f>IF(Tableau4849[[#This Row],[ETAT]]="LOSE",IF(IFERROR(ABS(SUBSTITUTE(Tableau4849[[#This Row],[PRICE]],".",",")-'[1]Deal ticket'!$B$16)*1000,"")&lt;=$S$5,"GO","WAIT"),"")</f>
        <v/>
      </c>
      <c r="T1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9" s="34" t="str">
        <f>IF(Tableau4849[[#This Row],[ETAT]]="LOSE",IF(IFERROR(ABS(SUBSTITUTE(Tableau4849[[#This Row],[PRICE]],".",",")-'[1]Deal ticket'!$B$16)*1000,"")&lt;=$U$5,"GO","WAIT"),"")</f>
        <v/>
      </c>
      <c r="V19" s="26">
        <f>IF(Tableau4849[[#This Row],[INDEX]]&lt;3,"",SUMIFS(Tableau4849[SL],Tableau4849[Colonne5],Tableau4849[[#This Row],[Colonne5]])+$S$4)</f>
        <v>1</v>
      </c>
      <c r="W19" s="34" t="str">
        <f>IF(Tableau4849[[#This Row],[ETAT]]="LOSE",IF(IFERROR(ABS(SUBSTITUTE(Tableau4849[[#This Row],[PRICE]],".",",")-'[1]Deal ticket'!$B$16)*1000,"")&lt;=$W$5,"GO","WAIT"),"")</f>
        <v/>
      </c>
      <c r="X1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9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9" s="26" t="str">
        <f>IF(AND(Tableau4849[[#This Row],[3,8]]=1),Tableau4849[[#This Row],[INDEX]],"")</f>
        <v/>
      </c>
      <c r="AC19" s="26" t="str">
        <f ca="1">IF(IFERROR(_xlfn.XLOOKUP(Tableau4849[[#This Row],[IDENTITE]],[1]!Tableau47[GLOBUY],[1]!Tableau47[GLOBUY]),"")="","",1)</f>
        <v/>
      </c>
      <c r="AD19" s="26" t="str">
        <f>IF(IFERROR(_xlfn.XLOOKUP(Tableau4849[[#This Row],[IDENTITE]],[1]!Tableau47[GLOSELL],[1]!Tableau47[GLOSELL]),"")="","",1)</f>
        <v/>
      </c>
      <c r="AE19" s="26"/>
      <c r="AF19" s="26">
        <f>IF(Tableau4849[[#This Row],[INDEX]]&lt;3,"",IF(Tableau4849[[#This Row],[COMMAND]]="","",IF('[1]Bar history'!$AA$33=1,1,"")))</f>
        <v>1</v>
      </c>
      <c r="AG19" s="26"/>
      <c r="AH19" s="26" t="str">
        <f>IF(IFERROR(_xlfn.XLOOKUP(Tableau4849[[#This Row],[IDENTITE]],[1]!Tableau47[COMMENTAIRE],[1]!Tableau47[CLOTURE]),"")=[1]PARAMETRE!$BK$31,Tableau4849[[#This Row],[INDEX]],"")</f>
        <v/>
      </c>
      <c r="AI19" s="26"/>
      <c r="AJ19" s="35" t="str">
        <f>IF(AND(ISNUMBER(SEARCH("BUY",Tableau4849[[#This Row],[COMMAND]]))),"BUYSTOP",IF(AND(ISNUMBER(SEARCH("SELL",Tableau4849[[#This Row],[COMMAND]]))),"SELLSTOP",""))</f>
        <v>SELLSTOP</v>
      </c>
      <c r="AK19" s="35" t="str">
        <f>IFERROR(SUBSTITUTE(Tableau4849[[#This Row],[PRICE]],",","."),"")</f>
        <v>1.06375</v>
      </c>
      <c r="AL19" s="35" t="str">
        <f>IF(Tableau4849[[#This Row],[INDEX]]&lt;3,"",Tableau4849[[#This Row],[IDENTITE]])</f>
        <v>1 RSRS S 1.06401 M1M1</v>
      </c>
      <c r="AM19" s="35" t="str">
        <f>IF(Tableau4849[[#This Row],[INDEX]]&lt;3,"",Tableau4849[[#This Row],[DEVISE]])</f>
        <v>EURUSD</v>
      </c>
      <c r="AN19" s="35">
        <f>IFERROR(IF(Tableau4849[[#This Row],[INDEX]]&lt;3,"",Tableau4849[[#This Row],[ATTEINT]]),100000)</f>
        <v>100000</v>
      </c>
      <c r="AO19" s="35">
        <f>IF(Tableau4849[[#This Row],[INDEX]]&lt;3,"",Tableau4849[[#This Row],[COMPTE]])</f>
        <v>925832</v>
      </c>
      <c r="AP19" s="35" t="str">
        <f>IF(Tableau4849[[#This Row],[INDEX]]&lt;3,"","NON")</f>
        <v>NON</v>
      </c>
      <c r="AQ19" s="35" t="str">
        <f>IF(Tableau4849[[#This Row],[INDEX]]&lt;3,"",IF(Tableau4849[[#This Row],[0,5]]&lt;0,"NEGATIF",""))</f>
        <v/>
      </c>
    </row>
    <row r="20" spans="1:43" x14ac:dyDescent="0.25">
      <c r="A20" s="24">
        <v>14</v>
      </c>
      <c r="B20" s="32">
        <v>44923.451284722221</v>
      </c>
      <c r="C20" s="26">
        <v>925832</v>
      </c>
      <c r="D20" s="24" t="s">
        <v>0</v>
      </c>
      <c r="E20" s="24" t="s">
        <v>46</v>
      </c>
      <c r="F20" s="24">
        <v>1.06379</v>
      </c>
      <c r="G20" s="26">
        <v>4000</v>
      </c>
      <c r="H20" s="27" t="s">
        <v>145</v>
      </c>
      <c r="I20" s="28" t="str">
        <f>IF(IFERROR(_xlfn.XLOOKUP(Tableau4849[[#This Row],[SL]],'[1]Tickets (2)'!J16:J810,'[1]Tickets (2)'!I19:I813),"")=0,"",IFERROR(_xlfn.XLOOKUP(Tableau4849[[#This Row],[SL]],'[1]Tickets (2)'!J16:J810,'[1]Tickets (2)'!I19:I813),""))</f>
        <v/>
      </c>
      <c r="K2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0" s="33">
        <v>44923.630886574072</v>
      </c>
      <c r="N20" s="3" t="str">
        <f>IF(Tableau4849[[#This Row],[T CLOSE]]&gt;[1]CONFIGURATION!$K$4,Tableau4849[[#This Row],[IDENTITE]],"")</f>
        <v/>
      </c>
      <c r="O20" s="26">
        <f>IFERROR(Tableau4849[[#This Row],[SL]]/(Tableau4849[[#This Row],[VOLUME]]/$I$5),0)</f>
        <v>0</v>
      </c>
      <c r="P20" s="26" t="str">
        <f>Tableau4849[[#This Row],[COMMAND]]</f>
        <v>SELL</v>
      </c>
      <c r="Q2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1.06412 M1M1</v>
      </c>
      <c r="R20" s="29">
        <v>19</v>
      </c>
      <c r="S20" s="26" t="str">
        <f>IF(Tableau4849[[#This Row],[ETAT]]="LOSE",IF(IFERROR(ABS(SUBSTITUTE(Tableau4849[[#This Row],[PRICE]],".",",")-'[1]Deal ticket'!$B$16)*1000,"")&lt;=$S$5,"GO","WAIT"),"")</f>
        <v/>
      </c>
      <c r="T2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0" s="34" t="str">
        <f>IF(Tableau4849[[#This Row],[ETAT]]="LOSE",IF(IFERROR(ABS(SUBSTITUTE(Tableau4849[[#This Row],[PRICE]],".",",")-'[1]Deal ticket'!$B$16)*1000,"")&lt;=$U$5,"GO","WAIT"),"")</f>
        <v/>
      </c>
      <c r="V20" s="26">
        <f>IF(Tableau4849[[#This Row],[INDEX]]&lt;3,"",SUMIFS(Tableau4849[SL],Tableau4849[Colonne5],Tableau4849[[#This Row],[Colonne5]])+$S$4)</f>
        <v>1</v>
      </c>
      <c r="W20" s="34" t="str">
        <f>IF(Tableau4849[[#This Row],[ETAT]]="LOSE",IF(IFERROR(ABS(SUBSTITUTE(Tableau4849[[#This Row],[PRICE]],".",",")-'[1]Deal ticket'!$B$16)*1000,"")&lt;=$W$5,"GO","WAIT"),"")</f>
        <v/>
      </c>
      <c r="X2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0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20" s="26" t="str">
        <f>IF(AND(Tableau4849[[#This Row],[3,8]]=1),Tableau4849[[#This Row],[INDEX]],"")</f>
        <v/>
      </c>
      <c r="AC20" s="26" t="str">
        <f ca="1">IF(IFERROR(_xlfn.XLOOKUP(Tableau4849[[#This Row],[IDENTITE]],[1]!Tableau47[GLOBUY],[1]!Tableau47[GLOBUY]),"")="","",1)</f>
        <v/>
      </c>
      <c r="AD20" s="26" t="str">
        <f>IF(IFERROR(_xlfn.XLOOKUP(Tableau4849[[#This Row],[IDENTITE]],[1]!Tableau47[GLOSELL],[1]!Tableau47[GLOSELL]),"")="","",1)</f>
        <v/>
      </c>
      <c r="AE20" s="26"/>
      <c r="AF20" s="26">
        <f>IF(Tableau4849[[#This Row],[INDEX]]&lt;3,"",IF(Tableau4849[[#This Row],[COMMAND]]="","",IF('[1]Bar history'!$AA$33=1,1,"")))</f>
        <v>1</v>
      </c>
      <c r="AG20" s="26"/>
      <c r="AH20" s="26" t="str">
        <f>IF(IFERROR(_xlfn.XLOOKUP(Tableau4849[[#This Row],[IDENTITE]],[1]!Tableau47[COMMENTAIRE],[1]!Tableau47[CLOTURE]),"")=[1]PARAMETRE!$BK$31,Tableau4849[[#This Row],[INDEX]],"")</f>
        <v/>
      </c>
      <c r="AI20" s="26"/>
      <c r="AJ20" s="35" t="str">
        <f>IF(AND(ISNUMBER(SEARCH("BUY",Tableau4849[[#This Row],[COMMAND]]))),"BUYSTOP",IF(AND(ISNUMBER(SEARCH("SELL",Tableau4849[[#This Row],[COMMAND]]))),"SELLSTOP",""))</f>
        <v>SELLSTOP</v>
      </c>
      <c r="AK20" s="35" t="str">
        <f>IFERROR(SUBSTITUTE(Tableau4849[[#This Row],[PRICE]],",","."),"")</f>
        <v>1.06379</v>
      </c>
      <c r="AL20" s="35" t="str">
        <f>IF(Tableau4849[[#This Row],[INDEX]]&lt;3,"",Tableau4849[[#This Row],[IDENTITE]])</f>
        <v>1 RSRS S 1.06412 M1M1</v>
      </c>
      <c r="AM20" s="35" t="str">
        <f>IF(Tableau4849[[#This Row],[INDEX]]&lt;3,"",Tableau4849[[#This Row],[DEVISE]])</f>
        <v>EURUSD</v>
      </c>
      <c r="AN20" s="35">
        <f>IFERROR(IF(Tableau4849[[#This Row],[INDEX]]&lt;3,"",Tableau4849[[#This Row],[ATTEINT]]),100000)</f>
        <v>100000</v>
      </c>
      <c r="AO20" s="35">
        <f>IF(Tableau4849[[#This Row],[INDEX]]&lt;3,"",Tableau4849[[#This Row],[COMPTE]])</f>
        <v>925832</v>
      </c>
      <c r="AP20" s="35" t="str">
        <f>IF(Tableau4849[[#This Row],[INDEX]]&lt;3,"","NON")</f>
        <v>NON</v>
      </c>
      <c r="AQ20" s="35" t="str">
        <f>IF(Tableau4849[[#This Row],[INDEX]]&lt;3,"",IF(Tableau4849[[#This Row],[0,5]]&lt;0,"NEGATIF",""))</f>
        <v/>
      </c>
    </row>
    <row r="21" spans="1:43" x14ac:dyDescent="0.25">
      <c r="A21" s="24">
        <v>15</v>
      </c>
      <c r="B21" s="32">
        <v>44923.425324074073</v>
      </c>
      <c r="C21" s="26">
        <v>925832</v>
      </c>
      <c r="D21" s="24" t="s">
        <v>0</v>
      </c>
      <c r="E21" s="24" t="s">
        <v>47</v>
      </c>
      <c r="F21" s="24">
        <v>1.0641400000000001</v>
      </c>
      <c r="G21" s="26">
        <v>4000</v>
      </c>
      <c r="H21" s="27" t="s">
        <v>147</v>
      </c>
      <c r="I21" s="28" t="str">
        <f>IF(IFERROR(_xlfn.XLOOKUP(Tableau4849[[#This Row],[SL]],'[1]Tickets (2)'!J17:J811,'[1]Tickets (2)'!I20:I814),"")=0,"",IFERROR(_xlfn.XLOOKUP(Tableau4849[[#This Row],[SL]],'[1]Tickets (2)'!J17:J811,'[1]Tickets (2)'!I20:I814),""))</f>
        <v/>
      </c>
      <c r="K2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1" s="33">
        <v>44923.630886574072</v>
      </c>
      <c r="N21" s="3" t="str">
        <f>IF(Tableau4849[[#This Row],[T CLOSE]]&gt;[1]CONFIGURATION!$K$4,Tableau4849[[#This Row],[IDENTITE]],"")</f>
        <v/>
      </c>
      <c r="O21" s="26">
        <f>IFERROR(Tableau4849[[#This Row],[SL]]/(Tableau4849[[#This Row],[VOLUME]]/$I$5),0)</f>
        <v>0</v>
      </c>
      <c r="P21" s="26" t="str">
        <f>Tableau4849[[#This Row],[COMMAND]]</f>
        <v>BUY</v>
      </c>
      <c r="Q2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1.06287 M1M1</v>
      </c>
      <c r="R21" s="29">
        <v>20</v>
      </c>
      <c r="S21" s="26" t="str">
        <f>IF(Tableau4849[[#This Row],[ETAT]]="LOSE",IF(IFERROR(ABS(SUBSTITUTE(Tableau4849[[#This Row],[PRICE]],".",",")-'[1]Deal ticket'!$B$16)*1000,"")&lt;=$S$5,"GO","WAIT"),"")</f>
        <v/>
      </c>
      <c r="T2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1" s="34" t="str">
        <f>IF(Tableau4849[[#This Row],[ETAT]]="LOSE",IF(IFERROR(ABS(SUBSTITUTE(Tableau4849[[#This Row],[PRICE]],".",",")-'[1]Deal ticket'!$B$16)*1000,"")&lt;=$U$5,"GO","WAIT"),"")</f>
        <v/>
      </c>
      <c r="V21" s="26">
        <f>IF(Tableau4849[[#This Row],[INDEX]]&lt;3,"",SUMIFS(Tableau4849[SL],Tableau4849[Colonne5],Tableau4849[[#This Row],[Colonne5]])+$S$4)</f>
        <v>1</v>
      </c>
      <c r="W21" s="34" t="str">
        <f>IF(Tableau4849[[#This Row],[ETAT]]="LOSE",IF(IFERROR(ABS(SUBSTITUTE(Tableau4849[[#This Row],[PRICE]],".",",")-'[1]Deal ticket'!$B$16)*1000,"")&lt;=$W$5,"GO","WAIT"),"")</f>
        <v/>
      </c>
      <c r="X2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1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21" s="26" t="str">
        <f>IF(AND(Tableau4849[[#This Row],[3,8]]=1),Tableau4849[[#This Row],[INDEX]],"")</f>
        <v/>
      </c>
      <c r="AC21" s="26" t="str">
        <f ca="1">IF(IFERROR(_xlfn.XLOOKUP(Tableau4849[[#This Row],[IDENTITE]],[1]!Tableau47[GLOBUY],[1]!Tableau47[GLOBUY]),"")="","",1)</f>
        <v/>
      </c>
      <c r="AD21" s="26" t="str">
        <f>IF(IFERROR(_xlfn.XLOOKUP(Tableau4849[[#This Row],[IDENTITE]],[1]!Tableau47[GLOSELL],[1]!Tableau47[GLOSELL]),"")="","",1)</f>
        <v/>
      </c>
      <c r="AE21" s="26"/>
      <c r="AF21" s="26">
        <f>IF(Tableau4849[[#This Row],[INDEX]]&lt;3,"",IF(Tableau4849[[#This Row],[COMMAND]]="","",IF('[1]Bar history'!$AA$33=1,1,"")))</f>
        <v>1</v>
      </c>
      <c r="AG21" s="26"/>
      <c r="AH21" s="26" t="str">
        <f>IF(IFERROR(_xlfn.XLOOKUP(Tableau4849[[#This Row],[IDENTITE]],[1]!Tableau47[COMMENTAIRE],[1]!Tableau47[CLOTURE]),"")=[1]PARAMETRE!$BK$31,Tableau4849[[#This Row],[INDEX]],"")</f>
        <v/>
      </c>
      <c r="AI21" s="26"/>
      <c r="AJ21" s="35" t="str">
        <f>IF(AND(ISNUMBER(SEARCH("BUY",Tableau4849[[#This Row],[COMMAND]]))),"BUYSTOP",IF(AND(ISNUMBER(SEARCH("SELL",Tableau4849[[#This Row],[COMMAND]]))),"SELLSTOP",""))</f>
        <v>BUYSTOP</v>
      </c>
      <c r="AK21" s="35" t="str">
        <f>IFERROR(SUBSTITUTE(Tableau4849[[#This Row],[PRICE]],",","."),"")</f>
        <v>1.06414</v>
      </c>
      <c r="AL21" s="35" t="str">
        <f>IF(Tableau4849[[#This Row],[INDEX]]&lt;3,"",Tableau4849[[#This Row],[IDENTITE]])</f>
        <v>1 RBRB B 1.06287 M1M1</v>
      </c>
      <c r="AM21" s="35" t="str">
        <f>IF(Tableau4849[[#This Row],[INDEX]]&lt;3,"",Tableau4849[[#This Row],[DEVISE]])</f>
        <v>EURUSD</v>
      </c>
      <c r="AN21" s="35">
        <f>IFERROR(IF(Tableau4849[[#This Row],[INDEX]]&lt;3,"",Tableau4849[[#This Row],[ATTEINT]]),100000)</f>
        <v>100000</v>
      </c>
      <c r="AO21" s="35">
        <f>IF(Tableau4849[[#This Row],[INDEX]]&lt;3,"",Tableau4849[[#This Row],[COMPTE]])</f>
        <v>925832</v>
      </c>
      <c r="AP21" s="35" t="str">
        <f>IF(Tableau4849[[#This Row],[INDEX]]&lt;3,"","NON")</f>
        <v>NON</v>
      </c>
      <c r="AQ21" s="35" t="str">
        <f>IF(Tableau4849[[#This Row],[INDEX]]&lt;3,"",IF(Tableau4849[[#This Row],[0,5]]&lt;0,"NEGATIF",""))</f>
        <v/>
      </c>
    </row>
    <row r="22" spans="1:43" x14ac:dyDescent="0.25">
      <c r="A22" s="24">
        <v>16</v>
      </c>
      <c r="B22" s="32">
        <v>44923.420416666668</v>
      </c>
      <c r="C22" s="26">
        <v>925832</v>
      </c>
      <c r="D22" s="24" t="s">
        <v>0</v>
      </c>
      <c r="E22" s="24" t="s">
        <v>46</v>
      </c>
      <c r="F22" s="24">
        <v>1.06351</v>
      </c>
      <c r="G22" s="26">
        <v>3000</v>
      </c>
      <c r="H22" s="27" t="s">
        <v>148</v>
      </c>
      <c r="I22" s="28" t="str">
        <f>IF(IFERROR(_xlfn.XLOOKUP(Tableau4849[[#This Row],[SL]],'[1]Tickets (2)'!J18:J812,'[1]Tickets (2)'!I21:I815),"")=0,"",IFERROR(_xlfn.XLOOKUP(Tableau4849[[#This Row],[SL]],'[1]Tickets (2)'!J18:J812,'[1]Tickets (2)'!I21:I815),""))</f>
        <v/>
      </c>
      <c r="K2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2" s="33">
        <v>44923.630886574072</v>
      </c>
      <c r="N22" s="3" t="str">
        <f>IF(Tableau4849[[#This Row],[T CLOSE]]&gt;[1]CONFIGURATION!$K$4,Tableau4849[[#This Row],[IDENTITE]],"")</f>
        <v/>
      </c>
      <c r="O22" s="26">
        <f>IFERROR(Tableau4849[[#This Row],[SL]]/(Tableau4849[[#This Row],[VOLUME]]/$I$5),0)</f>
        <v>0</v>
      </c>
      <c r="P22" s="26" t="str">
        <f>Tableau4849[[#This Row],[COMMAND]]</f>
        <v>SELL</v>
      </c>
      <c r="Q2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1.06432 M1M1</v>
      </c>
      <c r="R22" s="29">
        <v>-156</v>
      </c>
      <c r="S22" s="26" t="str">
        <f>IF(Tableau4849[[#This Row],[ETAT]]="LOSE",IF(IFERROR(ABS(SUBSTITUTE(Tableau4849[[#This Row],[PRICE]],".",",")-'[1]Deal ticket'!$B$16)*1000,"")&lt;=$S$5,"GO","WAIT"),"")</f>
        <v/>
      </c>
      <c r="T2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2" s="34" t="str">
        <f>IF(Tableau4849[[#This Row],[ETAT]]="LOSE",IF(IFERROR(ABS(SUBSTITUTE(Tableau4849[[#This Row],[PRICE]],".",",")-'[1]Deal ticket'!$B$16)*1000,"")&lt;=$U$5,"GO","WAIT"),"")</f>
        <v/>
      </c>
      <c r="V22" s="26">
        <f>IF(Tableau4849[[#This Row],[INDEX]]&lt;3,"",SUMIFS(Tableau4849[SL],Tableau4849[Colonne5],Tableau4849[[#This Row],[Colonne5]])+$S$4)</f>
        <v>1</v>
      </c>
      <c r="W22" s="34" t="str">
        <f>IF(Tableau4849[[#This Row],[ETAT]]="LOSE",IF(IFERROR(ABS(SUBSTITUTE(Tableau4849[[#This Row],[PRICE]],".",",")-'[1]Deal ticket'!$B$16)*1000,"")&lt;=$W$5,"GO","WAIT"),"")</f>
        <v/>
      </c>
      <c r="X2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22" s="26">
        <f>IF(AND(Tableau4849[[#This Row],[3,8]]=1),Tableau4849[[#This Row],[INDEX]],"")</f>
        <v>16</v>
      </c>
      <c r="AC22" s="26" t="str">
        <f ca="1">IF(IFERROR(_xlfn.XLOOKUP(Tableau4849[[#This Row],[IDENTITE]],[1]!Tableau47[GLOBUY],[1]!Tableau47[GLOBUY]),"")="","",1)</f>
        <v/>
      </c>
      <c r="AD22" s="26" t="str">
        <f>IF(IFERROR(_xlfn.XLOOKUP(Tableau4849[[#This Row],[IDENTITE]],[1]!Tableau47[GLOSELL],[1]!Tableau47[GLOSELL]),"")="","",1)</f>
        <v/>
      </c>
      <c r="AE22" s="26"/>
      <c r="AF22" s="26">
        <f>IF(Tableau4849[[#This Row],[INDEX]]&lt;3,"",IF(Tableau4849[[#This Row],[COMMAND]]="","",IF('[1]Bar history'!$AA$33=1,1,"")))</f>
        <v>1</v>
      </c>
      <c r="AG22" s="26"/>
      <c r="AH22" s="26" t="str">
        <f>IF(IFERROR(_xlfn.XLOOKUP(Tableau4849[[#This Row],[IDENTITE]],[1]!Tableau47[COMMENTAIRE],[1]!Tableau47[CLOTURE]),"")=[1]PARAMETRE!$BK$31,Tableau4849[[#This Row],[INDEX]],"")</f>
        <v/>
      </c>
      <c r="AI22" s="26"/>
      <c r="AJ22" s="35" t="str">
        <f>IF(AND(ISNUMBER(SEARCH("BUY",Tableau4849[[#This Row],[COMMAND]]))),"BUYSTOP",IF(AND(ISNUMBER(SEARCH("SELL",Tableau4849[[#This Row],[COMMAND]]))),"SELLSTOP",""))</f>
        <v>SELLSTOP</v>
      </c>
      <c r="AK22" s="35" t="str">
        <f>IFERROR(SUBSTITUTE(Tableau4849[[#This Row],[PRICE]],",","."),"")</f>
        <v>1.06351</v>
      </c>
      <c r="AL22" s="35" t="str">
        <f>IF(Tableau4849[[#This Row],[INDEX]]&lt;3,"",Tableau4849[[#This Row],[IDENTITE]])</f>
        <v>1 RSRS S 1.06432 M1M1</v>
      </c>
      <c r="AM22" s="35" t="str">
        <f>IF(Tableau4849[[#This Row],[INDEX]]&lt;3,"",Tableau4849[[#This Row],[DEVISE]])</f>
        <v>EURUSD</v>
      </c>
      <c r="AN22" s="35">
        <f>IFERROR(IF(Tableau4849[[#This Row],[INDEX]]&lt;3,"",Tableau4849[[#This Row],[ATTEINT]]),100000)</f>
        <v>100000</v>
      </c>
      <c r="AO22" s="35">
        <f>IF(Tableau4849[[#This Row],[INDEX]]&lt;3,"",Tableau4849[[#This Row],[COMPTE]])</f>
        <v>925832</v>
      </c>
      <c r="AP22" s="35" t="str">
        <f>IF(Tableau4849[[#This Row],[INDEX]]&lt;3,"","NON")</f>
        <v>NON</v>
      </c>
      <c r="AQ22" s="35" t="str">
        <f>IF(Tableau4849[[#This Row],[INDEX]]&lt;3,"",IF(Tableau4849[[#This Row],[0,5]]&lt;0,"NEGATIF",""))</f>
        <v>NEGATIF</v>
      </c>
    </row>
    <row r="23" spans="1:43" x14ac:dyDescent="0.25">
      <c r="A23" s="24">
        <v>17</v>
      </c>
      <c r="B23" s="32">
        <v>44923.417280092595</v>
      </c>
      <c r="C23" s="26">
        <v>925832</v>
      </c>
      <c r="D23" s="24" t="s">
        <v>0</v>
      </c>
      <c r="E23" s="24" t="s">
        <v>47</v>
      </c>
      <c r="F23" s="24">
        <v>1.0643400000000001</v>
      </c>
      <c r="G23" s="26">
        <v>3000</v>
      </c>
      <c r="H23" s="27" t="s">
        <v>150</v>
      </c>
      <c r="I23" s="28" t="str">
        <f>IF(IFERROR(_xlfn.XLOOKUP(Tableau4849[[#This Row],[SL]],'[1]Tickets (2)'!J19:J813,'[1]Tickets (2)'!I22:I816),"")=0,"",IFERROR(_xlfn.XLOOKUP(Tableau4849[[#This Row],[SL]],'[1]Tickets (2)'!J19:J813,'[1]Tickets (2)'!I22:I816),""))</f>
        <v/>
      </c>
      <c r="K2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3" s="33">
        <v>44923.630886574072</v>
      </c>
      <c r="N23" s="3" t="str">
        <f>IF(Tableau4849[[#This Row],[T CLOSE]]&gt;[1]CONFIGURATION!$K$4,Tableau4849[[#This Row],[IDENTITE]],"")</f>
        <v/>
      </c>
      <c r="O23" s="26">
        <f>IFERROR(Tableau4849[[#This Row],[SL]]/(Tableau4849[[#This Row],[VOLUME]]/$I$5),0)</f>
        <v>0</v>
      </c>
      <c r="P23" s="26" t="str">
        <f>Tableau4849[[#This Row],[COMMAND]]</f>
        <v>BUY</v>
      </c>
      <c r="Q2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1.06288 M1M1</v>
      </c>
      <c r="R23" s="29">
        <v>-166</v>
      </c>
      <c r="S23" s="26" t="str">
        <f>IF(Tableau4849[[#This Row],[ETAT]]="LOSE",IF(IFERROR(ABS(SUBSTITUTE(Tableau4849[[#This Row],[PRICE]],".",",")-'[1]Deal ticket'!$B$16)*1000,"")&lt;=$S$5,"GO","WAIT"),"")</f>
        <v/>
      </c>
      <c r="T2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3" s="34" t="str">
        <f>IF(Tableau4849[[#This Row],[ETAT]]="LOSE",IF(IFERROR(ABS(SUBSTITUTE(Tableau4849[[#This Row],[PRICE]],".",",")-'[1]Deal ticket'!$B$16)*1000,"")&lt;=$U$5,"GO","WAIT"),"")</f>
        <v/>
      </c>
      <c r="V23" s="26">
        <f>IF(Tableau4849[[#This Row],[INDEX]]&lt;3,"",SUMIFS(Tableau4849[SL],Tableau4849[Colonne5],Tableau4849[[#This Row],[Colonne5]])+$S$4)</f>
        <v>1</v>
      </c>
      <c r="W23" s="34" t="str">
        <f>IF(Tableau4849[[#This Row],[ETAT]]="LOSE",IF(IFERROR(ABS(SUBSTITUTE(Tableau4849[[#This Row],[PRICE]],".",",")-'[1]Deal ticket'!$B$16)*1000,"")&lt;=$W$5,"GO","WAIT"),"")</f>
        <v/>
      </c>
      <c r="X2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23" s="26">
        <f>IF(AND(Tableau4849[[#This Row],[3,8]]=1),Tableau4849[[#This Row],[INDEX]],"")</f>
        <v>17</v>
      </c>
      <c r="AC23" s="26" t="str">
        <f ca="1">IF(IFERROR(_xlfn.XLOOKUP(Tableau4849[[#This Row],[IDENTITE]],[1]!Tableau47[GLOBUY],[1]!Tableau47[GLOBUY]),"")="","",1)</f>
        <v/>
      </c>
      <c r="AD23" s="26" t="str">
        <f>IF(IFERROR(_xlfn.XLOOKUP(Tableau4849[[#This Row],[IDENTITE]],[1]!Tableau47[GLOSELL],[1]!Tableau47[GLOSELL]),"")="","",1)</f>
        <v/>
      </c>
      <c r="AE23" s="26"/>
      <c r="AF23" s="26">
        <f>IF(Tableau4849[[#This Row],[INDEX]]&lt;3,"",IF(Tableau4849[[#This Row],[COMMAND]]="","",IF('[1]Bar history'!$AA$33=1,1,"")))</f>
        <v>1</v>
      </c>
      <c r="AG23" s="26"/>
      <c r="AH23" s="26" t="str">
        <f>IF(IFERROR(_xlfn.XLOOKUP(Tableau4849[[#This Row],[IDENTITE]],[1]!Tableau47[COMMENTAIRE],[1]!Tableau47[CLOTURE]),"")=[1]PARAMETRE!$BK$31,Tableau4849[[#This Row],[INDEX]],"")</f>
        <v/>
      </c>
      <c r="AI23" s="26"/>
      <c r="AJ23" s="35" t="str">
        <f>IF(AND(ISNUMBER(SEARCH("BUY",Tableau4849[[#This Row],[COMMAND]]))),"BUYSTOP",IF(AND(ISNUMBER(SEARCH("SELL",Tableau4849[[#This Row],[COMMAND]]))),"SELLSTOP",""))</f>
        <v>BUYSTOP</v>
      </c>
      <c r="AK23" s="35" t="str">
        <f>IFERROR(SUBSTITUTE(Tableau4849[[#This Row],[PRICE]],",","."),"")</f>
        <v>1.06434</v>
      </c>
      <c r="AL23" s="35" t="str">
        <f>IF(Tableau4849[[#This Row],[INDEX]]&lt;3,"",Tableau4849[[#This Row],[IDENTITE]])</f>
        <v>1 RBRB B 1.06288 M1M1</v>
      </c>
      <c r="AM23" s="35" t="str">
        <f>IF(Tableau4849[[#This Row],[INDEX]]&lt;3,"",Tableau4849[[#This Row],[DEVISE]])</f>
        <v>EURUSD</v>
      </c>
      <c r="AN23" s="35">
        <f>IFERROR(IF(Tableau4849[[#This Row],[INDEX]]&lt;3,"",Tableau4849[[#This Row],[ATTEINT]]),100000)</f>
        <v>100000</v>
      </c>
      <c r="AO23" s="35">
        <f>IF(Tableau4849[[#This Row],[INDEX]]&lt;3,"",Tableau4849[[#This Row],[COMPTE]])</f>
        <v>925832</v>
      </c>
      <c r="AP23" s="35" t="str">
        <f>IF(Tableau4849[[#This Row],[INDEX]]&lt;3,"","NON")</f>
        <v>NON</v>
      </c>
      <c r="AQ23" s="35" t="str">
        <f>IF(Tableau4849[[#This Row],[INDEX]]&lt;3,"",IF(Tableau4849[[#This Row],[0,5]]&lt;0,"NEGATIF",""))</f>
        <v>NEGATIF</v>
      </c>
    </row>
    <row r="24" spans="1:43" x14ac:dyDescent="0.25">
      <c r="A24" s="24">
        <v>18</v>
      </c>
      <c r="B24" s="32">
        <v>44923.416284722225</v>
      </c>
      <c r="C24" s="26">
        <v>925832</v>
      </c>
      <c r="D24" s="24" t="s">
        <v>0</v>
      </c>
      <c r="E24" s="24" t="s">
        <v>47</v>
      </c>
      <c r="F24" s="24">
        <v>1.0644800000000001</v>
      </c>
      <c r="G24" s="26">
        <v>4000</v>
      </c>
      <c r="H24" s="27" t="s">
        <v>151</v>
      </c>
      <c r="I24" s="28" t="str">
        <f>IF(IFERROR(_xlfn.XLOOKUP(Tableau4849[[#This Row],[SL]],'[1]Tickets (2)'!J20:J814,'[1]Tickets (2)'!I23:I817),"")=0,"",IFERROR(_xlfn.XLOOKUP(Tableau4849[[#This Row],[SL]],'[1]Tickets (2)'!J20:J814,'[1]Tickets (2)'!I23:I817),""))</f>
        <v/>
      </c>
      <c r="K2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4" s="33">
        <v>44923.630886574072</v>
      </c>
      <c r="N24" s="3" t="str">
        <f>IF(Tableau4849[[#This Row],[T CLOSE]]&gt;[1]CONFIGURATION!$K$4,Tableau4849[[#This Row],[IDENTITE]],"")</f>
        <v/>
      </c>
      <c r="O24" s="26">
        <f>IFERROR(Tableau4849[[#This Row],[SL]]/(Tableau4849[[#This Row],[VOLUME]]/$I$5),0)</f>
        <v>0</v>
      </c>
      <c r="P24" s="26" t="str">
        <f>Tableau4849[[#This Row],[COMMAND]]</f>
        <v>BUY</v>
      </c>
      <c r="Q2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1.06296 M1M1</v>
      </c>
      <c r="R24" s="29">
        <v>-176</v>
      </c>
      <c r="S24" s="26" t="str">
        <f>IF(Tableau4849[[#This Row],[ETAT]]="LOSE",IF(IFERROR(ABS(SUBSTITUTE(Tableau4849[[#This Row],[PRICE]],".",",")-'[1]Deal ticket'!$B$16)*1000,"")&lt;=$S$5,"GO","WAIT"),"")</f>
        <v/>
      </c>
      <c r="T2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4" s="34" t="str">
        <f>IF(Tableau4849[[#This Row],[ETAT]]="LOSE",IF(IFERROR(ABS(SUBSTITUTE(Tableau4849[[#This Row],[PRICE]],".",",")-'[1]Deal ticket'!$B$16)*1000,"")&lt;=$U$5,"GO","WAIT"),"")</f>
        <v/>
      </c>
      <c r="V24" s="26">
        <f>IF(Tableau4849[[#This Row],[INDEX]]&lt;3,"",SUMIFS(Tableau4849[SL],Tableau4849[Colonne5],Tableau4849[[#This Row],[Colonne5]])+$S$4)</f>
        <v>1</v>
      </c>
      <c r="W24" s="34" t="str">
        <f>IF(Tableau4849[[#This Row],[ETAT]]="LOSE",IF(IFERROR(ABS(SUBSTITUTE(Tableau4849[[#This Row],[PRICE]],".",",")-'[1]Deal ticket'!$B$16)*1000,"")&lt;=$W$5,"GO","WAIT"),"")</f>
        <v/>
      </c>
      <c r="X2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4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24" s="26">
        <f>IF(AND(Tableau4849[[#This Row],[3,8]]=1),Tableau4849[[#This Row],[INDEX]],"")</f>
        <v>18</v>
      </c>
      <c r="AC24" s="26" t="str">
        <f ca="1">IF(IFERROR(_xlfn.XLOOKUP(Tableau4849[[#This Row],[IDENTITE]],[1]!Tableau47[GLOBUY],[1]!Tableau47[GLOBUY]),"")="","",1)</f>
        <v/>
      </c>
      <c r="AD24" s="26" t="str">
        <f>IF(IFERROR(_xlfn.XLOOKUP(Tableau4849[[#This Row],[IDENTITE]],[1]!Tableau47[GLOSELL],[1]!Tableau47[GLOSELL]),"")="","",1)</f>
        <v/>
      </c>
      <c r="AE24" s="26"/>
      <c r="AF24" s="26">
        <f>IF(Tableau4849[[#This Row],[INDEX]]&lt;3,"",IF(Tableau4849[[#This Row],[COMMAND]]="","",IF('[1]Bar history'!$AA$33=1,1,"")))</f>
        <v>1</v>
      </c>
      <c r="AG24" s="26"/>
      <c r="AH24" s="26" t="str">
        <f>IF(IFERROR(_xlfn.XLOOKUP(Tableau4849[[#This Row],[IDENTITE]],[1]!Tableau47[COMMENTAIRE],[1]!Tableau47[CLOTURE]),"")=[1]PARAMETRE!$BK$31,Tableau4849[[#This Row],[INDEX]],"")</f>
        <v/>
      </c>
      <c r="AI24" s="26"/>
      <c r="AJ24" s="35" t="str">
        <f>IF(AND(ISNUMBER(SEARCH("BUY",Tableau4849[[#This Row],[COMMAND]]))),"BUYSTOP",IF(AND(ISNUMBER(SEARCH("SELL",Tableau4849[[#This Row],[COMMAND]]))),"SELLSTOP",""))</f>
        <v>BUYSTOP</v>
      </c>
      <c r="AK24" s="35" t="str">
        <f>IFERROR(SUBSTITUTE(Tableau4849[[#This Row],[PRICE]],",","."),"")</f>
        <v>1.06448</v>
      </c>
      <c r="AL24" s="35" t="str">
        <f>IF(Tableau4849[[#This Row],[INDEX]]&lt;3,"",Tableau4849[[#This Row],[IDENTITE]])</f>
        <v>1 RBRB B 1.06296 M1M1</v>
      </c>
      <c r="AM24" s="35" t="str">
        <f>IF(Tableau4849[[#This Row],[INDEX]]&lt;3,"",Tableau4849[[#This Row],[DEVISE]])</f>
        <v>EURUSD</v>
      </c>
      <c r="AN24" s="35">
        <f>IFERROR(IF(Tableau4849[[#This Row],[INDEX]]&lt;3,"",Tableau4849[[#This Row],[ATTEINT]]),100000)</f>
        <v>100000</v>
      </c>
      <c r="AO24" s="35">
        <f>IF(Tableau4849[[#This Row],[INDEX]]&lt;3,"",Tableau4849[[#This Row],[COMPTE]])</f>
        <v>925832</v>
      </c>
      <c r="AP24" s="35" t="str">
        <f>IF(Tableau4849[[#This Row],[INDEX]]&lt;3,"","NON")</f>
        <v>NON</v>
      </c>
      <c r="AQ24" s="35" t="str">
        <f>IF(Tableau4849[[#This Row],[INDEX]]&lt;3,"",IF(Tableau4849[[#This Row],[0,5]]&lt;0,"NEGATIF",""))</f>
        <v>NEGATIF</v>
      </c>
    </row>
    <row r="25" spans="1:43" x14ac:dyDescent="0.25">
      <c r="A25" s="24">
        <v>19</v>
      </c>
      <c r="B25" s="32">
        <v>44923.415949074071</v>
      </c>
      <c r="C25" s="26">
        <v>925832</v>
      </c>
      <c r="D25" s="24" t="s">
        <v>0</v>
      </c>
      <c r="E25" s="24" t="s">
        <v>47</v>
      </c>
      <c r="F25" s="24">
        <v>1.06464</v>
      </c>
      <c r="G25" s="26">
        <v>4000</v>
      </c>
      <c r="H25" s="27" t="s">
        <v>152</v>
      </c>
      <c r="I25" s="28" t="str">
        <f>IF(IFERROR(_xlfn.XLOOKUP(Tableau4849[[#This Row],[SL]],'[1]Tickets (2)'!J21:J815,'[1]Tickets (2)'!I24:I818),"")=0,"",IFERROR(_xlfn.XLOOKUP(Tableau4849[[#This Row],[SL]],'[1]Tickets (2)'!J21:J815,'[1]Tickets (2)'!I24:I818),""))</f>
        <v/>
      </c>
      <c r="K2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5" s="33">
        <v>44923.630886574072</v>
      </c>
      <c r="N25" s="3" t="str">
        <f>IF(Tableau4849[[#This Row],[T CLOSE]]&gt;[1]CONFIGURATION!$K$4,Tableau4849[[#This Row],[IDENTITE]],"")</f>
        <v/>
      </c>
      <c r="O25" s="26">
        <f>IFERROR(Tableau4849[[#This Row],[SL]]/(Tableau4849[[#This Row],[VOLUME]]/$I$5),0)</f>
        <v>0</v>
      </c>
      <c r="P25" s="26" t="str">
        <f>Tableau4849[[#This Row],[COMMAND]]</f>
        <v>BUY</v>
      </c>
      <c r="Q2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1.06316 M1M1</v>
      </c>
      <c r="R25" s="29">
        <v>-186</v>
      </c>
      <c r="S25" s="26" t="str">
        <f>IF(Tableau4849[[#This Row],[ETAT]]="LOSE",IF(IFERROR(ABS(SUBSTITUTE(Tableau4849[[#This Row],[PRICE]],".",",")-'[1]Deal ticket'!$B$16)*1000,"")&lt;=$S$5,"GO","WAIT"),"")</f>
        <v/>
      </c>
      <c r="T2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5" s="34" t="str">
        <f>IF(Tableau4849[[#This Row],[ETAT]]="LOSE",IF(IFERROR(ABS(SUBSTITUTE(Tableau4849[[#This Row],[PRICE]],".",",")-'[1]Deal ticket'!$B$16)*1000,"")&lt;=$U$5,"GO","WAIT"),"")</f>
        <v/>
      </c>
      <c r="V25" s="26">
        <f>IF(Tableau4849[[#This Row],[INDEX]]&lt;3,"",SUMIFS(Tableau4849[SL],Tableau4849[Colonne5],Tableau4849[[#This Row],[Colonne5]])+$S$4)</f>
        <v>1</v>
      </c>
      <c r="W25" s="34" t="str">
        <f>IF(Tableau4849[[#This Row],[ETAT]]="LOSE",IF(IFERROR(ABS(SUBSTITUTE(Tableau4849[[#This Row],[PRICE]],".",",")-'[1]Deal ticket'!$B$16)*1000,"")&lt;=$W$5,"GO","WAIT"),"")</f>
        <v/>
      </c>
      <c r="X2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5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25" s="26">
        <f>IF(AND(Tableau4849[[#This Row],[3,8]]=1),Tableau4849[[#This Row],[INDEX]],"")</f>
        <v>19</v>
      </c>
      <c r="AC25" s="26" t="str">
        <f ca="1">IF(IFERROR(_xlfn.XLOOKUP(Tableau4849[[#This Row],[IDENTITE]],[1]!Tableau47[GLOBUY],[1]!Tableau47[GLOBUY]),"")="","",1)</f>
        <v/>
      </c>
      <c r="AD25" s="26" t="str">
        <f>IF(IFERROR(_xlfn.XLOOKUP(Tableau4849[[#This Row],[IDENTITE]],[1]!Tableau47[GLOSELL],[1]!Tableau47[GLOSELL]),"")="","",1)</f>
        <v/>
      </c>
      <c r="AE25" s="26"/>
      <c r="AF25" s="26">
        <f>IF(Tableau4849[[#This Row],[INDEX]]&lt;3,"",IF(Tableau4849[[#This Row],[COMMAND]]="","",IF('[1]Bar history'!$AA$33=1,1,"")))</f>
        <v>1</v>
      </c>
      <c r="AG25" s="26"/>
      <c r="AH25" s="26" t="str">
        <f>IF(IFERROR(_xlfn.XLOOKUP(Tableau4849[[#This Row],[IDENTITE]],[1]!Tableau47[COMMENTAIRE],[1]!Tableau47[CLOTURE]),"")=[1]PARAMETRE!$BK$31,Tableau4849[[#This Row],[INDEX]],"")</f>
        <v/>
      </c>
      <c r="AI25" s="26"/>
      <c r="AJ25" s="35" t="str">
        <f>IF(AND(ISNUMBER(SEARCH("BUY",Tableau4849[[#This Row],[COMMAND]]))),"BUYSTOP",IF(AND(ISNUMBER(SEARCH("SELL",Tableau4849[[#This Row],[COMMAND]]))),"SELLSTOP",""))</f>
        <v>BUYSTOP</v>
      </c>
      <c r="AK25" s="35" t="str">
        <f>IFERROR(SUBSTITUTE(Tableau4849[[#This Row],[PRICE]],",","."),"")</f>
        <v>1.06464</v>
      </c>
      <c r="AL25" s="35" t="str">
        <f>IF(Tableau4849[[#This Row],[INDEX]]&lt;3,"",Tableau4849[[#This Row],[IDENTITE]])</f>
        <v>1 RBRB B 1.06316 M1M1</v>
      </c>
      <c r="AM25" s="35" t="str">
        <f>IF(Tableau4849[[#This Row],[INDEX]]&lt;3,"",Tableau4849[[#This Row],[DEVISE]])</f>
        <v>EURUSD</v>
      </c>
      <c r="AN25" s="35">
        <f>IFERROR(IF(Tableau4849[[#This Row],[INDEX]]&lt;3,"",Tableau4849[[#This Row],[ATTEINT]]),100000)</f>
        <v>100000</v>
      </c>
      <c r="AO25" s="35">
        <f>IF(Tableau4849[[#This Row],[INDEX]]&lt;3,"",Tableau4849[[#This Row],[COMPTE]])</f>
        <v>925832</v>
      </c>
      <c r="AP25" s="35" t="str">
        <f>IF(Tableau4849[[#This Row],[INDEX]]&lt;3,"","NON")</f>
        <v>NON</v>
      </c>
      <c r="AQ25" s="35" t="str">
        <f>IF(Tableau4849[[#This Row],[INDEX]]&lt;3,"",IF(Tableau4849[[#This Row],[0,5]]&lt;0,"NEGATIF",""))</f>
        <v>NEGATIF</v>
      </c>
    </row>
    <row r="26" spans="1:43" x14ac:dyDescent="0.25">
      <c r="A26" s="24">
        <v>20</v>
      </c>
      <c r="B26" s="32">
        <v>44923.415671296294</v>
      </c>
      <c r="C26" s="26">
        <v>925832</v>
      </c>
      <c r="D26" s="24" t="s">
        <v>0</v>
      </c>
      <c r="E26" s="24" t="s">
        <v>47</v>
      </c>
      <c r="F26" s="24">
        <v>1.0648200000000001</v>
      </c>
      <c r="G26" s="26">
        <v>4000</v>
      </c>
      <c r="H26" s="27" t="s">
        <v>153</v>
      </c>
      <c r="I26" s="28" t="str">
        <f>IF(IFERROR(_xlfn.XLOOKUP(Tableau4849[[#This Row],[SL]],'[1]Tickets (2)'!J22:J816,'[1]Tickets (2)'!I25:I819),"")=0,"",IFERROR(_xlfn.XLOOKUP(Tableau4849[[#This Row],[SL]],'[1]Tickets (2)'!J22:J816,'[1]Tickets (2)'!I25:I819),""))</f>
        <v/>
      </c>
      <c r="K2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6" s="33">
        <v>44923.630886574072</v>
      </c>
      <c r="N26" s="3" t="str">
        <f>IF(Tableau4849[[#This Row],[T CLOSE]]&gt;[1]CONFIGURATION!$K$4,Tableau4849[[#This Row],[IDENTITE]],"")</f>
        <v/>
      </c>
      <c r="O26" s="26">
        <f>IFERROR(Tableau4849[[#This Row],[SL]]/(Tableau4849[[#This Row],[VOLUME]]/$I$5),0)</f>
        <v>0</v>
      </c>
      <c r="P26" s="26" t="str">
        <f>Tableau4849[[#This Row],[COMMAND]]</f>
        <v>BUY</v>
      </c>
      <c r="Q2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1.06322 M1M1</v>
      </c>
      <c r="R26" s="29">
        <v>-196</v>
      </c>
      <c r="S26" s="26" t="str">
        <f>IF(Tableau4849[[#This Row],[ETAT]]="LOSE",IF(IFERROR(ABS(SUBSTITUTE(Tableau4849[[#This Row],[PRICE]],".",",")-'[1]Deal ticket'!$B$16)*1000,"")&lt;=$S$5,"GO","WAIT"),"")</f>
        <v/>
      </c>
      <c r="T2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6" s="34" t="str">
        <f>IF(Tableau4849[[#This Row],[ETAT]]="LOSE",IF(IFERROR(ABS(SUBSTITUTE(Tableau4849[[#This Row],[PRICE]],".",",")-'[1]Deal ticket'!$B$16)*1000,"")&lt;=$U$5,"GO","WAIT"),"")</f>
        <v/>
      </c>
      <c r="V26" s="26">
        <f>IF(Tableau4849[[#This Row],[INDEX]]&lt;3,"",SUMIFS(Tableau4849[SL],Tableau4849[Colonne5],Tableau4849[[#This Row],[Colonne5]])+$S$4)</f>
        <v>1</v>
      </c>
      <c r="W26" s="34" t="str">
        <f>IF(Tableau4849[[#This Row],[ETAT]]="LOSE",IF(IFERROR(ABS(SUBSTITUTE(Tableau4849[[#This Row],[PRICE]],".",",")-'[1]Deal ticket'!$B$16)*1000,"")&lt;=$W$5,"GO","WAIT"),"")</f>
        <v/>
      </c>
      <c r="X2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6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26" s="26">
        <f>IF(AND(Tableau4849[[#This Row],[3,8]]=1),Tableau4849[[#This Row],[INDEX]],"")</f>
        <v>20</v>
      </c>
      <c r="AC26" s="26" t="str">
        <f ca="1">IF(IFERROR(_xlfn.XLOOKUP(Tableau4849[[#This Row],[IDENTITE]],[1]!Tableau47[GLOBUY],[1]!Tableau47[GLOBUY]),"")="","",1)</f>
        <v/>
      </c>
      <c r="AD26" s="26" t="str">
        <f>IF(IFERROR(_xlfn.XLOOKUP(Tableau4849[[#This Row],[IDENTITE]],[1]!Tableau47[GLOSELL],[1]!Tableau47[GLOSELL]),"")="","",1)</f>
        <v/>
      </c>
      <c r="AE26" s="26"/>
      <c r="AF26" s="26">
        <f>IF(Tableau4849[[#This Row],[INDEX]]&lt;3,"",IF(Tableau4849[[#This Row],[COMMAND]]="","",IF('[1]Bar history'!$AA$33=1,1,"")))</f>
        <v>1</v>
      </c>
      <c r="AG26" s="26"/>
      <c r="AH26" s="26" t="str">
        <f>IF(IFERROR(_xlfn.XLOOKUP(Tableau4849[[#This Row],[IDENTITE]],[1]!Tableau47[COMMENTAIRE],[1]!Tableau47[CLOTURE]),"")=[1]PARAMETRE!$BK$31,Tableau4849[[#This Row],[INDEX]],"")</f>
        <v/>
      </c>
      <c r="AI26" s="26"/>
      <c r="AJ26" s="35" t="str">
        <f>IF(AND(ISNUMBER(SEARCH("BUY",Tableau4849[[#This Row],[COMMAND]]))),"BUYSTOP",IF(AND(ISNUMBER(SEARCH("SELL",Tableau4849[[#This Row],[COMMAND]]))),"SELLSTOP",""))</f>
        <v>BUYSTOP</v>
      </c>
      <c r="AK26" s="35" t="str">
        <f>IFERROR(SUBSTITUTE(Tableau4849[[#This Row],[PRICE]],",","."),"")</f>
        <v>1.06482</v>
      </c>
      <c r="AL26" s="35" t="str">
        <f>IF(Tableau4849[[#This Row],[INDEX]]&lt;3,"",Tableau4849[[#This Row],[IDENTITE]])</f>
        <v>1 RBRB B 1.06322 M1M1</v>
      </c>
      <c r="AM26" s="35" t="str">
        <f>IF(Tableau4849[[#This Row],[INDEX]]&lt;3,"",Tableau4849[[#This Row],[DEVISE]])</f>
        <v>EURUSD</v>
      </c>
      <c r="AN26" s="35">
        <f>IFERROR(IF(Tableau4849[[#This Row],[INDEX]]&lt;3,"",Tableau4849[[#This Row],[ATTEINT]]),100000)</f>
        <v>100000</v>
      </c>
      <c r="AO26" s="35">
        <f>IF(Tableau4849[[#This Row],[INDEX]]&lt;3,"",Tableau4849[[#This Row],[COMPTE]])</f>
        <v>925832</v>
      </c>
      <c r="AP26" s="35" t="str">
        <f>IF(Tableau4849[[#This Row],[INDEX]]&lt;3,"","NON")</f>
        <v>NON</v>
      </c>
      <c r="AQ26" s="35" t="str">
        <f>IF(Tableau4849[[#This Row],[INDEX]]&lt;3,"",IF(Tableau4849[[#This Row],[0,5]]&lt;0,"NEGATIF",""))</f>
        <v>NEGATIF</v>
      </c>
    </row>
    <row r="27" spans="1:43" x14ac:dyDescent="0.25">
      <c r="A27" s="24">
        <v>21</v>
      </c>
      <c r="B27" s="32">
        <v>44923.415069444447</v>
      </c>
      <c r="C27" s="26">
        <v>925832</v>
      </c>
      <c r="D27" s="24" t="s">
        <v>0</v>
      </c>
      <c r="E27" s="24" t="s">
        <v>47</v>
      </c>
      <c r="F27" s="24">
        <v>1.0645899999999999</v>
      </c>
      <c r="G27" s="26">
        <v>3000</v>
      </c>
      <c r="H27" s="27" t="s">
        <v>155</v>
      </c>
      <c r="I27" s="28" t="str">
        <f>IF(IFERROR(_xlfn.XLOOKUP(Tableau4849[[#This Row],[SL]],'[1]Tickets (2)'!J23:J817,'[1]Tickets (2)'!I26:I820),"")=0,"",IFERROR(_xlfn.XLOOKUP(Tableau4849[[#This Row],[SL]],'[1]Tickets (2)'!J23:J817,'[1]Tickets (2)'!I26:I820),""))</f>
        <v/>
      </c>
      <c r="K2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7" s="33">
        <v>44923.630886574072</v>
      </c>
      <c r="N27" s="3" t="str">
        <f>IF(Tableau4849[[#This Row],[T CLOSE]]&gt;[1]CONFIGURATION!$K$4,Tableau4849[[#This Row],[IDENTITE]],"")</f>
        <v/>
      </c>
      <c r="O27" s="26">
        <f>IFERROR(Tableau4849[[#This Row],[SL]]/(Tableau4849[[#This Row],[VOLUME]]/$I$5),0)</f>
        <v>0</v>
      </c>
      <c r="P27" s="26" t="str">
        <f>Tableau4849[[#This Row],[COMMAND]]</f>
        <v>BUY</v>
      </c>
      <c r="Q2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1.06315 M1M1</v>
      </c>
      <c r="R27" s="29">
        <v>-206</v>
      </c>
      <c r="S27" s="26" t="str">
        <f>IF(Tableau4849[[#This Row],[ETAT]]="LOSE",IF(IFERROR(ABS(SUBSTITUTE(Tableau4849[[#This Row],[PRICE]],".",",")-'[1]Deal ticket'!$B$16)*1000,"")&lt;=$S$5,"GO","WAIT"),"")</f>
        <v/>
      </c>
      <c r="T2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7" s="34" t="str">
        <f>IF(Tableau4849[[#This Row],[ETAT]]="LOSE",IF(IFERROR(ABS(SUBSTITUTE(Tableau4849[[#This Row],[PRICE]],".",",")-'[1]Deal ticket'!$B$16)*1000,"")&lt;=$U$5,"GO","WAIT"),"")</f>
        <v/>
      </c>
      <c r="V27" s="26">
        <f>IF(Tableau4849[[#This Row],[INDEX]]&lt;3,"",SUMIFS(Tableau4849[SL],Tableau4849[Colonne5],Tableau4849[[#This Row],[Colonne5]])+$S$4)</f>
        <v>1</v>
      </c>
      <c r="W27" s="34" t="str">
        <f>IF(Tableau4849[[#This Row],[ETAT]]="LOSE",IF(IFERROR(ABS(SUBSTITUTE(Tableau4849[[#This Row],[PRICE]],".",",")-'[1]Deal ticket'!$B$16)*1000,"")&lt;=$W$5,"GO","WAIT"),"")</f>
        <v/>
      </c>
      <c r="X2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27" s="26">
        <f>IF(AND(Tableau4849[[#This Row],[3,8]]=1),Tableau4849[[#This Row],[INDEX]],"")</f>
        <v>21</v>
      </c>
      <c r="AC27" s="26" t="str">
        <f ca="1">IF(IFERROR(_xlfn.XLOOKUP(Tableau4849[[#This Row],[IDENTITE]],[1]!Tableau47[GLOBUY],[1]!Tableau47[GLOBUY]),"")="","",1)</f>
        <v/>
      </c>
      <c r="AD27" s="26" t="str">
        <f>IF(IFERROR(_xlfn.XLOOKUP(Tableau4849[[#This Row],[IDENTITE]],[1]!Tableau47[GLOSELL],[1]!Tableau47[GLOSELL]),"")="","",1)</f>
        <v/>
      </c>
      <c r="AE27" s="26"/>
      <c r="AF27" s="26">
        <f>IF(Tableau4849[[#This Row],[INDEX]]&lt;3,"",IF(Tableau4849[[#This Row],[COMMAND]]="","",IF('[1]Bar history'!$AA$33=1,1,"")))</f>
        <v>1</v>
      </c>
      <c r="AG27" s="26"/>
      <c r="AH27" s="26" t="str">
        <f>IF(IFERROR(_xlfn.XLOOKUP(Tableau4849[[#This Row],[IDENTITE]],[1]!Tableau47[COMMENTAIRE],[1]!Tableau47[CLOTURE]),"")=[1]PARAMETRE!$BK$31,Tableau4849[[#This Row],[INDEX]],"")</f>
        <v/>
      </c>
      <c r="AI27" s="26"/>
      <c r="AJ27" s="35" t="str">
        <f>IF(AND(ISNUMBER(SEARCH("BUY",Tableau4849[[#This Row],[COMMAND]]))),"BUYSTOP",IF(AND(ISNUMBER(SEARCH("SELL",Tableau4849[[#This Row],[COMMAND]]))),"SELLSTOP",""))</f>
        <v>BUYSTOP</v>
      </c>
      <c r="AK27" s="35" t="str">
        <f>IFERROR(SUBSTITUTE(Tableau4849[[#This Row],[PRICE]],",","."),"")</f>
        <v>1.06459</v>
      </c>
      <c r="AL27" s="35" t="str">
        <f>IF(Tableau4849[[#This Row],[INDEX]]&lt;3,"",Tableau4849[[#This Row],[IDENTITE]])</f>
        <v>1 RBRB B 1.06315 M1M1</v>
      </c>
      <c r="AM27" s="35" t="str">
        <f>IF(Tableau4849[[#This Row],[INDEX]]&lt;3,"",Tableau4849[[#This Row],[DEVISE]])</f>
        <v>EURUSD</v>
      </c>
      <c r="AN27" s="35">
        <f>IFERROR(IF(Tableau4849[[#This Row],[INDEX]]&lt;3,"",Tableau4849[[#This Row],[ATTEINT]]),100000)</f>
        <v>100000</v>
      </c>
      <c r="AO27" s="35">
        <f>IF(Tableau4849[[#This Row],[INDEX]]&lt;3,"",Tableau4849[[#This Row],[COMPTE]])</f>
        <v>925832</v>
      </c>
      <c r="AP27" s="35" t="str">
        <f>IF(Tableau4849[[#This Row],[INDEX]]&lt;3,"","NON")</f>
        <v>NON</v>
      </c>
      <c r="AQ27" s="35" t="str">
        <f>IF(Tableau4849[[#This Row],[INDEX]]&lt;3,"",IF(Tableau4849[[#This Row],[0,5]]&lt;0,"NEGATIF",""))</f>
        <v>NEGATIF</v>
      </c>
    </row>
    <row r="28" spans="1:43" x14ac:dyDescent="0.25">
      <c r="A28" s="24">
        <v>22</v>
      </c>
      <c r="B28" s="32">
        <v>44923.414641203701</v>
      </c>
      <c r="C28" s="26">
        <v>925832</v>
      </c>
      <c r="D28" s="24" t="s">
        <v>0</v>
      </c>
      <c r="E28" s="24" t="s">
        <v>47</v>
      </c>
      <c r="F28" s="24">
        <v>1.0644800000000001</v>
      </c>
      <c r="G28" s="26">
        <v>3000</v>
      </c>
      <c r="H28" s="27" t="s">
        <v>156</v>
      </c>
      <c r="I28" s="28" t="str">
        <f>IF(IFERROR(_xlfn.XLOOKUP(Tableau4849[[#This Row],[SL]],'[1]Tickets (2)'!J24:J818,'[1]Tickets (2)'!I27:I821),"")=0,"",IFERROR(_xlfn.XLOOKUP(Tableau4849[[#This Row],[SL]],'[1]Tickets (2)'!J24:J818,'[1]Tickets (2)'!I27:I821),""))</f>
        <v/>
      </c>
      <c r="K2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8" s="33">
        <v>44923.630886574072</v>
      </c>
      <c r="N28" s="3" t="str">
        <f>IF(Tableau4849[[#This Row],[T CLOSE]]&gt;[1]CONFIGURATION!$K$4,Tableau4849[[#This Row],[IDENTITE]],"")</f>
        <v/>
      </c>
      <c r="O28" s="26">
        <f>IFERROR(Tableau4849[[#This Row],[SL]]/(Tableau4849[[#This Row],[VOLUME]]/$I$5),0)</f>
        <v>0</v>
      </c>
      <c r="P28" s="26" t="str">
        <f>Tableau4849[[#This Row],[COMMAND]]</f>
        <v>BUY</v>
      </c>
      <c r="Q2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1.06307 M1M1</v>
      </c>
      <c r="R28" s="29">
        <v>-216</v>
      </c>
      <c r="S28" s="26" t="str">
        <f>IF(Tableau4849[[#This Row],[ETAT]]="LOSE",IF(IFERROR(ABS(SUBSTITUTE(Tableau4849[[#This Row],[PRICE]],".",",")-'[1]Deal ticket'!$B$16)*1000,"")&lt;=$S$5,"GO","WAIT"),"")</f>
        <v/>
      </c>
      <c r="T2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8" s="34" t="str">
        <f>IF(Tableau4849[[#This Row],[ETAT]]="LOSE",IF(IFERROR(ABS(SUBSTITUTE(Tableau4849[[#This Row],[PRICE]],".",",")-'[1]Deal ticket'!$B$16)*1000,"")&lt;=$U$5,"GO","WAIT"),"")</f>
        <v/>
      </c>
      <c r="V28" s="26">
        <f>IF(Tableau4849[[#This Row],[INDEX]]&lt;3,"",SUMIFS(Tableau4849[SL],Tableau4849[Colonne5],Tableau4849[[#This Row],[Colonne5]])+$S$4)</f>
        <v>1</v>
      </c>
      <c r="W28" s="34" t="str">
        <f>IF(Tableau4849[[#This Row],[ETAT]]="LOSE",IF(IFERROR(ABS(SUBSTITUTE(Tableau4849[[#This Row],[PRICE]],".",",")-'[1]Deal ticket'!$B$16)*1000,"")&lt;=$W$5,"GO","WAIT"),"")</f>
        <v/>
      </c>
      <c r="X2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28" s="26">
        <f>IF(AND(Tableau4849[[#This Row],[3,8]]=1),Tableau4849[[#This Row],[INDEX]],"")</f>
        <v>22</v>
      </c>
      <c r="AC28" s="26" t="str">
        <f ca="1">IF(IFERROR(_xlfn.XLOOKUP(Tableau4849[[#This Row],[IDENTITE]],[1]!Tableau47[GLOBUY],[1]!Tableau47[GLOBUY]),"")="","",1)</f>
        <v/>
      </c>
      <c r="AD28" s="26" t="str">
        <f>IF(IFERROR(_xlfn.XLOOKUP(Tableau4849[[#This Row],[IDENTITE]],[1]!Tableau47[GLOSELL],[1]!Tableau47[GLOSELL]),"")="","",1)</f>
        <v/>
      </c>
      <c r="AE28" s="26"/>
      <c r="AF28" s="26">
        <f>IF(Tableau4849[[#This Row],[INDEX]]&lt;3,"",IF(Tableau4849[[#This Row],[COMMAND]]="","",IF('[1]Bar history'!$AA$33=1,1,"")))</f>
        <v>1</v>
      </c>
      <c r="AG28" s="26"/>
      <c r="AH28" s="26" t="str">
        <f>IF(IFERROR(_xlfn.XLOOKUP(Tableau4849[[#This Row],[IDENTITE]],[1]!Tableau47[COMMENTAIRE],[1]!Tableau47[CLOTURE]),"")=[1]PARAMETRE!$BK$31,Tableau4849[[#This Row],[INDEX]],"")</f>
        <v/>
      </c>
      <c r="AI28" s="26"/>
      <c r="AJ28" s="35" t="str">
        <f>IF(AND(ISNUMBER(SEARCH("BUY",Tableau4849[[#This Row],[COMMAND]]))),"BUYSTOP",IF(AND(ISNUMBER(SEARCH("SELL",Tableau4849[[#This Row],[COMMAND]]))),"SELLSTOP",""))</f>
        <v>BUYSTOP</v>
      </c>
      <c r="AK28" s="35" t="str">
        <f>IFERROR(SUBSTITUTE(Tableau4849[[#This Row],[PRICE]],",","."),"")</f>
        <v>1.06448</v>
      </c>
      <c r="AL28" s="35" t="str">
        <f>IF(Tableau4849[[#This Row],[INDEX]]&lt;3,"",Tableau4849[[#This Row],[IDENTITE]])</f>
        <v>1 RBRB B 1.06307 M1M1</v>
      </c>
      <c r="AM28" s="35" t="str">
        <f>IF(Tableau4849[[#This Row],[INDEX]]&lt;3,"",Tableau4849[[#This Row],[DEVISE]])</f>
        <v>EURUSD</v>
      </c>
      <c r="AN28" s="35">
        <f>IFERROR(IF(Tableau4849[[#This Row],[INDEX]]&lt;3,"",Tableau4849[[#This Row],[ATTEINT]]),100000)</f>
        <v>100000</v>
      </c>
      <c r="AO28" s="35">
        <f>IF(Tableau4849[[#This Row],[INDEX]]&lt;3,"",Tableau4849[[#This Row],[COMPTE]])</f>
        <v>925832</v>
      </c>
      <c r="AP28" s="35" t="str">
        <f>IF(Tableau4849[[#This Row],[INDEX]]&lt;3,"","NON")</f>
        <v>NON</v>
      </c>
      <c r="AQ28" s="35" t="str">
        <f>IF(Tableau4849[[#This Row],[INDEX]]&lt;3,"",IF(Tableau4849[[#This Row],[0,5]]&lt;0,"NEGATIF",""))</f>
        <v>NEGATIF</v>
      </c>
    </row>
    <row r="29" spans="1:43" x14ac:dyDescent="0.25">
      <c r="A29" s="24">
        <v>23</v>
      </c>
      <c r="B29" s="32">
        <v>44923.413981481484</v>
      </c>
      <c r="C29" s="26">
        <v>925832</v>
      </c>
      <c r="D29" s="24" t="s">
        <v>0</v>
      </c>
      <c r="E29" s="24" t="s">
        <v>47</v>
      </c>
      <c r="F29" s="24">
        <v>1.0646100000000001</v>
      </c>
      <c r="G29" s="26">
        <v>3000</v>
      </c>
      <c r="H29" s="27" t="s">
        <v>158</v>
      </c>
      <c r="I29" s="28" t="str">
        <f>IF(IFERROR(_xlfn.XLOOKUP(Tableau4849[[#This Row],[SL]],'[1]Tickets (2)'!J25:J819,'[1]Tickets (2)'!I28:I822),"")=0,"",IFERROR(_xlfn.XLOOKUP(Tableau4849[[#This Row],[SL]],'[1]Tickets (2)'!J25:J819,'[1]Tickets (2)'!I28:I822),""))</f>
        <v/>
      </c>
      <c r="K2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29" s="33">
        <v>44923.630886574072</v>
      </c>
      <c r="N29" s="3" t="str">
        <f>IF(Tableau4849[[#This Row],[T CLOSE]]&gt;[1]CONFIGURATION!$K$4,Tableau4849[[#This Row],[IDENTITE]],"")</f>
        <v/>
      </c>
      <c r="O29" s="26">
        <f>IFERROR(Tableau4849[[#This Row],[SL]]/(Tableau4849[[#This Row],[VOLUME]]/$I$5),0)</f>
        <v>0</v>
      </c>
      <c r="P29" s="26" t="str">
        <f>Tableau4849[[#This Row],[COMMAND]]</f>
        <v>BUY</v>
      </c>
      <c r="Q2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1.06314 M1M1</v>
      </c>
      <c r="R29" s="29">
        <v>-226</v>
      </c>
      <c r="S29" s="26" t="str">
        <f>IF(Tableau4849[[#This Row],[ETAT]]="LOSE",IF(IFERROR(ABS(SUBSTITUTE(Tableau4849[[#This Row],[PRICE]],".",",")-'[1]Deal ticket'!$B$16)*1000,"")&lt;=$S$5,"GO","WAIT"),"")</f>
        <v/>
      </c>
      <c r="T2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29" s="34" t="str">
        <f>IF(Tableau4849[[#This Row],[ETAT]]="LOSE",IF(IFERROR(ABS(SUBSTITUTE(Tableau4849[[#This Row],[PRICE]],".",",")-'[1]Deal ticket'!$B$16)*1000,"")&lt;=$U$5,"GO","WAIT"),"")</f>
        <v/>
      </c>
      <c r="V29" s="26">
        <f>IF(Tableau4849[[#This Row],[INDEX]]&lt;3,"",SUMIFS(Tableau4849[SL],Tableau4849[Colonne5],Tableau4849[[#This Row],[Colonne5]])+$S$4)</f>
        <v>1</v>
      </c>
      <c r="W29" s="34" t="str">
        <f>IF(Tableau4849[[#This Row],[ETAT]]="LOSE",IF(IFERROR(ABS(SUBSTITUTE(Tableau4849[[#This Row],[PRICE]],".",",")-'[1]Deal ticket'!$B$16)*1000,"")&lt;=$W$5,"GO","WAIT"),"")</f>
        <v/>
      </c>
      <c r="X2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2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2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2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29" s="26">
        <f>IF(AND(Tableau4849[[#This Row],[3,8]]=1),Tableau4849[[#This Row],[INDEX]],"")</f>
        <v>23</v>
      </c>
      <c r="AC29" s="26" t="str">
        <f ca="1">IF(IFERROR(_xlfn.XLOOKUP(Tableau4849[[#This Row],[IDENTITE]],[1]!Tableau47[GLOBUY],[1]!Tableau47[GLOBUY]),"")="","",1)</f>
        <v/>
      </c>
      <c r="AD29" s="26" t="str">
        <f>IF(IFERROR(_xlfn.XLOOKUP(Tableau4849[[#This Row],[IDENTITE]],[1]!Tableau47[GLOSELL],[1]!Tableau47[GLOSELL]),"")="","",1)</f>
        <v/>
      </c>
      <c r="AE29" s="26"/>
      <c r="AF29" s="26">
        <f>IF(Tableau4849[[#This Row],[INDEX]]&lt;3,"",IF(Tableau4849[[#This Row],[COMMAND]]="","",IF('[1]Bar history'!$AA$33=1,1,"")))</f>
        <v>1</v>
      </c>
      <c r="AG29" s="26"/>
      <c r="AH29" s="26" t="str">
        <f>IF(IFERROR(_xlfn.XLOOKUP(Tableau4849[[#This Row],[IDENTITE]],[1]!Tableau47[COMMENTAIRE],[1]!Tableau47[CLOTURE]),"")=[1]PARAMETRE!$BK$31,Tableau4849[[#This Row],[INDEX]],"")</f>
        <v/>
      </c>
      <c r="AI29" s="26"/>
      <c r="AJ29" s="35" t="str">
        <f>IF(AND(ISNUMBER(SEARCH("BUY",Tableau4849[[#This Row],[COMMAND]]))),"BUYSTOP",IF(AND(ISNUMBER(SEARCH("SELL",Tableau4849[[#This Row],[COMMAND]]))),"SELLSTOP",""))</f>
        <v>BUYSTOP</v>
      </c>
      <c r="AK29" s="35" t="str">
        <f>IFERROR(SUBSTITUTE(Tableau4849[[#This Row],[PRICE]],",","."),"")</f>
        <v>1.06461</v>
      </c>
      <c r="AL29" s="35" t="str">
        <f>IF(Tableau4849[[#This Row],[INDEX]]&lt;3,"",Tableau4849[[#This Row],[IDENTITE]])</f>
        <v>1 RBRB B 1.06314 M1M1</v>
      </c>
      <c r="AM29" s="35" t="str">
        <f>IF(Tableau4849[[#This Row],[INDEX]]&lt;3,"",Tableau4849[[#This Row],[DEVISE]])</f>
        <v>EURUSD</v>
      </c>
      <c r="AN29" s="35">
        <f>IFERROR(IF(Tableau4849[[#This Row],[INDEX]]&lt;3,"",Tableau4849[[#This Row],[ATTEINT]]),100000)</f>
        <v>100000</v>
      </c>
      <c r="AO29" s="35">
        <f>IF(Tableau4849[[#This Row],[INDEX]]&lt;3,"",Tableau4849[[#This Row],[COMPTE]])</f>
        <v>925832</v>
      </c>
      <c r="AP29" s="35" t="str">
        <f>IF(Tableau4849[[#This Row],[INDEX]]&lt;3,"","NON")</f>
        <v>NON</v>
      </c>
      <c r="AQ29" s="35" t="str">
        <f>IF(Tableau4849[[#This Row],[INDEX]]&lt;3,"",IF(Tableau4849[[#This Row],[0,5]]&lt;0,"NEGATIF",""))</f>
        <v>NEGATIF</v>
      </c>
    </row>
    <row r="30" spans="1:43" x14ac:dyDescent="0.25">
      <c r="A30" s="24">
        <v>24</v>
      </c>
      <c r="B30" s="32">
        <v>44923.413680555554</v>
      </c>
      <c r="C30" s="26">
        <v>925832</v>
      </c>
      <c r="D30" s="24" t="s">
        <v>0</v>
      </c>
      <c r="E30" s="24" t="s">
        <v>47</v>
      </c>
      <c r="F30" s="24">
        <v>1.0648599999999999</v>
      </c>
      <c r="G30" s="26">
        <v>3000</v>
      </c>
      <c r="H30" s="27" t="s">
        <v>160</v>
      </c>
      <c r="I30" s="28" t="str">
        <f>IF(IFERROR(_xlfn.XLOOKUP(Tableau4849[[#This Row],[SL]],'[1]Tickets (2)'!J26:J820,'[1]Tickets (2)'!I29:I823),"")=0,"",IFERROR(_xlfn.XLOOKUP(Tableau4849[[#This Row],[SL]],'[1]Tickets (2)'!J26:J820,'[1]Tickets (2)'!I29:I823),""))</f>
        <v/>
      </c>
      <c r="K3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0" s="33">
        <v>44923.630886574072</v>
      </c>
      <c r="N30" s="3" t="str">
        <f>IF(Tableau4849[[#This Row],[T CLOSE]]&gt;[1]CONFIGURATION!$K$4,Tableau4849[[#This Row],[IDENTITE]],"")</f>
        <v/>
      </c>
      <c r="O30" s="26">
        <f>IFERROR(Tableau4849[[#This Row],[SL]]/(Tableau4849[[#This Row],[VOLUME]]/$I$5),0)</f>
        <v>0</v>
      </c>
      <c r="P30" s="26" t="str">
        <f>Tableau4849[[#This Row],[COMMAND]]</f>
        <v>BUY</v>
      </c>
      <c r="Q3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1.06321 M1M1</v>
      </c>
      <c r="R30" s="29">
        <v>-236</v>
      </c>
      <c r="S30" s="26" t="str">
        <f>IF(Tableau4849[[#This Row],[ETAT]]="LOSE",IF(IFERROR(ABS(SUBSTITUTE(Tableau4849[[#This Row],[PRICE]],".",",")-'[1]Deal ticket'!$B$16)*1000,"")&lt;=$S$5,"GO","WAIT"),"")</f>
        <v/>
      </c>
      <c r="T3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0" s="34" t="str">
        <f>IF(Tableau4849[[#This Row],[ETAT]]="LOSE",IF(IFERROR(ABS(SUBSTITUTE(Tableau4849[[#This Row],[PRICE]],".",",")-'[1]Deal ticket'!$B$16)*1000,"")&lt;=$U$5,"GO","WAIT"),"")</f>
        <v/>
      </c>
      <c r="V30" s="26">
        <f>IF(Tableau4849[[#This Row],[INDEX]]&lt;3,"",SUMIFS(Tableau4849[SL],Tableau4849[Colonne5],Tableau4849[[#This Row],[Colonne5]])+$S$4)</f>
        <v>1</v>
      </c>
      <c r="W30" s="34" t="str">
        <f>IF(Tableau4849[[#This Row],[ETAT]]="LOSE",IF(IFERROR(ABS(SUBSTITUTE(Tableau4849[[#This Row],[PRICE]],".",",")-'[1]Deal ticket'!$B$16)*1000,"")&lt;=$W$5,"GO","WAIT"),"")</f>
        <v/>
      </c>
      <c r="X3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0" s="26">
        <f>IF(AND(Tableau4849[[#This Row],[3,8]]=1),Tableau4849[[#This Row],[INDEX]],"")</f>
        <v>24</v>
      </c>
      <c r="AC30" s="26" t="str">
        <f ca="1">IF(IFERROR(_xlfn.XLOOKUP(Tableau4849[[#This Row],[IDENTITE]],[1]!Tableau47[GLOBUY],[1]!Tableau47[GLOBUY]),"")="","",1)</f>
        <v/>
      </c>
      <c r="AD30" s="26" t="str">
        <f>IF(IFERROR(_xlfn.XLOOKUP(Tableau4849[[#This Row],[IDENTITE]],[1]!Tableau47[GLOSELL],[1]!Tableau47[GLOSELL]),"")="","",1)</f>
        <v/>
      </c>
      <c r="AE30" s="26"/>
      <c r="AF30" s="26">
        <f>IF(Tableau4849[[#This Row],[INDEX]]&lt;3,"",IF(Tableau4849[[#This Row],[COMMAND]]="","",IF('[1]Bar history'!$AA$33=1,1,"")))</f>
        <v>1</v>
      </c>
      <c r="AG30" s="26"/>
      <c r="AH30" s="26" t="str">
        <f>IF(IFERROR(_xlfn.XLOOKUP(Tableau4849[[#This Row],[IDENTITE]],[1]!Tableau47[COMMENTAIRE],[1]!Tableau47[CLOTURE]),"")=[1]PARAMETRE!$BK$31,Tableau4849[[#This Row],[INDEX]],"")</f>
        <v/>
      </c>
      <c r="AI30" s="26"/>
      <c r="AJ30" s="35" t="str">
        <f>IF(AND(ISNUMBER(SEARCH("BUY",Tableau4849[[#This Row],[COMMAND]]))),"BUYSTOP",IF(AND(ISNUMBER(SEARCH("SELL",Tableau4849[[#This Row],[COMMAND]]))),"SELLSTOP",""))</f>
        <v>BUYSTOP</v>
      </c>
      <c r="AK30" s="35" t="str">
        <f>IFERROR(SUBSTITUTE(Tableau4849[[#This Row],[PRICE]],",","."),"")</f>
        <v>1.06486</v>
      </c>
      <c r="AL30" s="35" t="str">
        <f>IF(Tableau4849[[#This Row],[INDEX]]&lt;3,"",Tableau4849[[#This Row],[IDENTITE]])</f>
        <v>1 RBRB B 1.06321 M1M1</v>
      </c>
      <c r="AM30" s="35" t="str">
        <f>IF(Tableau4849[[#This Row],[INDEX]]&lt;3,"",Tableau4849[[#This Row],[DEVISE]])</f>
        <v>EURUSD</v>
      </c>
      <c r="AN30" s="35">
        <f>IFERROR(IF(Tableau4849[[#This Row],[INDEX]]&lt;3,"",Tableau4849[[#This Row],[ATTEINT]]),100000)</f>
        <v>100000</v>
      </c>
      <c r="AO30" s="35">
        <f>IF(Tableau4849[[#This Row],[INDEX]]&lt;3,"",Tableau4849[[#This Row],[COMPTE]])</f>
        <v>925832</v>
      </c>
      <c r="AP30" s="35" t="str">
        <f>IF(Tableau4849[[#This Row],[INDEX]]&lt;3,"","NON")</f>
        <v>NON</v>
      </c>
      <c r="AQ30" s="35" t="str">
        <f>IF(Tableau4849[[#This Row],[INDEX]]&lt;3,"",IF(Tableau4849[[#This Row],[0,5]]&lt;0,"NEGATIF",""))</f>
        <v>NEGATIF</v>
      </c>
    </row>
    <row r="31" spans="1:43" x14ac:dyDescent="0.25">
      <c r="A31" s="24">
        <v>25</v>
      </c>
      <c r="B31" s="32">
        <v>44923.413043981483</v>
      </c>
      <c r="C31" s="26">
        <v>925832</v>
      </c>
      <c r="D31" s="24" t="s">
        <v>0</v>
      </c>
      <c r="E31" s="24" t="s">
        <v>47</v>
      </c>
      <c r="F31" s="24">
        <v>1.0646899999999999</v>
      </c>
      <c r="G31" s="26">
        <v>3000</v>
      </c>
      <c r="H31" s="27" t="s">
        <v>162</v>
      </c>
      <c r="I31" s="28" t="str">
        <f>IF(IFERROR(_xlfn.XLOOKUP(Tableau4849[[#This Row],[SL]],'[1]Tickets (2)'!J27:J821,'[1]Tickets (2)'!I30:I824),"")=0,"",IFERROR(_xlfn.XLOOKUP(Tableau4849[[#This Row],[SL]],'[1]Tickets (2)'!J27:J821,'[1]Tickets (2)'!I30:I824),""))</f>
        <v/>
      </c>
      <c r="K3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1" s="33">
        <v>44923.630886574072</v>
      </c>
      <c r="N31" s="3" t="str">
        <f>IF(Tableau4849[[#This Row],[T CLOSE]]&gt;[1]CONFIGURATION!$K$4,Tableau4849[[#This Row],[IDENTITE]],"")</f>
        <v/>
      </c>
      <c r="O31" s="26">
        <f>IFERROR(Tableau4849[[#This Row],[SL]]/(Tableau4849[[#This Row],[VOLUME]]/$I$5),0)</f>
        <v>0</v>
      </c>
      <c r="P31" s="26" t="str">
        <f>Tableau4849[[#This Row],[COMMAND]]</f>
        <v>BUY</v>
      </c>
      <c r="Q3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1.06304 M1M1</v>
      </c>
      <c r="R31" s="29">
        <v>-246</v>
      </c>
      <c r="S31" s="26" t="str">
        <f>IF(Tableau4849[[#This Row],[ETAT]]="LOSE",IF(IFERROR(ABS(SUBSTITUTE(Tableau4849[[#This Row],[PRICE]],".",",")-'[1]Deal ticket'!$B$16)*1000,"")&lt;=$S$5,"GO","WAIT"),"")</f>
        <v/>
      </c>
      <c r="T3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1" s="34" t="str">
        <f>IF(Tableau4849[[#This Row],[ETAT]]="LOSE",IF(IFERROR(ABS(SUBSTITUTE(Tableau4849[[#This Row],[PRICE]],".",",")-'[1]Deal ticket'!$B$16)*1000,"")&lt;=$U$5,"GO","WAIT"),"")</f>
        <v/>
      </c>
      <c r="V31" s="26">
        <f>IF(Tableau4849[[#This Row],[INDEX]]&lt;3,"",SUMIFS(Tableau4849[SL],Tableau4849[Colonne5],Tableau4849[[#This Row],[Colonne5]])+$S$4)</f>
        <v>1</v>
      </c>
      <c r="W31" s="34" t="str">
        <f>IF(Tableau4849[[#This Row],[ETAT]]="LOSE",IF(IFERROR(ABS(SUBSTITUTE(Tableau4849[[#This Row],[PRICE]],".",",")-'[1]Deal ticket'!$B$16)*1000,"")&lt;=$W$5,"GO","WAIT"),"")</f>
        <v/>
      </c>
      <c r="X3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1" s="26">
        <f>IF(AND(Tableau4849[[#This Row],[3,8]]=1),Tableau4849[[#This Row],[INDEX]],"")</f>
        <v>25</v>
      </c>
      <c r="AC31" s="26" t="str">
        <f ca="1">IF(IFERROR(_xlfn.XLOOKUP(Tableau4849[[#This Row],[IDENTITE]],[1]!Tableau47[GLOBUY],[1]!Tableau47[GLOBUY]),"")="","",1)</f>
        <v/>
      </c>
      <c r="AD31" s="26" t="str">
        <f>IF(IFERROR(_xlfn.XLOOKUP(Tableau4849[[#This Row],[IDENTITE]],[1]!Tableau47[GLOSELL],[1]!Tableau47[GLOSELL]),"")="","",1)</f>
        <v/>
      </c>
      <c r="AE31" s="26"/>
      <c r="AF31" s="26">
        <f>IF(Tableau4849[[#This Row],[INDEX]]&lt;3,"",IF(Tableau4849[[#This Row],[COMMAND]]="","",IF('[1]Bar history'!$AA$33=1,1,"")))</f>
        <v>1</v>
      </c>
      <c r="AG31" s="26"/>
      <c r="AH31" s="26" t="str">
        <f>IF(IFERROR(_xlfn.XLOOKUP(Tableau4849[[#This Row],[IDENTITE]],[1]!Tableau47[COMMENTAIRE],[1]!Tableau47[CLOTURE]),"")=[1]PARAMETRE!$BK$31,Tableau4849[[#This Row],[INDEX]],"")</f>
        <v/>
      </c>
      <c r="AI31" s="26"/>
      <c r="AJ31" s="35" t="str">
        <f>IF(AND(ISNUMBER(SEARCH("BUY",Tableau4849[[#This Row],[COMMAND]]))),"BUYSTOP",IF(AND(ISNUMBER(SEARCH("SELL",Tableau4849[[#This Row],[COMMAND]]))),"SELLSTOP",""))</f>
        <v>BUYSTOP</v>
      </c>
      <c r="AK31" s="35" t="str">
        <f>IFERROR(SUBSTITUTE(Tableau4849[[#This Row],[PRICE]],",","."),"")</f>
        <v>1.06469</v>
      </c>
      <c r="AL31" s="35" t="str">
        <f>IF(Tableau4849[[#This Row],[INDEX]]&lt;3,"",Tableau4849[[#This Row],[IDENTITE]])</f>
        <v>1 RBRB B 1.06304 M1M1</v>
      </c>
      <c r="AM31" s="35" t="str">
        <f>IF(Tableau4849[[#This Row],[INDEX]]&lt;3,"",Tableau4849[[#This Row],[DEVISE]])</f>
        <v>EURUSD</v>
      </c>
      <c r="AN31" s="35">
        <f>IFERROR(IF(Tableau4849[[#This Row],[INDEX]]&lt;3,"",Tableau4849[[#This Row],[ATTEINT]]),100000)</f>
        <v>100000</v>
      </c>
      <c r="AO31" s="35">
        <f>IF(Tableau4849[[#This Row],[INDEX]]&lt;3,"",Tableau4849[[#This Row],[COMPTE]])</f>
        <v>925832</v>
      </c>
      <c r="AP31" s="35" t="str">
        <f>IF(Tableau4849[[#This Row],[INDEX]]&lt;3,"","NON")</f>
        <v>NON</v>
      </c>
      <c r="AQ31" s="35" t="str">
        <f>IF(Tableau4849[[#This Row],[INDEX]]&lt;3,"",IF(Tableau4849[[#This Row],[0,5]]&lt;0,"NEGATIF",""))</f>
        <v>NEGATIF</v>
      </c>
    </row>
    <row r="32" spans="1:43" x14ac:dyDescent="0.25">
      <c r="A32" s="24">
        <v>26</v>
      </c>
      <c r="B32" s="32">
        <v>44923.412268518521</v>
      </c>
      <c r="C32" s="26">
        <v>925832</v>
      </c>
      <c r="D32" s="24" t="s">
        <v>0</v>
      </c>
      <c r="E32" s="24" t="s">
        <v>47</v>
      </c>
      <c r="F32" s="24">
        <v>1.0648299999999999</v>
      </c>
      <c r="G32" s="26">
        <v>3000</v>
      </c>
      <c r="H32" s="27" t="s">
        <v>4</v>
      </c>
      <c r="I32" s="28" t="str">
        <f>IF(IFERROR(_xlfn.XLOOKUP(Tableau4849[[#This Row],[SL]],'[1]Tickets (2)'!J28:J822,'[1]Tickets (2)'!I31:I825),"")=0,"",IFERROR(_xlfn.XLOOKUP(Tableau4849[[#This Row],[SL]],'[1]Tickets (2)'!J28:J822,'[1]Tickets (2)'!I31:I825),""))</f>
        <v/>
      </c>
      <c r="K3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2" s="33">
        <v>44923.630886574072</v>
      </c>
      <c r="N32" s="3" t="str">
        <f>IF(Tableau4849[[#This Row],[T CLOSE]]&gt;[1]CONFIGURATION!$K$4,Tableau4849[[#This Row],[IDENTITE]],"")</f>
        <v/>
      </c>
      <c r="O32" s="26">
        <f>IFERROR(Tableau4849[[#This Row],[SL]]/(Tableau4849[[#This Row],[VOLUME]]/$I$5),0)</f>
        <v>0</v>
      </c>
      <c r="P32" s="26" t="str">
        <f>Tableau4849[[#This Row],[COMMAND]]</f>
        <v>BUY</v>
      </c>
      <c r="Q3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1.0633 M1M1</v>
      </c>
      <c r="R32" s="29">
        <v>-256</v>
      </c>
      <c r="S32" s="26" t="str">
        <f>IF(Tableau4849[[#This Row],[ETAT]]="LOSE",IF(IFERROR(ABS(SUBSTITUTE(Tableau4849[[#This Row],[PRICE]],".",",")-'[1]Deal ticket'!$B$16)*1000,"")&lt;=$S$5,"GO","WAIT"),"")</f>
        <v/>
      </c>
      <c r="T3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2" s="34" t="str">
        <f>IF(Tableau4849[[#This Row],[ETAT]]="LOSE",IF(IFERROR(ABS(SUBSTITUTE(Tableau4849[[#This Row],[PRICE]],".",",")-'[1]Deal ticket'!$B$16)*1000,"")&lt;=$U$5,"GO","WAIT"),"")</f>
        <v/>
      </c>
      <c r="V32" s="26">
        <f>IF(Tableau4849[[#This Row],[INDEX]]&lt;3,"",SUMIFS(Tableau4849[SL],Tableau4849[Colonne5],Tableau4849[[#This Row],[Colonne5]])+$S$4)</f>
        <v>1</v>
      </c>
      <c r="W32" s="34" t="str">
        <f>IF(Tableau4849[[#This Row],[ETAT]]="LOSE",IF(IFERROR(ABS(SUBSTITUTE(Tableau4849[[#This Row],[PRICE]],".",",")-'[1]Deal ticket'!$B$16)*1000,"")&lt;=$W$5,"GO","WAIT"),"")</f>
        <v/>
      </c>
      <c r="X3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2" s="26">
        <f>IF(AND(Tableau4849[[#This Row],[3,8]]=1),Tableau4849[[#This Row],[INDEX]],"")</f>
        <v>26</v>
      </c>
      <c r="AC32" s="26" t="str">
        <f ca="1">IF(IFERROR(_xlfn.XLOOKUP(Tableau4849[[#This Row],[IDENTITE]],[1]!Tableau47[GLOBUY],[1]!Tableau47[GLOBUY]),"")="","",1)</f>
        <v/>
      </c>
      <c r="AD32" s="26" t="str">
        <f>IF(IFERROR(_xlfn.XLOOKUP(Tableau4849[[#This Row],[IDENTITE]],[1]!Tableau47[GLOSELL],[1]!Tableau47[GLOSELL]),"")="","",1)</f>
        <v/>
      </c>
      <c r="AE32" s="26"/>
      <c r="AF32" s="26">
        <f>IF(Tableau4849[[#This Row],[INDEX]]&lt;3,"",IF(Tableau4849[[#This Row],[COMMAND]]="","",IF('[1]Bar history'!$AA$33=1,1,"")))</f>
        <v>1</v>
      </c>
      <c r="AG32" s="26"/>
      <c r="AH32" s="26" t="str">
        <f>IF(IFERROR(_xlfn.XLOOKUP(Tableau4849[[#This Row],[IDENTITE]],[1]!Tableau47[COMMENTAIRE],[1]!Tableau47[CLOTURE]),"")=[1]PARAMETRE!$BK$31,Tableau4849[[#This Row],[INDEX]],"")</f>
        <v/>
      </c>
      <c r="AI32" s="26"/>
      <c r="AJ32" s="35" t="str">
        <f>IF(AND(ISNUMBER(SEARCH("BUY",Tableau4849[[#This Row],[COMMAND]]))),"BUYSTOP",IF(AND(ISNUMBER(SEARCH("SELL",Tableau4849[[#This Row],[COMMAND]]))),"SELLSTOP",""))</f>
        <v>BUYSTOP</v>
      </c>
      <c r="AK32" s="35" t="str">
        <f>IFERROR(SUBSTITUTE(Tableau4849[[#This Row],[PRICE]],",","."),"")</f>
        <v>1.06483</v>
      </c>
      <c r="AL32" s="35" t="str">
        <f>IF(Tableau4849[[#This Row],[INDEX]]&lt;3,"",Tableau4849[[#This Row],[IDENTITE]])</f>
        <v>1 RBRB B 1.0633 M1M1</v>
      </c>
      <c r="AM32" s="35" t="str">
        <f>IF(Tableau4849[[#This Row],[INDEX]]&lt;3,"",Tableau4849[[#This Row],[DEVISE]])</f>
        <v>EURUSD</v>
      </c>
      <c r="AN32" s="35">
        <f>IFERROR(IF(Tableau4849[[#This Row],[INDEX]]&lt;3,"",Tableau4849[[#This Row],[ATTEINT]]),100000)</f>
        <v>100000</v>
      </c>
      <c r="AO32" s="35">
        <f>IF(Tableau4849[[#This Row],[INDEX]]&lt;3,"",Tableau4849[[#This Row],[COMPTE]])</f>
        <v>925832</v>
      </c>
      <c r="AP32" s="35" t="str">
        <f>IF(Tableau4849[[#This Row],[INDEX]]&lt;3,"","NON")</f>
        <v>NON</v>
      </c>
      <c r="AQ32" s="35" t="str">
        <f>IF(Tableau4849[[#This Row],[INDEX]]&lt;3,"",IF(Tableau4849[[#This Row],[0,5]]&lt;0,"NEGATIF",""))</f>
        <v>NEGATIF</v>
      </c>
    </row>
    <row r="33" spans="1:43" x14ac:dyDescent="0.25">
      <c r="A33" s="24">
        <v>27</v>
      </c>
      <c r="B33" s="32">
        <v>44923.411712962959</v>
      </c>
      <c r="C33" s="26">
        <v>925832</v>
      </c>
      <c r="D33" s="24" t="s">
        <v>0</v>
      </c>
      <c r="E33" s="24" t="s">
        <v>47</v>
      </c>
      <c r="F33" s="24">
        <v>1.0646899999999999</v>
      </c>
      <c r="G33" s="26">
        <v>3000</v>
      </c>
      <c r="H33" s="27" t="s">
        <v>163</v>
      </c>
      <c r="I33" s="28" t="str">
        <f>IF(IFERROR(_xlfn.XLOOKUP(Tableau4849[[#This Row],[SL]],'[1]Tickets (2)'!J29:J823,'[1]Tickets (2)'!I32:I826),"")=0,"",IFERROR(_xlfn.XLOOKUP(Tableau4849[[#This Row],[SL]],'[1]Tickets (2)'!J29:J823,'[1]Tickets (2)'!I32:I826),""))</f>
        <v/>
      </c>
      <c r="K3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3" s="33">
        <v>44923.630886574072</v>
      </c>
      <c r="N33" s="3" t="str">
        <f>IF(Tableau4849[[#This Row],[T CLOSE]]&gt;[1]CONFIGURATION!$K$4,Tableau4849[[#This Row],[IDENTITE]],"")</f>
        <v/>
      </c>
      <c r="O33" s="26">
        <f>IFERROR(Tableau4849[[#This Row],[SL]]/(Tableau4849[[#This Row],[VOLUME]]/$I$5),0)</f>
        <v>0</v>
      </c>
      <c r="P33" s="26" t="str">
        <f>Tableau4849[[#This Row],[COMMAND]]</f>
        <v>BUY</v>
      </c>
      <c r="Q3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1.0632 M1M1</v>
      </c>
      <c r="R33" s="29">
        <v>-266</v>
      </c>
      <c r="S33" s="26" t="str">
        <f>IF(Tableau4849[[#This Row],[ETAT]]="LOSE",IF(IFERROR(ABS(SUBSTITUTE(Tableau4849[[#This Row],[PRICE]],".",",")-'[1]Deal ticket'!$B$16)*1000,"")&lt;=$S$5,"GO","WAIT"),"")</f>
        <v/>
      </c>
      <c r="T3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3" s="34" t="str">
        <f>IF(Tableau4849[[#This Row],[ETAT]]="LOSE",IF(IFERROR(ABS(SUBSTITUTE(Tableau4849[[#This Row],[PRICE]],".",",")-'[1]Deal ticket'!$B$16)*1000,"")&lt;=$U$5,"GO","WAIT"),"")</f>
        <v/>
      </c>
      <c r="V33" s="26">
        <f>IF(Tableau4849[[#This Row],[INDEX]]&lt;3,"",SUMIFS(Tableau4849[SL],Tableau4849[Colonne5],Tableau4849[[#This Row],[Colonne5]])+$S$4)</f>
        <v>1</v>
      </c>
      <c r="W33" s="34" t="str">
        <f>IF(Tableau4849[[#This Row],[ETAT]]="LOSE",IF(IFERROR(ABS(SUBSTITUTE(Tableau4849[[#This Row],[PRICE]],".",",")-'[1]Deal ticket'!$B$16)*1000,"")&lt;=$W$5,"GO","WAIT"),"")</f>
        <v/>
      </c>
      <c r="X3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3" s="26">
        <f>IF(AND(Tableau4849[[#This Row],[3,8]]=1),Tableau4849[[#This Row],[INDEX]],"")</f>
        <v>27</v>
      </c>
      <c r="AC33" s="26" t="str">
        <f ca="1">IF(IFERROR(_xlfn.XLOOKUP(Tableau4849[[#This Row],[IDENTITE]],[1]!Tableau47[GLOBUY],[1]!Tableau47[GLOBUY]),"")="","",1)</f>
        <v/>
      </c>
      <c r="AD33" s="26" t="str">
        <f>IF(IFERROR(_xlfn.XLOOKUP(Tableau4849[[#This Row],[IDENTITE]],[1]!Tableau47[GLOSELL],[1]!Tableau47[GLOSELL]),"")="","",1)</f>
        <v/>
      </c>
      <c r="AE33" s="26"/>
      <c r="AF33" s="26">
        <f>IF(Tableau4849[[#This Row],[INDEX]]&lt;3,"",IF(Tableau4849[[#This Row],[COMMAND]]="","",IF('[1]Bar history'!$AA$33=1,1,"")))</f>
        <v>1</v>
      </c>
      <c r="AG33" s="26"/>
      <c r="AH33" s="26" t="str">
        <f>IF(IFERROR(_xlfn.XLOOKUP(Tableau4849[[#This Row],[IDENTITE]],[1]!Tableau47[COMMENTAIRE],[1]!Tableau47[CLOTURE]),"")=[1]PARAMETRE!$BK$31,Tableau4849[[#This Row],[INDEX]],"")</f>
        <v/>
      </c>
      <c r="AI33" s="26"/>
      <c r="AJ33" s="35" t="str">
        <f>IF(AND(ISNUMBER(SEARCH("BUY",Tableau4849[[#This Row],[COMMAND]]))),"BUYSTOP",IF(AND(ISNUMBER(SEARCH("SELL",Tableau4849[[#This Row],[COMMAND]]))),"SELLSTOP",""))</f>
        <v>BUYSTOP</v>
      </c>
      <c r="AK33" s="35" t="str">
        <f>IFERROR(SUBSTITUTE(Tableau4849[[#This Row],[PRICE]],",","."),"")</f>
        <v>1.06469</v>
      </c>
      <c r="AL33" s="35" t="str">
        <f>IF(Tableau4849[[#This Row],[INDEX]]&lt;3,"",Tableau4849[[#This Row],[IDENTITE]])</f>
        <v>1 RBRB B 1.0632 M1M1</v>
      </c>
      <c r="AM33" s="35" t="str">
        <f>IF(Tableau4849[[#This Row],[INDEX]]&lt;3,"",Tableau4849[[#This Row],[DEVISE]])</f>
        <v>EURUSD</v>
      </c>
      <c r="AN33" s="35">
        <f>IFERROR(IF(Tableau4849[[#This Row],[INDEX]]&lt;3,"",Tableau4849[[#This Row],[ATTEINT]]),100000)</f>
        <v>100000</v>
      </c>
      <c r="AO33" s="35">
        <f>IF(Tableau4849[[#This Row],[INDEX]]&lt;3,"",Tableau4849[[#This Row],[COMPTE]])</f>
        <v>925832</v>
      </c>
      <c r="AP33" s="35" t="str">
        <f>IF(Tableau4849[[#This Row],[INDEX]]&lt;3,"","NON")</f>
        <v>NON</v>
      </c>
      <c r="AQ33" s="35" t="str">
        <f>IF(Tableau4849[[#This Row],[INDEX]]&lt;3,"",IF(Tableau4849[[#This Row],[0,5]]&lt;0,"NEGATIF",""))</f>
        <v>NEGATIF</v>
      </c>
    </row>
    <row r="34" spans="1:43" x14ac:dyDescent="0.25">
      <c r="A34" s="24">
        <v>28</v>
      </c>
      <c r="B34" s="32">
        <v>44923.410185185188</v>
      </c>
      <c r="C34" s="26">
        <v>925832</v>
      </c>
      <c r="D34" s="24" t="s">
        <v>0</v>
      </c>
      <c r="E34" s="24" t="s">
        <v>47</v>
      </c>
      <c r="F34" s="24">
        <v>1.0645800000000001</v>
      </c>
      <c r="G34" s="26">
        <v>3000</v>
      </c>
      <c r="H34" s="27" t="s">
        <v>165</v>
      </c>
      <c r="I34" s="28" t="str">
        <f>IF(IFERROR(_xlfn.XLOOKUP(Tableau4849[[#This Row],[SL]],'[1]Tickets (2)'!J30:J824,'[1]Tickets (2)'!I33:I827),"")=0,"",IFERROR(_xlfn.XLOOKUP(Tableau4849[[#This Row],[SL]],'[1]Tickets (2)'!J30:J824,'[1]Tickets (2)'!I33:I827),""))</f>
        <v/>
      </c>
      <c r="K3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4" s="33">
        <v>44923.630886574072</v>
      </c>
      <c r="N34" s="3" t="str">
        <f>IF(Tableau4849[[#This Row],[T CLOSE]]&gt;[1]CONFIGURATION!$K$4,Tableau4849[[#This Row],[IDENTITE]],"")</f>
        <v/>
      </c>
      <c r="O34" s="26">
        <f>IFERROR(Tableau4849[[#This Row],[SL]]/(Tableau4849[[#This Row],[VOLUME]]/$I$5),0)</f>
        <v>0</v>
      </c>
      <c r="P34" s="26" t="str">
        <f>Tableau4849[[#This Row],[COMMAND]]</f>
        <v>BUY</v>
      </c>
      <c r="Q3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1.06306 M1M1</v>
      </c>
      <c r="R34" s="29">
        <v>-276</v>
      </c>
      <c r="S34" s="26" t="str">
        <f>IF(Tableau4849[[#This Row],[ETAT]]="LOSE",IF(IFERROR(ABS(SUBSTITUTE(Tableau4849[[#This Row],[PRICE]],".",",")-'[1]Deal ticket'!$B$16)*1000,"")&lt;=$S$5,"GO","WAIT"),"")</f>
        <v/>
      </c>
      <c r="T3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4" s="34" t="str">
        <f>IF(Tableau4849[[#This Row],[ETAT]]="LOSE",IF(IFERROR(ABS(SUBSTITUTE(Tableau4849[[#This Row],[PRICE]],".",",")-'[1]Deal ticket'!$B$16)*1000,"")&lt;=$U$5,"GO","WAIT"),"")</f>
        <v/>
      </c>
      <c r="V34" s="26">
        <f>IF(Tableau4849[[#This Row],[INDEX]]&lt;3,"",SUMIFS(Tableau4849[SL],Tableau4849[Colonne5],Tableau4849[[#This Row],[Colonne5]])+$S$4)</f>
        <v>1</v>
      </c>
      <c r="W34" s="34" t="str">
        <f>IF(Tableau4849[[#This Row],[ETAT]]="LOSE",IF(IFERROR(ABS(SUBSTITUTE(Tableau4849[[#This Row],[PRICE]],".",",")-'[1]Deal ticket'!$B$16)*1000,"")&lt;=$W$5,"GO","WAIT"),"")</f>
        <v/>
      </c>
      <c r="X3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4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4" s="26">
        <f>IF(AND(Tableau4849[[#This Row],[3,8]]=1),Tableau4849[[#This Row],[INDEX]],"")</f>
        <v>28</v>
      </c>
      <c r="AC34" s="26" t="str">
        <f ca="1">IF(IFERROR(_xlfn.XLOOKUP(Tableau4849[[#This Row],[IDENTITE]],[1]!Tableau47[GLOBUY],[1]!Tableau47[GLOBUY]),"")="","",1)</f>
        <v/>
      </c>
      <c r="AD34" s="26" t="str">
        <f>IF(IFERROR(_xlfn.XLOOKUP(Tableau4849[[#This Row],[IDENTITE]],[1]!Tableau47[GLOSELL],[1]!Tableau47[GLOSELL]),"")="","",1)</f>
        <v/>
      </c>
      <c r="AE34" s="26"/>
      <c r="AF34" s="26">
        <f>IF(Tableau4849[[#This Row],[INDEX]]&lt;3,"",IF(Tableau4849[[#This Row],[COMMAND]]="","",IF('[1]Bar history'!$AA$33=1,1,"")))</f>
        <v>1</v>
      </c>
      <c r="AG34" s="26"/>
      <c r="AH34" s="26" t="str">
        <f>IF(IFERROR(_xlfn.XLOOKUP(Tableau4849[[#This Row],[IDENTITE]],[1]!Tableau47[COMMENTAIRE],[1]!Tableau47[CLOTURE]),"")=[1]PARAMETRE!$BK$31,Tableau4849[[#This Row],[INDEX]],"")</f>
        <v/>
      </c>
      <c r="AI34" s="26"/>
      <c r="AJ34" s="35" t="str">
        <f>IF(AND(ISNUMBER(SEARCH("BUY",Tableau4849[[#This Row],[COMMAND]]))),"BUYSTOP",IF(AND(ISNUMBER(SEARCH("SELL",Tableau4849[[#This Row],[COMMAND]]))),"SELLSTOP",""))</f>
        <v>BUYSTOP</v>
      </c>
      <c r="AK34" s="35" t="str">
        <f>IFERROR(SUBSTITUTE(Tableau4849[[#This Row],[PRICE]],",","."),"")</f>
        <v>1.06458</v>
      </c>
      <c r="AL34" s="35" t="str">
        <f>IF(Tableau4849[[#This Row],[INDEX]]&lt;3,"",Tableau4849[[#This Row],[IDENTITE]])</f>
        <v>1 RBRB B 1.06306 M1M1</v>
      </c>
      <c r="AM34" s="35" t="str">
        <f>IF(Tableau4849[[#This Row],[INDEX]]&lt;3,"",Tableau4849[[#This Row],[DEVISE]])</f>
        <v>EURUSD</v>
      </c>
      <c r="AN34" s="35">
        <f>IFERROR(IF(Tableau4849[[#This Row],[INDEX]]&lt;3,"",Tableau4849[[#This Row],[ATTEINT]]),100000)</f>
        <v>100000</v>
      </c>
      <c r="AO34" s="35">
        <f>IF(Tableau4849[[#This Row],[INDEX]]&lt;3,"",Tableau4849[[#This Row],[COMPTE]])</f>
        <v>925832</v>
      </c>
      <c r="AP34" s="35" t="str">
        <f>IF(Tableau4849[[#This Row],[INDEX]]&lt;3,"","NON")</f>
        <v>NON</v>
      </c>
      <c r="AQ34" s="35" t="str">
        <f>IF(Tableau4849[[#This Row],[INDEX]]&lt;3,"",IF(Tableau4849[[#This Row],[0,5]]&lt;0,"NEGATIF",""))</f>
        <v>NEGATIF</v>
      </c>
    </row>
    <row r="35" spans="1:43" x14ac:dyDescent="0.25">
      <c r="A35" s="24">
        <v>29</v>
      </c>
      <c r="B35" s="32">
        <v>44923.408437500002</v>
      </c>
      <c r="C35" s="26">
        <v>925832</v>
      </c>
      <c r="D35" s="24" t="s">
        <v>0</v>
      </c>
      <c r="E35" s="24" t="s">
        <v>46</v>
      </c>
      <c r="F35" s="24">
        <v>1.0642199999999999</v>
      </c>
      <c r="G35" s="26">
        <v>3000</v>
      </c>
      <c r="H35" s="27" t="s">
        <v>166</v>
      </c>
      <c r="I35" s="28" t="str">
        <f>IF(IFERROR(_xlfn.XLOOKUP(Tableau4849[[#This Row],[SL]],'[1]Tickets (2)'!J31:J825,'[1]Tickets (2)'!I34:I828),"")=0,"",IFERROR(_xlfn.XLOOKUP(Tableau4849[[#This Row],[SL]],'[1]Tickets (2)'!J31:J825,'[1]Tickets (2)'!I34:I828),""))</f>
        <v/>
      </c>
      <c r="K3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5" s="33">
        <v>44923.630886574072</v>
      </c>
      <c r="N35" s="3" t="str">
        <f>IF(Tableau4849[[#This Row],[T CLOSE]]&gt;[1]CONFIGURATION!$K$4,Tableau4849[[#This Row],[IDENTITE]],"")</f>
        <v/>
      </c>
      <c r="O35" s="26">
        <f>IFERROR(Tableau4849[[#This Row],[SL]]/(Tableau4849[[#This Row],[VOLUME]]/$I$5),0)</f>
        <v>0</v>
      </c>
      <c r="P35" s="26" t="str">
        <f>Tableau4849[[#This Row],[COMMAND]]</f>
        <v>SELL</v>
      </c>
      <c r="Q3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1.06426 M1M1</v>
      </c>
      <c r="R35" s="29">
        <v>-286</v>
      </c>
      <c r="S35" s="26" t="str">
        <f>IF(Tableau4849[[#This Row],[ETAT]]="LOSE",IF(IFERROR(ABS(SUBSTITUTE(Tableau4849[[#This Row],[PRICE]],".",",")-'[1]Deal ticket'!$B$16)*1000,"")&lt;=$S$5,"GO","WAIT"),"")</f>
        <v/>
      </c>
      <c r="T3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5" s="34" t="str">
        <f>IF(Tableau4849[[#This Row],[ETAT]]="LOSE",IF(IFERROR(ABS(SUBSTITUTE(Tableau4849[[#This Row],[PRICE]],".",",")-'[1]Deal ticket'!$B$16)*1000,"")&lt;=$U$5,"GO","WAIT"),"")</f>
        <v/>
      </c>
      <c r="V35" s="26">
        <f>IF(Tableau4849[[#This Row],[INDEX]]&lt;3,"",SUMIFS(Tableau4849[SL],Tableau4849[Colonne5],Tableau4849[[#This Row],[Colonne5]])+$S$4)</f>
        <v>1</v>
      </c>
      <c r="W35" s="34" t="str">
        <f>IF(Tableau4849[[#This Row],[ETAT]]="LOSE",IF(IFERROR(ABS(SUBSTITUTE(Tableau4849[[#This Row],[PRICE]],".",",")-'[1]Deal ticket'!$B$16)*1000,"")&lt;=$W$5,"GO","WAIT"),"")</f>
        <v/>
      </c>
      <c r="X3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5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5" s="26">
        <f>IF(AND(Tableau4849[[#This Row],[3,8]]=1),Tableau4849[[#This Row],[INDEX]],"")</f>
        <v>29</v>
      </c>
      <c r="AC35" s="26" t="str">
        <f ca="1">IF(IFERROR(_xlfn.XLOOKUP(Tableau4849[[#This Row],[IDENTITE]],[1]!Tableau47[GLOBUY],[1]!Tableau47[GLOBUY]),"")="","",1)</f>
        <v/>
      </c>
      <c r="AD35" s="26" t="str">
        <f>IF(IFERROR(_xlfn.XLOOKUP(Tableau4849[[#This Row],[IDENTITE]],[1]!Tableau47[GLOSELL],[1]!Tableau47[GLOSELL]),"")="","",1)</f>
        <v/>
      </c>
      <c r="AE35" s="26"/>
      <c r="AF35" s="26">
        <f>IF(Tableau4849[[#This Row],[INDEX]]&lt;3,"",IF(Tableau4849[[#This Row],[COMMAND]]="","",IF('[1]Bar history'!$AA$33=1,1,"")))</f>
        <v>1</v>
      </c>
      <c r="AG35" s="26"/>
      <c r="AH35" s="26" t="str">
        <f>IF(IFERROR(_xlfn.XLOOKUP(Tableau4849[[#This Row],[IDENTITE]],[1]!Tableau47[COMMENTAIRE],[1]!Tableau47[CLOTURE]),"")=[1]PARAMETRE!$BK$31,Tableau4849[[#This Row],[INDEX]],"")</f>
        <v/>
      </c>
      <c r="AI35" s="26"/>
      <c r="AJ35" s="35" t="str">
        <f>IF(AND(ISNUMBER(SEARCH("BUY",Tableau4849[[#This Row],[COMMAND]]))),"BUYSTOP",IF(AND(ISNUMBER(SEARCH("SELL",Tableau4849[[#This Row],[COMMAND]]))),"SELLSTOP",""))</f>
        <v>SELLSTOP</v>
      </c>
      <c r="AK35" s="35" t="str">
        <f>IFERROR(SUBSTITUTE(Tableau4849[[#This Row],[PRICE]],",","."),"")</f>
        <v>1.06422</v>
      </c>
      <c r="AL35" s="35" t="str">
        <f>IF(Tableau4849[[#This Row],[INDEX]]&lt;3,"",Tableau4849[[#This Row],[IDENTITE]])</f>
        <v>1 RSRS S 1.06426 M1M1</v>
      </c>
      <c r="AM35" s="35" t="str">
        <f>IF(Tableau4849[[#This Row],[INDEX]]&lt;3,"",Tableau4849[[#This Row],[DEVISE]])</f>
        <v>EURUSD</v>
      </c>
      <c r="AN35" s="35">
        <f>IFERROR(IF(Tableau4849[[#This Row],[INDEX]]&lt;3,"",Tableau4849[[#This Row],[ATTEINT]]),100000)</f>
        <v>100000</v>
      </c>
      <c r="AO35" s="35">
        <f>IF(Tableau4849[[#This Row],[INDEX]]&lt;3,"",Tableau4849[[#This Row],[COMPTE]])</f>
        <v>925832</v>
      </c>
      <c r="AP35" s="35" t="str">
        <f>IF(Tableau4849[[#This Row],[INDEX]]&lt;3,"","NON")</f>
        <v>NON</v>
      </c>
      <c r="AQ35" s="35" t="str">
        <f>IF(Tableau4849[[#This Row],[INDEX]]&lt;3,"",IF(Tableau4849[[#This Row],[0,5]]&lt;0,"NEGATIF",""))</f>
        <v>NEGATIF</v>
      </c>
    </row>
    <row r="36" spans="1:43" x14ac:dyDescent="0.25">
      <c r="A36" s="24">
        <v>30</v>
      </c>
      <c r="B36" s="32">
        <v>44923.408020833333</v>
      </c>
      <c r="C36" s="26">
        <v>925832</v>
      </c>
      <c r="D36" s="24" t="s">
        <v>0</v>
      </c>
      <c r="E36" s="24" t="s">
        <v>47</v>
      </c>
      <c r="F36" s="24">
        <v>1.06464</v>
      </c>
      <c r="G36" s="26">
        <v>3000</v>
      </c>
      <c r="H36" s="27" t="s">
        <v>167</v>
      </c>
      <c r="I36" s="28" t="str">
        <f>IF(IFERROR(_xlfn.XLOOKUP(Tableau4849[[#This Row],[SL]],'[1]Tickets (2)'!J32:J826,'[1]Tickets (2)'!I35:I829),"")=0,"",IFERROR(_xlfn.XLOOKUP(Tableau4849[[#This Row],[SL]],'[1]Tickets (2)'!J32:J826,'[1]Tickets (2)'!I35:I829),""))</f>
        <v/>
      </c>
      <c r="K3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6" s="33">
        <v>44923.630886574072</v>
      </c>
      <c r="N36" s="3" t="str">
        <f>IF(Tableau4849[[#This Row],[T CLOSE]]&gt;[1]CONFIGURATION!$K$4,Tableau4849[[#This Row],[IDENTITE]],"")</f>
        <v/>
      </c>
      <c r="O36" s="26">
        <f>IFERROR(Tableau4849[[#This Row],[SL]]/(Tableau4849[[#This Row],[VOLUME]]/$I$5),0)</f>
        <v>0</v>
      </c>
      <c r="P36" s="26" t="str">
        <f>Tableau4849[[#This Row],[COMMAND]]</f>
        <v>BUY</v>
      </c>
      <c r="Q3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 M1M1</v>
      </c>
      <c r="R36" s="29">
        <v>-296</v>
      </c>
      <c r="S36" s="26" t="str">
        <f>IF(Tableau4849[[#This Row],[ETAT]]="LOSE",IF(IFERROR(ABS(SUBSTITUTE(Tableau4849[[#This Row],[PRICE]],".",",")-'[1]Deal ticket'!$B$16)*1000,"")&lt;=$S$5,"GO","WAIT"),"")</f>
        <v/>
      </c>
      <c r="T3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6" s="34" t="str">
        <f>IF(Tableau4849[[#This Row],[ETAT]]="LOSE",IF(IFERROR(ABS(SUBSTITUTE(Tableau4849[[#This Row],[PRICE]],".",",")-'[1]Deal ticket'!$B$16)*1000,"")&lt;=$U$5,"GO","WAIT"),"")</f>
        <v/>
      </c>
      <c r="V36" s="26">
        <f>IF(Tableau4849[[#This Row],[INDEX]]&lt;3,"",SUMIFS(Tableau4849[SL],Tableau4849[Colonne5],Tableau4849[[#This Row],[Colonne5]])+$S$4)</f>
        <v>1</v>
      </c>
      <c r="W36" s="34" t="str">
        <f>IF(Tableau4849[[#This Row],[ETAT]]="LOSE",IF(IFERROR(ABS(SUBSTITUTE(Tableau4849[[#This Row],[PRICE]],".",",")-'[1]Deal ticket'!$B$16)*1000,"")&lt;=$W$5,"GO","WAIT"),"")</f>
        <v/>
      </c>
      <c r="X3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6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6" s="26">
        <f>IF(AND(Tableau4849[[#This Row],[3,8]]=1),Tableau4849[[#This Row],[INDEX]],"")</f>
        <v>30</v>
      </c>
      <c r="AC36" s="26" t="str">
        <f ca="1">IF(IFERROR(_xlfn.XLOOKUP(Tableau4849[[#This Row],[IDENTITE]],[1]!Tableau47[GLOBUY],[1]!Tableau47[GLOBUY]),"")="","",1)</f>
        <v/>
      </c>
      <c r="AD36" s="26" t="str">
        <f>IF(IFERROR(_xlfn.XLOOKUP(Tableau4849[[#This Row],[IDENTITE]],[1]!Tableau47[GLOSELL],[1]!Tableau47[GLOSELL]),"")="","",1)</f>
        <v/>
      </c>
      <c r="AE36" s="26"/>
      <c r="AF36" s="26">
        <f>IF(Tableau4849[[#This Row],[INDEX]]&lt;3,"",IF(Tableau4849[[#This Row],[COMMAND]]="","",IF('[1]Bar history'!$AA$33=1,1,"")))</f>
        <v>1</v>
      </c>
      <c r="AG36" s="26"/>
      <c r="AH36" s="26" t="str">
        <f>IF(IFERROR(_xlfn.XLOOKUP(Tableau4849[[#This Row],[IDENTITE]],[1]!Tableau47[COMMENTAIRE],[1]!Tableau47[CLOTURE]),"")=[1]PARAMETRE!$BK$31,Tableau4849[[#This Row],[INDEX]],"")</f>
        <v/>
      </c>
      <c r="AI36" s="26"/>
      <c r="AJ36" s="35" t="str">
        <f>IF(AND(ISNUMBER(SEARCH("BUY",Tableau4849[[#This Row],[COMMAND]]))),"BUYSTOP",IF(AND(ISNUMBER(SEARCH("SELL",Tableau4849[[#This Row],[COMMAND]]))),"SELLSTOP",""))</f>
        <v>BUYSTOP</v>
      </c>
      <c r="AK36" s="35" t="str">
        <f>IFERROR(SUBSTITUTE(Tableau4849[[#This Row],[PRICE]],",","."),"")</f>
        <v>1.06464</v>
      </c>
      <c r="AL36" s="35" t="str">
        <f>IF(Tableau4849[[#This Row],[INDEX]]&lt;3,"",Tableau4849[[#This Row],[IDENTITE]])</f>
        <v>1 RBRB B 1.063 M1M1</v>
      </c>
      <c r="AM36" s="35" t="str">
        <f>IF(Tableau4849[[#This Row],[INDEX]]&lt;3,"",Tableau4849[[#This Row],[DEVISE]])</f>
        <v>EURUSD</v>
      </c>
      <c r="AN36" s="35">
        <f>IFERROR(IF(Tableau4849[[#This Row],[INDEX]]&lt;3,"",Tableau4849[[#This Row],[ATTEINT]]),100000)</f>
        <v>100000</v>
      </c>
      <c r="AO36" s="35">
        <f>IF(Tableau4849[[#This Row],[INDEX]]&lt;3,"",Tableau4849[[#This Row],[COMPTE]])</f>
        <v>925832</v>
      </c>
      <c r="AP36" s="35" t="str">
        <f>IF(Tableau4849[[#This Row],[INDEX]]&lt;3,"","NON")</f>
        <v>NON</v>
      </c>
      <c r="AQ36" s="35" t="str">
        <f>IF(Tableau4849[[#This Row],[INDEX]]&lt;3,"",IF(Tableau4849[[#This Row],[0,5]]&lt;0,"NEGATIF",""))</f>
        <v>NEGATIF</v>
      </c>
    </row>
    <row r="37" spans="1:43" x14ac:dyDescent="0.25">
      <c r="A37" s="24">
        <v>31</v>
      </c>
      <c r="B37" s="32">
        <v>44923.407627314817</v>
      </c>
      <c r="C37" s="26">
        <v>925832</v>
      </c>
      <c r="D37" s="24" t="s">
        <v>0</v>
      </c>
      <c r="E37" s="24" t="s">
        <v>47</v>
      </c>
      <c r="F37" s="24">
        <v>1.0646100000000001</v>
      </c>
      <c r="G37" s="26">
        <v>3000</v>
      </c>
      <c r="H37" s="27" t="s">
        <v>168</v>
      </c>
      <c r="I37" s="28" t="str">
        <f>IF(IFERROR(_xlfn.XLOOKUP(Tableau4849[[#This Row],[SL]],'[1]Tickets (2)'!J33:J827,'[1]Tickets (2)'!I36:I830),"")=0,"",IFERROR(_xlfn.XLOOKUP(Tableau4849[[#This Row],[SL]],'[1]Tickets (2)'!J33:J827,'[1]Tickets (2)'!I36:I830),""))</f>
        <v/>
      </c>
      <c r="K3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7" s="33">
        <v>44923.630886574072</v>
      </c>
      <c r="N37" s="3" t="str">
        <f>IF(Tableau4849[[#This Row],[T CLOSE]]&gt;[1]CONFIGURATION!$K$4,Tableau4849[[#This Row],[IDENTITE]],"")</f>
        <v/>
      </c>
      <c r="O37" s="26">
        <f>IFERROR(Tableau4849[[#This Row],[SL]]/(Tableau4849[[#This Row],[VOLUME]]/$I$5),0)</f>
        <v>0</v>
      </c>
      <c r="P37" s="26" t="str">
        <f>Tableau4849[[#This Row],[COMMAND]]</f>
        <v>BUY</v>
      </c>
      <c r="Q3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1.0631 M1M1</v>
      </c>
      <c r="R37" s="29">
        <v>-306</v>
      </c>
      <c r="S37" s="26" t="str">
        <f>IF(Tableau4849[[#This Row],[ETAT]]="LOSE",IF(IFERROR(ABS(SUBSTITUTE(Tableau4849[[#This Row],[PRICE]],".",",")-'[1]Deal ticket'!$B$16)*1000,"")&lt;=$S$5,"GO","WAIT"),"")</f>
        <v/>
      </c>
      <c r="T3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7" s="34" t="str">
        <f>IF(Tableau4849[[#This Row],[ETAT]]="LOSE",IF(IFERROR(ABS(SUBSTITUTE(Tableau4849[[#This Row],[PRICE]],".",",")-'[1]Deal ticket'!$B$16)*1000,"")&lt;=$U$5,"GO","WAIT"),"")</f>
        <v/>
      </c>
      <c r="V37" s="26">
        <f>IF(Tableau4849[[#This Row],[INDEX]]&lt;3,"",SUMIFS(Tableau4849[SL],Tableau4849[Colonne5],Tableau4849[[#This Row],[Colonne5]])+$S$4)</f>
        <v>1</v>
      </c>
      <c r="W37" s="34" t="str">
        <f>IF(Tableau4849[[#This Row],[ETAT]]="LOSE",IF(IFERROR(ABS(SUBSTITUTE(Tableau4849[[#This Row],[PRICE]],".",",")-'[1]Deal ticket'!$B$16)*1000,"")&lt;=$W$5,"GO","WAIT"),"")</f>
        <v/>
      </c>
      <c r="X3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7" s="26">
        <f>IF(AND(Tableau4849[[#This Row],[3,8]]=1),Tableau4849[[#This Row],[INDEX]],"")</f>
        <v>31</v>
      </c>
      <c r="AC37" s="26" t="str">
        <f ca="1">IF(IFERROR(_xlfn.XLOOKUP(Tableau4849[[#This Row],[IDENTITE]],[1]!Tableau47[GLOBUY],[1]!Tableau47[GLOBUY]),"")="","",1)</f>
        <v/>
      </c>
      <c r="AD37" s="26" t="str">
        <f>IF(IFERROR(_xlfn.XLOOKUP(Tableau4849[[#This Row],[IDENTITE]],[1]!Tableau47[GLOSELL],[1]!Tableau47[GLOSELL]),"")="","",1)</f>
        <v/>
      </c>
      <c r="AE37" s="26"/>
      <c r="AF37" s="26">
        <f>IF(Tableau4849[[#This Row],[INDEX]]&lt;3,"",IF(Tableau4849[[#This Row],[COMMAND]]="","",IF('[1]Bar history'!$AA$33=1,1,"")))</f>
        <v>1</v>
      </c>
      <c r="AG37" s="26"/>
      <c r="AH37" s="26" t="str">
        <f>IF(IFERROR(_xlfn.XLOOKUP(Tableau4849[[#This Row],[IDENTITE]],[1]!Tableau47[COMMENTAIRE],[1]!Tableau47[CLOTURE]),"")=[1]PARAMETRE!$BK$31,Tableau4849[[#This Row],[INDEX]],"")</f>
        <v/>
      </c>
      <c r="AI37" s="26"/>
      <c r="AJ37" s="35" t="str">
        <f>IF(AND(ISNUMBER(SEARCH("BUY",Tableau4849[[#This Row],[COMMAND]]))),"BUYSTOP",IF(AND(ISNUMBER(SEARCH("SELL",Tableau4849[[#This Row],[COMMAND]]))),"SELLSTOP",""))</f>
        <v>BUYSTOP</v>
      </c>
      <c r="AK37" s="35" t="str">
        <f>IFERROR(SUBSTITUTE(Tableau4849[[#This Row],[PRICE]],",","."),"")</f>
        <v>1.06461</v>
      </c>
      <c r="AL37" s="35" t="str">
        <f>IF(Tableau4849[[#This Row],[INDEX]]&lt;3,"",Tableau4849[[#This Row],[IDENTITE]])</f>
        <v>1 RBRB B 1.0631 M1M1</v>
      </c>
      <c r="AM37" s="35" t="str">
        <f>IF(Tableau4849[[#This Row],[INDEX]]&lt;3,"",Tableau4849[[#This Row],[DEVISE]])</f>
        <v>EURUSD</v>
      </c>
      <c r="AN37" s="35">
        <f>IFERROR(IF(Tableau4849[[#This Row],[INDEX]]&lt;3,"",Tableau4849[[#This Row],[ATTEINT]]),100000)</f>
        <v>100000</v>
      </c>
      <c r="AO37" s="35">
        <f>IF(Tableau4849[[#This Row],[INDEX]]&lt;3,"",Tableau4849[[#This Row],[COMPTE]])</f>
        <v>925832</v>
      </c>
      <c r="AP37" s="35" t="str">
        <f>IF(Tableau4849[[#This Row],[INDEX]]&lt;3,"","NON")</f>
        <v>NON</v>
      </c>
      <c r="AQ37" s="35" t="str">
        <f>IF(Tableau4849[[#This Row],[INDEX]]&lt;3,"",IF(Tableau4849[[#This Row],[0,5]]&lt;0,"NEGATIF",""))</f>
        <v>NEGATIF</v>
      </c>
    </row>
    <row r="38" spans="1:43" x14ac:dyDescent="0.25">
      <c r="A38" s="24">
        <v>32</v>
      </c>
      <c r="B38" s="32">
        <v>44923.404930555553</v>
      </c>
      <c r="C38" s="26">
        <v>925832</v>
      </c>
      <c r="D38" s="24" t="s">
        <v>0</v>
      </c>
      <c r="E38" s="24" t="s">
        <v>47</v>
      </c>
      <c r="F38" s="24">
        <v>1.06498</v>
      </c>
      <c r="G38" s="26">
        <v>3000</v>
      </c>
      <c r="H38" s="27" t="s">
        <v>5</v>
      </c>
      <c r="I38" s="28" t="str">
        <f>IF(IFERROR(_xlfn.XLOOKUP(Tableau4849[[#This Row],[SL]],'[1]Tickets (2)'!J34:J828,'[1]Tickets (2)'!I37:I831),"")=0,"",IFERROR(_xlfn.XLOOKUP(Tableau4849[[#This Row],[SL]],'[1]Tickets (2)'!J34:J828,'[1]Tickets (2)'!I37:I831),""))</f>
        <v/>
      </c>
      <c r="K3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8" s="33">
        <v>44923.630886574072</v>
      </c>
      <c r="N38" s="3" t="str">
        <f>IF(Tableau4849[[#This Row],[T CLOSE]]&gt;[1]CONFIGURATION!$K$4,Tableau4849[[#This Row],[IDENTITE]],"")</f>
        <v/>
      </c>
      <c r="O38" s="26">
        <f>IFERROR(Tableau4849[[#This Row],[SL]]/(Tableau4849[[#This Row],[VOLUME]]/$I$5),0)</f>
        <v>0</v>
      </c>
      <c r="P38" s="26" t="str">
        <f>Tableau4849[[#This Row],[COMMAND]]</f>
        <v>BUY</v>
      </c>
      <c r="Q3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1.06346 M1M1</v>
      </c>
      <c r="R38" s="29">
        <v>-316</v>
      </c>
      <c r="S38" s="26" t="str">
        <f>IF(Tableau4849[[#This Row],[ETAT]]="LOSE",IF(IFERROR(ABS(SUBSTITUTE(Tableau4849[[#This Row],[PRICE]],".",",")-'[1]Deal ticket'!$B$16)*1000,"")&lt;=$S$5,"GO","WAIT"),"")</f>
        <v/>
      </c>
      <c r="T3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8" s="34" t="str">
        <f>IF(Tableau4849[[#This Row],[ETAT]]="LOSE",IF(IFERROR(ABS(SUBSTITUTE(Tableau4849[[#This Row],[PRICE]],".",",")-'[1]Deal ticket'!$B$16)*1000,"")&lt;=$U$5,"GO","WAIT"),"")</f>
        <v/>
      </c>
      <c r="V38" s="26">
        <f>IF(Tableau4849[[#This Row],[INDEX]]&lt;3,"",SUMIFS(Tableau4849[SL],Tableau4849[Colonne5],Tableau4849[[#This Row],[Colonne5]])+$S$4)</f>
        <v>1</v>
      </c>
      <c r="W38" s="34" t="str">
        <f>IF(Tableau4849[[#This Row],[ETAT]]="LOSE",IF(IFERROR(ABS(SUBSTITUTE(Tableau4849[[#This Row],[PRICE]],".",",")-'[1]Deal ticket'!$B$16)*1000,"")&lt;=$W$5,"GO","WAIT"),"")</f>
        <v/>
      </c>
      <c r="X3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8" s="26">
        <f>IF(AND(Tableau4849[[#This Row],[3,8]]=1),Tableau4849[[#This Row],[INDEX]],"")</f>
        <v>32</v>
      </c>
      <c r="AC38" s="26" t="str">
        <f ca="1">IF(IFERROR(_xlfn.XLOOKUP(Tableau4849[[#This Row],[IDENTITE]],[1]!Tableau47[GLOBUY],[1]!Tableau47[GLOBUY]),"")="","",1)</f>
        <v/>
      </c>
      <c r="AD38" s="26" t="str">
        <f>IF(IFERROR(_xlfn.XLOOKUP(Tableau4849[[#This Row],[IDENTITE]],[1]!Tableau47[GLOSELL],[1]!Tableau47[GLOSELL]),"")="","",1)</f>
        <v/>
      </c>
      <c r="AE38" s="26"/>
      <c r="AF38" s="26">
        <f>IF(Tableau4849[[#This Row],[INDEX]]&lt;3,"",IF(Tableau4849[[#This Row],[COMMAND]]="","",IF('[1]Bar history'!$AA$33=1,1,"")))</f>
        <v>1</v>
      </c>
      <c r="AG38" s="26"/>
      <c r="AH38" s="26" t="str">
        <f>IF(IFERROR(_xlfn.XLOOKUP(Tableau4849[[#This Row],[IDENTITE]],[1]!Tableau47[COMMENTAIRE],[1]!Tableau47[CLOTURE]),"")=[1]PARAMETRE!$BK$31,Tableau4849[[#This Row],[INDEX]],"")</f>
        <v/>
      </c>
      <c r="AI38" s="26"/>
      <c r="AJ38" s="35" t="str">
        <f>IF(AND(ISNUMBER(SEARCH("BUY",Tableau4849[[#This Row],[COMMAND]]))),"BUYSTOP",IF(AND(ISNUMBER(SEARCH("SELL",Tableau4849[[#This Row],[COMMAND]]))),"SELLSTOP",""))</f>
        <v>BUYSTOP</v>
      </c>
      <c r="AK38" s="35" t="str">
        <f>IFERROR(SUBSTITUTE(Tableau4849[[#This Row],[PRICE]],",","."),"")</f>
        <v>1.06498</v>
      </c>
      <c r="AL38" s="35" t="str">
        <f>IF(Tableau4849[[#This Row],[INDEX]]&lt;3,"",Tableau4849[[#This Row],[IDENTITE]])</f>
        <v>1 RBRB B 1.06346 M1M1</v>
      </c>
      <c r="AM38" s="35" t="str">
        <f>IF(Tableau4849[[#This Row],[INDEX]]&lt;3,"",Tableau4849[[#This Row],[DEVISE]])</f>
        <v>EURUSD</v>
      </c>
      <c r="AN38" s="35">
        <f>IFERROR(IF(Tableau4849[[#This Row],[INDEX]]&lt;3,"",Tableau4849[[#This Row],[ATTEINT]]),100000)</f>
        <v>100000</v>
      </c>
      <c r="AO38" s="35">
        <f>IF(Tableau4849[[#This Row],[INDEX]]&lt;3,"",Tableau4849[[#This Row],[COMPTE]])</f>
        <v>925832</v>
      </c>
      <c r="AP38" s="35" t="str">
        <f>IF(Tableau4849[[#This Row],[INDEX]]&lt;3,"","NON")</f>
        <v>NON</v>
      </c>
      <c r="AQ38" s="35" t="str">
        <f>IF(Tableau4849[[#This Row],[INDEX]]&lt;3,"",IF(Tableau4849[[#This Row],[0,5]]&lt;0,"NEGATIF",""))</f>
        <v>NEGATIF</v>
      </c>
    </row>
    <row r="39" spans="1:43" x14ac:dyDescent="0.25">
      <c r="A39" s="24">
        <v>33</v>
      </c>
      <c r="B39" s="32">
        <v>44923.379930555559</v>
      </c>
      <c r="C39" s="26">
        <v>925832</v>
      </c>
      <c r="D39" s="24" t="s">
        <v>0</v>
      </c>
      <c r="E39" s="24" t="s">
        <v>47</v>
      </c>
      <c r="F39" s="24">
        <v>1.0650500000000001</v>
      </c>
      <c r="G39" s="26">
        <v>3000</v>
      </c>
      <c r="H39" s="27" t="s">
        <v>169</v>
      </c>
      <c r="I39" s="28" t="str">
        <f>IF(IFERROR(_xlfn.XLOOKUP(Tableau4849[[#This Row],[SL]],'[1]Tickets (2)'!J35:J829,'[1]Tickets (2)'!I38:I832),"")=0,"",IFERROR(_xlfn.XLOOKUP(Tableau4849[[#This Row],[SL]],'[1]Tickets (2)'!J35:J829,'[1]Tickets (2)'!I38:I832),""))</f>
        <v/>
      </c>
      <c r="K3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39" s="33">
        <v>44923.630886574072</v>
      </c>
      <c r="N39" s="3" t="str">
        <f>IF(Tableau4849[[#This Row],[T CLOSE]]&gt;[1]CONFIGURATION!$K$4,Tableau4849[[#This Row],[IDENTITE]],"")</f>
        <v/>
      </c>
      <c r="O39" s="26">
        <f>IFERROR(Tableau4849[[#This Row],[SL]]/(Tableau4849[[#This Row],[VOLUME]]/$I$5),0)</f>
        <v>0</v>
      </c>
      <c r="P39" s="26" t="str">
        <f>Tableau4849[[#This Row],[COMMAND]]</f>
        <v>BUY</v>
      </c>
      <c r="Q3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1.06336 M1M1</v>
      </c>
      <c r="R39" s="29">
        <v>-326</v>
      </c>
      <c r="S39" s="26" t="str">
        <f>IF(Tableau4849[[#This Row],[ETAT]]="LOSE",IF(IFERROR(ABS(SUBSTITUTE(Tableau4849[[#This Row],[PRICE]],".",",")-'[1]Deal ticket'!$B$16)*1000,"")&lt;=$S$5,"GO","WAIT"),"")</f>
        <v/>
      </c>
      <c r="T3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39" s="34" t="str">
        <f>IF(Tableau4849[[#This Row],[ETAT]]="LOSE",IF(IFERROR(ABS(SUBSTITUTE(Tableau4849[[#This Row],[PRICE]],".",",")-'[1]Deal ticket'!$B$16)*1000,"")&lt;=$U$5,"GO","WAIT"),"")</f>
        <v/>
      </c>
      <c r="V39" s="26">
        <f>IF(Tableau4849[[#This Row],[INDEX]]&lt;3,"",SUMIFS(Tableau4849[SL],Tableau4849[Colonne5],Tableau4849[[#This Row],[Colonne5]])+$S$4)</f>
        <v>1</v>
      </c>
      <c r="W39" s="34" t="str">
        <f>IF(Tableau4849[[#This Row],[ETAT]]="LOSE",IF(IFERROR(ABS(SUBSTITUTE(Tableau4849[[#This Row],[PRICE]],".",",")-'[1]Deal ticket'!$B$16)*1000,"")&lt;=$W$5,"GO","WAIT"),"")</f>
        <v/>
      </c>
      <c r="X3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3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3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3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39" s="26">
        <f>IF(AND(Tableau4849[[#This Row],[3,8]]=1),Tableau4849[[#This Row],[INDEX]],"")</f>
        <v>33</v>
      </c>
      <c r="AC39" s="26" t="str">
        <f ca="1">IF(IFERROR(_xlfn.XLOOKUP(Tableau4849[[#This Row],[IDENTITE]],[1]!Tableau47[GLOBUY],[1]!Tableau47[GLOBUY]),"")="","",1)</f>
        <v/>
      </c>
      <c r="AD39" s="26" t="str">
        <f>IF(IFERROR(_xlfn.XLOOKUP(Tableau4849[[#This Row],[IDENTITE]],[1]!Tableau47[GLOSELL],[1]!Tableau47[GLOSELL]),"")="","",1)</f>
        <v/>
      </c>
      <c r="AE39" s="26"/>
      <c r="AF39" s="26">
        <f>IF(Tableau4849[[#This Row],[INDEX]]&lt;3,"",IF(Tableau4849[[#This Row],[COMMAND]]="","",IF('[1]Bar history'!$AA$33=1,1,"")))</f>
        <v>1</v>
      </c>
      <c r="AG39" s="26"/>
      <c r="AH39" s="26" t="str">
        <f>IF(IFERROR(_xlfn.XLOOKUP(Tableau4849[[#This Row],[IDENTITE]],[1]!Tableau47[COMMENTAIRE],[1]!Tableau47[CLOTURE]),"")=[1]PARAMETRE!$BK$31,Tableau4849[[#This Row],[INDEX]],"")</f>
        <v/>
      </c>
      <c r="AI39" s="26"/>
      <c r="AJ39" s="35" t="str">
        <f>IF(AND(ISNUMBER(SEARCH("BUY",Tableau4849[[#This Row],[COMMAND]]))),"BUYSTOP",IF(AND(ISNUMBER(SEARCH("SELL",Tableau4849[[#This Row],[COMMAND]]))),"SELLSTOP",""))</f>
        <v>BUYSTOP</v>
      </c>
      <c r="AK39" s="35" t="str">
        <f>IFERROR(SUBSTITUTE(Tableau4849[[#This Row],[PRICE]],",","."),"")</f>
        <v>1.06505</v>
      </c>
      <c r="AL39" s="35" t="str">
        <f>IF(Tableau4849[[#This Row],[INDEX]]&lt;3,"",Tableau4849[[#This Row],[IDENTITE]])</f>
        <v>1 RBRB B 1.06336 M1M1</v>
      </c>
      <c r="AM39" s="35" t="str">
        <f>IF(Tableau4849[[#This Row],[INDEX]]&lt;3,"",Tableau4849[[#This Row],[DEVISE]])</f>
        <v>EURUSD</v>
      </c>
      <c r="AN39" s="35">
        <f>IFERROR(IF(Tableau4849[[#This Row],[INDEX]]&lt;3,"",Tableau4849[[#This Row],[ATTEINT]]),100000)</f>
        <v>100000</v>
      </c>
      <c r="AO39" s="35">
        <f>IF(Tableau4849[[#This Row],[INDEX]]&lt;3,"",Tableau4849[[#This Row],[COMPTE]])</f>
        <v>925832</v>
      </c>
      <c r="AP39" s="35" t="str">
        <f>IF(Tableau4849[[#This Row],[INDEX]]&lt;3,"","NON")</f>
        <v>NON</v>
      </c>
      <c r="AQ39" s="35" t="str">
        <f>IF(Tableau4849[[#This Row],[INDEX]]&lt;3,"",IF(Tableau4849[[#This Row],[0,5]]&lt;0,"NEGATIF",""))</f>
        <v>NEGATIF</v>
      </c>
    </row>
    <row r="40" spans="1:43" x14ac:dyDescent="0.25">
      <c r="A40" s="24">
        <v>34</v>
      </c>
      <c r="B40" s="32">
        <v>44923.379652777781</v>
      </c>
      <c r="C40" s="26">
        <v>925832</v>
      </c>
      <c r="D40" s="24" t="s">
        <v>0</v>
      </c>
      <c r="E40" s="24" t="s">
        <v>47</v>
      </c>
      <c r="F40" s="24">
        <v>1.0650500000000001</v>
      </c>
      <c r="G40" s="26">
        <v>3000</v>
      </c>
      <c r="H40" s="27" t="s">
        <v>170</v>
      </c>
      <c r="I40" s="28" t="str">
        <f>IF(IFERROR(_xlfn.XLOOKUP(Tableau4849[[#This Row],[SL]],'[1]Tickets (2)'!J36:J830,'[1]Tickets (2)'!I39:I833),"")=0,"",IFERROR(_xlfn.XLOOKUP(Tableau4849[[#This Row],[SL]],'[1]Tickets (2)'!J36:J830,'[1]Tickets (2)'!I39:I833),""))</f>
        <v/>
      </c>
      <c r="K4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0" s="33">
        <v>44923.630886574072</v>
      </c>
      <c r="N40" s="3" t="str">
        <f>IF(Tableau4849[[#This Row],[T CLOSE]]&gt;[1]CONFIGURATION!$K$4,Tableau4849[[#This Row],[IDENTITE]],"")</f>
        <v/>
      </c>
      <c r="O40" s="26">
        <f>IFERROR(Tableau4849[[#This Row],[SL]]/(Tableau4849[[#This Row],[VOLUME]]/$I$5),0)</f>
        <v>0</v>
      </c>
      <c r="P40" s="26" t="str">
        <f>Tableau4849[[#This Row],[COMMAND]]</f>
        <v>BUY</v>
      </c>
      <c r="Q4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1.06355 M1M1</v>
      </c>
      <c r="R40" s="29">
        <v>-336</v>
      </c>
      <c r="S40" s="26" t="str">
        <f>IF(Tableau4849[[#This Row],[ETAT]]="LOSE",IF(IFERROR(ABS(SUBSTITUTE(Tableau4849[[#This Row],[PRICE]],".",",")-'[1]Deal ticket'!$B$16)*1000,"")&lt;=$S$5,"GO","WAIT"),"")</f>
        <v/>
      </c>
      <c r="T4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0" s="34" t="str">
        <f>IF(Tableau4849[[#This Row],[ETAT]]="LOSE",IF(IFERROR(ABS(SUBSTITUTE(Tableau4849[[#This Row],[PRICE]],".",",")-'[1]Deal ticket'!$B$16)*1000,"")&lt;=$U$5,"GO","WAIT"),"")</f>
        <v/>
      </c>
      <c r="V40" s="26">
        <f>IF(Tableau4849[[#This Row],[INDEX]]&lt;3,"",SUMIFS(Tableau4849[SL],Tableau4849[Colonne5],Tableau4849[[#This Row],[Colonne5]])+$S$4)</f>
        <v>1</v>
      </c>
      <c r="W40" s="34" t="str">
        <f>IF(Tableau4849[[#This Row],[ETAT]]="LOSE",IF(IFERROR(ABS(SUBSTITUTE(Tableau4849[[#This Row],[PRICE]],".",",")-'[1]Deal ticket'!$B$16)*1000,"")&lt;=$W$5,"GO","WAIT"),"")</f>
        <v/>
      </c>
      <c r="X4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40" s="26">
        <f>IF(AND(Tableau4849[[#This Row],[3,8]]=1),Tableau4849[[#This Row],[INDEX]],"")</f>
        <v>34</v>
      </c>
      <c r="AC40" s="26" t="str">
        <f ca="1">IF(IFERROR(_xlfn.XLOOKUP(Tableau4849[[#This Row],[IDENTITE]],[1]!Tableau47[GLOBUY],[1]!Tableau47[GLOBUY]),"")="","",1)</f>
        <v/>
      </c>
      <c r="AD40" s="26" t="str">
        <f>IF(IFERROR(_xlfn.XLOOKUP(Tableau4849[[#This Row],[IDENTITE]],[1]!Tableau47[GLOSELL],[1]!Tableau47[GLOSELL]),"")="","",1)</f>
        <v/>
      </c>
      <c r="AE40" s="26"/>
      <c r="AF40" s="26">
        <f>IF(Tableau4849[[#This Row],[INDEX]]&lt;3,"",IF(Tableau4849[[#This Row],[COMMAND]]="","",IF('[1]Bar history'!$AA$33=1,1,"")))</f>
        <v>1</v>
      </c>
      <c r="AG40" s="26"/>
      <c r="AH40" s="26" t="str">
        <f>IF(IFERROR(_xlfn.XLOOKUP(Tableau4849[[#This Row],[IDENTITE]],[1]!Tableau47[COMMENTAIRE],[1]!Tableau47[CLOTURE]),"")=[1]PARAMETRE!$BK$31,Tableau4849[[#This Row],[INDEX]],"")</f>
        <v/>
      </c>
      <c r="AI40" s="26"/>
      <c r="AJ40" s="35" t="str">
        <f>IF(AND(ISNUMBER(SEARCH("BUY",Tableau4849[[#This Row],[COMMAND]]))),"BUYSTOP",IF(AND(ISNUMBER(SEARCH("SELL",Tableau4849[[#This Row],[COMMAND]]))),"SELLSTOP",""))</f>
        <v>BUYSTOP</v>
      </c>
      <c r="AK40" s="35" t="str">
        <f>IFERROR(SUBSTITUTE(Tableau4849[[#This Row],[PRICE]],",","."),"")</f>
        <v>1.06505</v>
      </c>
      <c r="AL40" s="35" t="str">
        <f>IF(Tableau4849[[#This Row],[INDEX]]&lt;3,"",Tableau4849[[#This Row],[IDENTITE]])</f>
        <v>1 RBRB B 1.06355 M1M1</v>
      </c>
      <c r="AM40" s="35" t="str">
        <f>IF(Tableau4849[[#This Row],[INDEX]]&lt;3,"",Tableau4849[[#This Row],[DEVISE]])</f>
        <v>EURUSD</v>
      </c>
      <c r="AN40" s="35">
        <f>IFERROR(IF(Tableau4849[[#This Row],[INDEX]]&lt;3,"",Tableau4849[[#This Row],[ATTEINT]]),100000)</f>
        <v>100000</v>
      </c>
      <c r="AO40" s="35">
        <f>IF(Tableau4849[[#This Row],[INDEX]]&lt;3,"",Tableau4849[[#This Row],[COMPTE]])</f>
        <v>925832</v>
      </c>
      <c r="AP40" s="35" t="str">
        <f>IF(Tableau4849[[#This Row],[INDEX]]&lt;3,"","NON")</f>
        <v>NON</v>
      </c>
      <c r="AQ40" s="35" t="str">
        <f>IF(Tableau4849[[#This Row],[INDEX]]&lt;3,"",IF(Tableau4849[[#This Row],[0,5]]&lt;0,"NEGATIF",""))</f>
        <v>NEGATIF</v>
      </c>
    </row>
    <row r="41" spans="1:43" x14ac:dyDescent="0.25">
      <c r="A41" s="24">
        <v>35</v>
      </c>
      <c r="B41" s="32">
        <v>44923.379351851851</v>
      </c>
      <c r="C41" s="26">
        <v>925832</v>
      </c>
      <c r="D41" s="24" t="s">
        <v>0</v>
      </c>
      <c r="E41" s="24" t="s">
        <v>47</v>
      </c>
      <c r="F41" s="24">
        <v>1.0650999999999999</v>
      </c>
      <c r="G41" s="26">
        <v>4000</v>
      </c>
      <c r="H41" s="27" t="s">
        <v>171</v>
      </c>
      <c r="I41" s="28" t="str">
        <f>IF(IFERROR(_xlfn.XLOOKUP(Tableau4849[[#This Row],[SL]],'[1]Tickets (2)'!J37:J831,'[1]Tickets (2)'!I40:I834),"")=0,"",IFERROR(_xlfn.XLOOKUP(Tableau4849[[#This Row],[SL]],'[1]Tickets (2)'!J37:J831,'[1]Tickets (2)'!I40:I834),""))</f>
        <v/>
      </c>
      <c r="K4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1" s="33">
        <v>44923.630886574072</v>
      </c>
      <c r="N41" s="3" t="str">
        <f>IF(Tableau4849[[#This Row],[T CLOSE]]&gt;[1]CONFIGURATION!$K$4,Tableau4849[[#This Row],[IDENTITE]],"")</f>
        <v/>
      </c>
      <c r="O41" s="26">
        <f>IFERROR(Tableau4849[[#This Row],[SL]]/(Tableau4849[[#This Row],[VOLUME]]/$I$5),0)</f>
        <v>0</v>
      </c>
      <c r="P41" s="26" t="str">
        <f>Tableau4849[[#This Row],[COMMAND]]</f>
        <v>BUY</v>
      </c>
      <c r="Q4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1.06357 M1M1</v>
      </c>
      <c r="R41" s="29">
        <v>-346</v>
      </c>
      <c r="S41" s="26" t="str">
        <f>IF(Tableau4849[[#This Row],[ETAT]]="LOSE",IF(IFERROR(ABS(SUBSTITUTE(Tableau4849[[#This Row],[PRICE]],".",",")-'[1]Deal ticket'!$B$16)*1000,"")&lt;=$S$5,"GO","WAIT"),"")</f>
        <v/>
      </c>
      <c r="T4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1" s="34" t="str">
        <f>IF(Tableau4849[[#This Row],[ETAT]]="LOSE",IF(IFERROR(ABS(SUBSTITUTE(Tableau4849[[#This Row],[PRICE]],".",",")-'[1]Deal ticket'!$B$16)*1000,"")&lt;=$U$5,"GO","WAIT"),"")</f>
        <v/>
      </c>
      <c r="V41" s="26">
        <f>IF(Tableau4849[[#This Row],[INDEX]]&lt;3,"",SUMIFS(Tableau4849[SL],Tableau4849[Colonne5],Tableau4849[[#This Row],[Colonne5]])+$S$4)</f>
        <v>1</v>
      </c>
      <c r="W41" s="34" t="str">
        <f>IF(Tableau4849[[#This Row],[ETAT]]="LOSE",IF(IFERROR(ABS(SUBSTITUTE(Tableau4849[[#This Row],[PRICE]],".",",")-'[1]Deal ticket'!$B$16)*1000,"")&lt;=$W$5,"GO","WAIT"),"")</f>
        <v/>
      </c>
      <c r="X4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41" s="26">
        <f>IF(AND(Tableau4849[[#This Row],[3,8]]=1),Tableau4849[[#This Row],[INDEX]],"")</f>
        <v>35</v>
      </c>
      <c r="AC41" s="26" t="str">
        <f ca="1">IF(IFERROR(_xlfn.XLOOKUP(Tableau4849[[#This Row],[IDENTITE]],[1]!Tableau47[GLOBUY],[1]!Tableau47[GLOBUY]),"")="","",1)</f>
        <v/>
      </c>
      <c r="AD41" s="26" t="str">
        <f>IF(IFERROR(_xlfn.XLOOKUP(Tableau4849[[#This Row],[IDENTITE]],[1]!Tableau47[GLOSELL],[1]!Tableau47[GLOSELL]),"")="","",1)</f>
        <v/>
      </c>
      <c r="AE41" s="26"/>
      <c r="AF41" s="26">
        <f>IF(Tableau4849[[#This Row],[INDEX]]&lt;3,"",IF(Tableau4849[[#This Row],[COMMAND]]="","",IF('[1]Bar history'!$AA$33=1,1,"")))</f>
        <v>1</v>
      </c>
      <c r="AG41" s="26"/>
      <c r="AH41" s="26" t="str">
        <f>IF(IFERROR(_xlfn.XLOOKUP(Tableau4849[[#This Row],[IDENTITE]],[1]!Tableau47[COMMENTAIRE],[1]!Tableau47[CLOTURE]),"")=[1]PARAMETRE!$BK$31,Tableau4849[[#This Row],[INDEX]],"")</f>
        <v/>
      </c>
      <c r="AI41" s="26"/>
      <c r="AJ41" s="35" t="str">
        <f>IF(AND(ISNUMBER(SEARCH("BUY",Tableau4849[[#This Row],[COMMAND]]))),"BUYSTOP",IF(AND(ISNUMBER(SEARCH("SELL",Tableau4849[[#This Row],[COMMAND]]))),"SELLSTOP",""))</f>
        <v>BUYSTOP</v>
      </c>
      <c r="AK41" s="35" t="str">
        <f>IFERROR(SUBSTITUTE(Tableau4849[[#This Row],[PRICE]],",","."),"")</f>
        <v>1.0651</v>
      </c>
      <c r="AL41" s="35" t="str">
        <f>IF(Tableau4849[[#This Row],[INDEX]]&lt;3,"",Tableau4849[[#This Row],[IDENTITE]])</f>
        <v>1 RBRB B 1.06357 M1M1</v>
      </c>
      <c r="AM41" s="35" t="str">
        <f>IF(Tableau4849[[#This Row],[INDEX]]&lt;3,"",Tableau4849[[#This Row],[DEVISE]])</f>
        <v>EURUSD</v>
      </c>
      <c r="AN41" s="35">
        <f>IFERROR(IF(Tableau4849[[#This Row],[INDEX]]&lt;3,"",Tableau4849[[#This Row],[ATTEINT]]),100000)</f>
        <v>100000</v>
      </c>
      <c r="AO41" s="35">
        <f>IF(Tableau4849[[#This Row],[INDEX]]&lt;3,"",Tableau4849[[#This Row],[COMPTE]])</f>
        <v>925832</v>
      </c>
      <c r="AP41" s="35" t="str">
        <f>IF(Tableau4849[[#This Row],[INDEX]]&lt;3,"","NON")</f>
        <v>NON</v>
      </c>
      <c r="AQ41" s="35" t="str">
        <f>IF(Tableau4849[[#This Row],[INDEX]]&lt;3,"",IF(Tableau4849[[#This Row],[0,5]]&lt;0,"NEGATIF",""))</f>
        <v>NEGATIF</v>
      </c>
    </row>
    <row r="42" spans="1:43" x14ac:dyDescent="0.25">
      <c r="A42" s="24">
        <v>36</v>
      </c>
      <c r="B42" s="32">
        <v>44923.378750000003</v>
      </c>
      <c r="C42" s="26">
        <v>925832</v>
      </c>
      <c r="D42" s="24" t="s">
        <v>0</v>
      </c>
      <c r="E42" s="24" t="s">
        <v>47</v>
      </c>
      <c r="F42" s="24">
        <v>1.0651299999999999</v>
      </c>
      <c r="G42" s="26">
        <v>3000</v>
      </c>
      <c r="H42" s="27" t="s">
        <v>173</v>
      </c>
      <c r="I42" s="28" t="str">
        <f>IF(IFERROR(_xlfn.XLOOKUP(Tableau4849[[#This Row],[SL]],'[1]Tickets (2)'!J38:J832,'[1]Tickets (2)'!I41:I835),"")=0,"",IFERROR(_xlfn.XLOOKUP(Tableau4849[[#This Row],[SL]],'[1]Tickets (2)'!J38:J832,'[1]Tickets (2)'!I41:I835),""))</f>
        <v/>
      </c>
      <c r="K4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2" s="33">
        <v>44923.630886574072</v>
      </c>
      <c r="N42" s="3" t="str">
        <f>IF(Tableau4849[[#This Row],[T CLOSE]]&gt;[1]CONFIGURATION!$K$4,Tableau4849[[#This Row],[IDENTITE]],"")</f>
        <v/>
      </c>
      <c r="O42" s="26">
        <f>IFERROR(Tableau4849[[#This Row],[SL]]/(Tableau4849[[#This Row],[VOLUME]]/$I$5),0)</f>
        <v>0</v>
      </c>
      <c r="P42" s="26" t="str">
        <f>Tableau4849[[#This Row],[COMMAND]]</f>
        <v>BUY</v>
      </c>
      <c r="Q4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1.06363 M1M1</v>
      </c>
      <c r="R42" s="29">
        <v>-356</v>
      </c>
      <c r="S42" s="26" t="str">
        <f>IF(Tableau4849[[#This Row],[ETAT]]="LOSE",IF(IFERROR(ABS(SUBSTITUTE(Tableau4849[[#This Row],[PRICE]],".",",")-'[1]Deal ticket'!$B$16)*1000,"")&lt;=$S$5,"GO","WAIT"),"")</f>
        <v/>
      </c>
      <c r="T4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2" s="34" t="str">
        <f>IF(Tableau4849[[#This Row],[ETAT]]="LOSE",IF(IFERROR(ABS(SUBSTITUTE(Tableau4849[[#This Row],[PRICE]],".",",")-'[1]Deal ticket'!$B$16)*1000,"")&lt;=$U$5,"GO","WAIT"),"")</f>
        <v/>
      </c>
      <c r="V42" s="26">
        <f>IF(Tableau4849[[#This Row],[INDEX]]&lt;3,"",SUMIFS(Tableau4849[SL],Tableau4849[Colonne5],Tableau4849[[#This Row],[Colonne5]])+$S$4)</f>
        <v>1</v>
      </c>
      <c r="W42" s="34" t="str">
        <f>IF(Tableau4849[[#This Row],[ETAT]]="LOSE",IF(IFERROR(ABS(SUBSTITUTE(Tableau4849[[#This Row],[PRICE]],".",",")-'[1]Deal ticket'!$B$16)*1000,"")&lt;=$W$5,"GO","WAIT"),"")</f>
        <v/>
      </c>
      <c r="X4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42" s="26">
        <f>IF(AND(Tableau4849[[#This Row],[3,8]]=1),Tableau4849[[#This Row],[INDEX]],"")</f>
        <v>36</v>
      </c>
      <c r="AC42" s="26" t="str">
        <f ca="1">IF(IFERROR(_xlfn.XLOOKUP(Tableau4849[[#This Row],[IDENTITE]],[1]!Tableau47[GLOBUY],[1]!Tableau47[GLOBUY]),"")="","",1)</f>
        <v/>
      </c>
      <c r="AD42" s="26" t="str">
        <f>IF(IFERROR(_xlfn.XLOOKUP(Tableau4849[[#This Row],[IDENTITE]],[1]!Tableau47[GLOSELL],[1]!Tableau47[GLOSELL]),"")="","",1)</f>
        <v/>
      </c>
      <c r="AE42" s="26"/>
      <c r="AF42" s="26">
        <f>IF(Tableau4849[[#This Row],[INDEX]]&lt;3,"",IF(Tableau4849[[#This Row],[COMMAND]]="","",IF('[1]Bar history'!$AA$33=1,1,"")))</f>
        <v>1</v>
      </c>
      <c r="AG42" s="26"/>
      <c r="AH42" s="26" t="str">
        <f>IF(IFERROR(_xlfn.XLOOKUP(Tableau4849[[#This Row],[IDENTITE]],[1]!Tableau47[COMMENTAIRE],[1]!Tableau47[CLOTURE]),"")=[1]PARAMETRE!$BK$31,Tableau4849[[#This Row],[INDEX]],"")</f>
        <v/>
      </c>
      <c r="AI42" s="26"/>
      <c r="AJ42" s="35" t="str">
        <f>IF(AND(ISNUMBER(SEARCH("BUY",Tableau4849[[#This Row],[COMMAND]]))),"BUYSTOP",IF(AND(ISNUMBER(SEARCH("SELL",Tableau4849[[#This Row],[COMMAND]]))),"SELLSTOP",""))</f>
        <v>BUYSTOP</v>
      </c>
      <c r="AK42" s="35" t="str">
        <f>IFERROR(SUBSTITUTE(Tableau4849[[#This Row],[PRICE]],",","."),"")</f>
        <v>1.06513</v>
      </c>
      <c r="AL42" s="35" t="str">
        <f>IF(Tableau4849[[#This Row],[INDEX]]&lt;3,"",Tableau4849[[#This Row],[IDENTITE]])</f>
        <v>1 RBRB B 1.06363 M1M1</v>
      </c>
      <c r="AM42" s="35" t="str">
        <f>IF(Tableau4849[[#This Row],[INDEX]]&lt;3,"",Tableau4849[[#This Row],[DEVISE]])</f>
        <v>EURUSD</v>
      </c>
      <c r="AN42" s="35">
        <f>IFERROR(IF(Tableau4849[[#This Row],[INDEX]]&lt;3,"",Tableau4849[[#This Row],[ATTEINT]]),100000)</f>
        <v>100000</v>
      </c>
      <c r="AO42" s="35">
        <f>IF(Tableau4849[[#This Row],[INDEX]]&lt;3,"",Tableau4849[[#This Row],[COMPTE]])</f>
        <v>925832</v>
      </c>
      <c r="AP42" s="35" t="str">
        <f>IF(Tableau4849[[#This Row],[INDEX]]&lt;3,"","NON")</f>
        <v>NON</v>
      </c>
      <c r="AQ42" s="35" t="str">
        <f>IF(Tableau4849[[#This Row],[INDEX]]&lt;3,"",IF(Tableau4849[[#This Row],[0,5]]&lt;0,"NEGATIF",""))</f>
        <v>NEGATIF</v>
      </c>
    </row>
    <row r="43" spans="1:43" x14ac:dyDescent="0.25">
      <c r="A43" s="24">
        <v>37</v>
      </c>
      <c r="B43" s="32">
        <v>44923.377847222226</v>
      </c>
      <c r="C43" s="26">
        <v>925832</v>
      </c>
      <c r="D43" s="24" t="s">
        <v>0</v>
      </c>
      <c r="E43" s="24" t="s">
        <v>47</v>
      </c>
      <c r="F43" s="24">
        <v>1.0653699999999999</v>
      </c>
      <c r="G43" s="26">
        <v>13000</v>
      </c>
      <c r="H43" s="27" t="s">
        <v>175</v>
      </c>
      <c r="I43" s="28" t="str">
        <f>IF(IFERROR(_xlfn.XLOOKUP(Tableau4849[[#This Row],[SL]],'[1]Tickets (2)'!J39:J833,'[1]Tickets (2)'!I42:I836),"")=0,"",IFERROR(_xlfn.XLOOKUP(Tableau4849[[#This Row],[SL]],'[1]Tickets (2)'!J39:J833,'[1]Tickets (2)'!I42:I836),""))</f>
        <v/>
      </c>
      <c r="K4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3" s="33">
        <v>44923.630886574072</v>
      </c>
      <c r="N43" s="3" t="str">
        <f>IF(Tableau4849[[#This Row],[T CLOSE]]&gt;[1]CONFIGURATION!$K$4,Tableau4849[[#This Row],[IDENTITE]],"")</f>
        <v/>
      </c>
      <c r="O43" s="26">
        <f>IFERROR(Tableau4849[[#This Row],[SL]]/(Tableau4849[[#This Row],[VOLUME]]/$I$5),0)</f>
        <v>0</v>
      </c>
      <c r="P43" s="26" t="str">
        <f>Tableau4849[[#This Row],[COMMAND]]</f>
        <v>BUY</v>
      </c>
      <c r="Q4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1.20231 M1M1</v>
      </c>
      <c r="R43" s="29">
        <v>-366</v>
      </c>
      <c r="S43" s="26" t="str">
        <f>IF(Tableau4849[[#This Row],[ETAT]]="LOSE",IF(IFERROR(ABS(SUBSTITUTE(Tableau4849[[#This Row],[PRICE]],".",",")-'[1]Deal ticket'!$B$16)*1000,"")&lt;=$S$5,"GO","WAIT"),"")</f>
        <v/>
      </c>
      <c r="T4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3" s="34" t="str">
        <f>IF(Tableau4849[[#This Row],[ETAT]]="LOSE",IF(IFERROR(ABS(SUBSTITUTE(Tableau4849[[#This Row],[PRICE]],".",",")-'[1]Deal ticket'!$B$16)*1000,"")&lt;=$U$5,"GO","WAIT"),"")</f>
        <v/>
      </c>
      <c r="V43" s="26">
        <f>IF(Tableau4849[[#This Row],[INDEX]]&lt;3,"",SUMIFS(Tableau4849[SL],Tableau4849[Colonne5],Tableau4849[[#This Row],[Colonne5]])+$S$4)</f>
        <v>1</v>
      </c>
      <c r="W43" s="34" t="str">
        <f>IF(Tableau4849[[#This Row],[ETAT]]="LOSE",IF(IFERROR(ABS(SUBSTITUTE(Tableau4849[[#This Row],[PRICE]],".",",")-'[1]Deal ticket'!$B$16)*1000,"")&lt;=$W$5,"GO","WAIT"),"")</f>
        <v/>
      </c>
      <c r="X4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43" s="26">
        <f>IF(AND(Tableau4849[[#This Row],[3,8]]=1),Tableau4849[[#This Row],[INDEX]],"")</f>
        <v>37</v>
      </c>
      <c r="AC43" s="26" t="str">
        <f ca="1">IF(IFERROR(_xlfn.XLOOKUP(Tableau4849[[#This Row],[IDENTITE]],[1]!Tableau47[GLOBUY],[1]!Tableau47[GLOBUY]),"")="","",1)</f>
        <v/>
      </c>
      <c r="AD43" s="26" t="str">
        <f>IF(IFERROR(_xlfn.XLOOKUP(Tableau4849[[#This Row],[IDENTITE]],[1]!Tableau47[GLOSELL],[1]!Tableau47[GLOSELL]),"")="","",1)</f>
        <v/>
      </c>
      <c r="AE43" s="26"/>
      <c r="AF43" s="26">
        <f>IF(Tableau4849[[#This Row],[INDEX]]&lt;3,"",IF(Tableau4849[[#This Row],[COMMAND]]="","",IF('[1]Bar history'!$AA$33=1,1,"")))</f>
        <v>1</v>
      </c>
      <c r="AG43" s="26"/>
      <c r="AH43" s="26" t="str">
        <f>IF(IFERROR(_xlfn.XLOOKUP(Tableau4849[[#This Row],[IDENTITE]],[1]!Tableau47[COMMENTAIRE],[1]!Tableau47[CLOTURE]),"")=[1]PARAMETRE!$BK$31,Tableau4849[[#This Row],[INDEX]],"")</f>
        <v/>
      </c>
      <c r="AI43" s="26"/>
      <c r="AJ43" s="35" t="str">
        <f>IF(AND(ISNUMBER(SEARCH("BUY",Tableau4849[[#This Row],[COMMAND]]))),"BUYSTOP",IF(AND(ISNUMBER(SEARCH("SELL",Tableau4849[[#This Row],[COMMAND]]))),"SELLSTOP",""))</f>
        <v>BUYSTOP</v>
      </c>
      <c r="AK43" s="35" t="str">
        <f>IFERROR(SUBSTITUTE(Tableau4849[[#This Row],[PRICE]],",","."),"")</f>
        <v>1.06537</v>
      </c>
      <c r="AL43" s="35" t="str">
        <f>IF(Tableau4849[[#This Row],[INDEX]]&lt;3,"",Tableau4849[[#This Row],[IDENTITE]])</f>
        <v>1 RBRB B 1.20231 M1M1</v>
      </c>
      <c r="AM43" s="35" t="str">
        <f>IF(Tableau4849[[#This Row],[INDEX]]&lt;3,"",Tableau4849[[#This Row],[DEVISE]])</f>
        <v>EURUSD</v>
      </c>
      <c r="AN43" s="35">
        <f>IFERROR(IF(Tableau4849[[#This Row],[INDEX]]&lt;3,"",Tableau4849[[#This Row],[ATTEINT]]),100000)</f>
        <v>100000</v>
      </c>
      <c r="AO43" s="35">
        <f>IF(Tableau4849[[#This Row],[INDEX]]&lt;3,"",Tableau4849[[#This Row],[COMPTE]])</f>
        <v>925832</v>
      </c>
      <c r="AP43" s="35" t="str">
        <f>IF(Tableau4849[[#This Row],[INDEX]]&lt;3,"","NON")</f>
        <v>NON</v>
      </c>
      <c r="AQ43" s="35" t="str">
        <f>IF(Tableau4849[[#This Row],[INDEX]]&lt;3,"",IF(Tableau4849[[#This Row],[0,5]]&lt;0,"NEGATIF",""))</f>
        <v>NEGATIF</v>
      </c>
    </row>
    <row r="44" spans="1:43" x14ac:dyDescent="0.25">
      <c r="A44" s="24">
        <v>38</v>
      </c>
      <c r="B44" s="32">
        <v>44923.371701388889</v>
      </c>
      <c r="C44" s="26">
        <v>925832</v>
      </c>
      <c r="D44" s="24" t="s">
        <v>0</v>
      </c>
      <c r="E44" s="24" t="s">
        <v>47</v>
      </c>
      <c r="F44" s="24">
        <v>1.0653900000000001</v>
      </c>
      <c r="G44" s="26">
        <v>9000</v>
      </c>
      <c r="H44" s="27" t="s">
        <v>176</v>
      </c>
      <c r="I44" s="28" t="str">
        <f>IF(IFERROR(_xlfn.XLOOKUP(Tableau4849[[#This Row],[SL]],'[1]Tickets (2)'!J40:J834,'[1]Tickets (2)'!I43:I837),"")=0,"",IFERROR(_xlfn.XLOOKUP(Tableau4849[[#This Row],[SL]],'[1]Tickets (2)'!J40:J834,'[1]Tickets (2)'!I43:I837),""))</f>
        <v/>
      </c>
      <c r="K4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4" s="33">
        <v>44923.630886574072</v>
      </c>
      <c r="N44" s="3" t="str">
        <f>IF(Tableau4849[[#This Row],[T CLOSE]]&gt;[1]CONFIGURATION!$K$4,Tableau4849[[#This Row],[IDENTITE]],"")</f>
        <v/>
      </c>
      <c r="O44" s="26">
        <f>IFERROR(Tableau4849[[#This Row],[SL]]/(Tableau4849[[#This Row],[VOLUME]]/$I$5),0)</f>
        <v>0</v>
      </c>
      <c r="P44" s="26" t="str">
        <f>Tableau4849[[#This Row],[COMMAND]]</f>
        <v>BUY</v>
      </c>
      <c r="Q4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1.2022 M1M1</v>
      </c>
      <c r="R44" s="29">
        <v>-376</v>
      </c>
      <c r="S44" s="26" t="str">
        <f>IF(Tableau4849[[#This Row],[ETAT]]="LOSE",IF(IFERROR(ABS(SUBSTITUTE(Tableau4849[[#This Row],[PRICE]],".",",")-'[1]Deal ticket'!$B$16)*1000,"")&lt;=$S$5,"GO","WAIT"),"")</f>
        <v/>
      </c>
      <c r="T4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4" s="34" t="str">
        <f>IF(Tableau4849[[#This Row],[ETAT]]="LOSE",IF(IFERROR(ABS(SUBSTITUTE(Tableau4849[[#This Row],[PRICE]],".",",")-'[1]Deal ticket'!$B$16)*1000,"")&lt;=$U$5,"GO","WAIT"),"")</f>
        <v/>
      </c>
      <c r="V44" s="26">
        <f>IF(Tableau4849[[#This Row],[INDEX]]&lt;3,"",SUMIFS(Tableau4849[SL],Tableau4849[Colonne5],Tableau4849[[#This Row],[Colonne5]])+$S$4)</f>
        <v>1</v>
      </c>
      <c r="W44" s="34" t="str">
        <f>IF(Tableau4849[[#This Row],[ETAT]]="LOSE",IF(IFERROR(ABS(SUBSTITUTE(Tableau4849[[#This Row],[PRICE]],".",",")-'[1]Deal ticket'!$B$16)*1000,"")&lt;=$W$5,"GO","WAIT"),"")</f>
        <v/>
      </c>
      <c r="X4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4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44" s="26">
        <f>IF(AND(Tableau4849[[#This Row],[3,8]]=1),Tableau4849[[#This Row],[INDEX]],"")</f>
        <v>38</v>
      </c>
      <c r="AC44" s="26" t="str">
        <f ca="1">IF(IFERROR(_xlfn.XLOOKUP(Tableau4849[[#This Row],[IDENTITE]],[1]!Tableau47[GLOBUY],[1]!Tableau47[GLOBUY]),"")="","",1)</f>
        <v/>
      </c>
      <c r="AD44" s="26" t="str">
        <f>IF(IFERROR(_xlfn.XLOOKUP(Tableau4849[[#This Row],[IDENTITE]],[1]!Tableau47[GLOSELL],[1]!Tableau47[GLOSELL]),"")="","",1)</f>
        <v/>
      </c>
      <c r="AE44" s="26"/>
      <c r="AF44" s="26">
        <f>IF(Tableau4849[[#This Row],[INDEX]]&lt;3,"",IF(Tableau4849[[#This Row],[COMMAND]]="","",IF('[1]Bar history'!$AA$33=1,1,"")))</f>
        <v>1</v>
      </c>
      <c r="AG44" s="26"/>
      <c r="AH44" s="26" t="str">
        <f>IF(IFERROR(_xlfn.XLOOKUP(Tableau4849[[#This Row],[IDENTITE]],[1]!Tableau47[COMMENTAIRE],[1]!Tableau47[CLOTURE]),"")=[1]PARAMETRE!$BK$31,Tableau4849[[#This Row],[INDEX]],"")</f>
        <v/>
      </c>
      <c r="AI44" s="26"/>
      <c r="AJ44" s="35" t="str">
        <f>IF(AND(ISNUMBER(SEARCH("BUY",Tableau4849[[#This Row],[COMMAND]]))),"BUYSTOP",IF(AND(ISNUMBER(SEARCH("SELL",Tableau4849[[#This Row],[COMMAND]]))),"SELLSTOP",""))</f>
        <v>BUYSTOP</v>
      </c>
      <c r="AK44" s="35" t="str">
        <f>IFERROR(SUBSTITUTE(Tableau4849[[#This Row],[PRICE]],",","."),"")</f>
        <v>1.06539</v>
      </c>
      <c r="AL44" s="35" t="str">
        <f>IF(Tableau4849[[#This Row],[INDEX]]&lt;3,"",Tableau4849[[#This Row],[IDENTITE]])</f>
        <v>1 RBRB B 1.2022 M1M1</v>
      </c>
      <c r="AM44" s="35" t="str">
        <f>IF(Tableau4849[[#This Row],[INDEX]]&lt;3,"",Tableau4849[[#This Row],[DEVISE]])</f>
        <v>EURUSD</v>
      </c>
      <c r="AN44" s="35">
        <f>IFERROR(IF(Tableau4849[[#This Row],[INDEX]]&lt;3,"",Tableau4849[[#This Row],[ATTEINT]]),100000)</f>
        <v>100000</v>
      </c>
      <c r="AO44" s="35">
        <f>IF(Tableau4849[[#This Row],[INDEX]]&lt;3,"",Tableau4849[[#This Row],[COMPTE]])</f>
        <v>925832</v>
      </c>
      <c r="AP44" s="35" t="str">
        <f>IF(Tableau4849[[#This Row],[INDEX]]&lt;3,"","NON")</f>
        <v>NON</v>
      </c>
      <c r="AQ44" s="35" t="str">
        <f>IF(Tableau4849[[#This Row],[INDEX]]&lt;3,"",IF(Tableau4849[[#This Row],[0,5]]&lt;0,"NEGATIF",""))</f>
        <v>NEGATIF</v>
      </c>
    </row>
    <row r="45" spans="1:43" x14ac:dyDescent="0.25">
      <c r="A45" s="24">
        <v>39</v>
      </c>
      <c r="B45" s="32">
        <v>44923.371354166666</v>
      </c>
      <c r="C45" s="26">
        <v>925832</v>
      </c>
      <c r="D45" s="24" t="s">
        <v>0</v>
      </c>
      <c r="E45" s="24" t="s">
        <v>47</v>
      </c>
      <c r="F45" s="24">
        <v>1.06542</v>
      </c>
      <c r="G45" s="26">
        <v>3000</v>
      </c>
      <c r="H45" s="27" t="s">
        <v>6</v>
      </c>
      <c r="I45" s="28" t="str">
        <f>IF(IFERROR(_xlfn.XLOOKUP(Tableau4849[[#This Row],[SL]],'[1]Tickets (2)'!J41:J835,'[1]Tickets (2)'!I44:I838),"")=0,"",IFERROR(_xlfn.XLOOKUP(Tableau4849[[#This Row],[SL]],'[1]Tickets (2)'!J41:J835,'[1]Tickets (2)'!I44:I838),""))</f>
        <v/>
      </c>
      <c r="K4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5" s="33">
        <v>44923.630886574072</v>
      </c>
      <c r="N45" s="3" t="str">
        <f>IF(Tableau4849[[#This Row],[T CLOSE]]&gt;[1]CONFIGURATION!$K$4,Tableau4849[[#This Row],[IDENTITE]],"")</f>
        <v/>
      </c>
      <c r="O45" s="26">
        <f>IFERROR(Tableau4849[[#This Row],[SL]]/(Tableau4849[[#This Row],[VOLUME]]/$I$5),0)</f>
        <v>0</v>
      </c>
      <c r="P45" s="26" t="str">
        <f>Tableau4849[[#This Row],[COMMAND]]</f>
        <v>BUY</v>
      </c>
      <c r="Q4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1.06393 M1M1</v>
      </c>
      <c r="R45" s="29">
        <v>-386</v>
      </c>
      <c r="S45" s="26" t="str">
        <f>IF(Tableau4849[[#This Row],[ETAT]]="LOSE",IF(IFERROR(ABS(SUBSTITUTE(Tableau4849[[#This Row],[PRICE]],".",",")-'[1]Deal ticket'!$B$16)*1000,"")&lt;=$S$5,"GO","WAIT"),"")</f>
        <v/>
      </c>
      <c r="T4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5" s="34" t="str">
        <f>IF(Tableau4849[[#This Row],[ETAT]]="LOSE",IF(IFERROR(ABS(SUBSTITUTE(Tableau4849[[#This Row],[PRICE]],".",",")-'[1]Deal ticket'!$B$16)*1000,"")&lt;=$U$5,"GO","WAIT"),"")</f>
        <v/>
      </c>
      <c r="V45" s="26">
        <f>IF(Tableau4849[[#This Row],[INDEX]]&lt;3,"",SUMIFS(Tableau4849[SL],Tableau4849[Colonne5],Tableau4849[[#This Row],[Colonne5]])+$S$4)</f>
        <v>1</v>
      </c>
      <c r="W45" s="34" t="str">
        <f>IF(Tableau4849[[#This Row],[ETAT]]="LOSE",IF(IFERROR(ABS(SUBSTITUTE(Tableau4849[[#This Row],[PRICE]],".",",")-'[1]Deal ticket'!$B$16)*1000,"")&lt;=$W$5,"GO","WAIT"),"")</f>
        <v/>
      </c>
      <c r="X4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5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45" s="26">
        <f>IF(AND(Tableau4849[[#This Row],[3,8]]=1),Tableau4849[[#This Row],[INDEX]],"")</f>
        <v>39</v>
      </c>
      <c r="AC45" s="26" t="str">
        <f ca="1">IF(IFERROR(_xlfn.XLOOKUP(Tableau4849[[#This Row],[IDENTITE]],[1]!Tableau47[GLOBUY],[1]!Tableau47[GLOBUY]),"")="","",1)</f>
        <v/>
      </c>
      <c r="AD45" s="26" t="str">
        <f>IF(IFERROR(_xlfn.XLOOKUP(Tableau4849[[#This Row],[IDENTITE]],[1]!Tableau47[GLOSELL],[1]!Tableau47[GLOSELL]),"")="","",1)</f>
        <v/>
      </c>
      <c r="AE45" s="26"/>
      <c r="AF45" s="26">
        <f>IF(Tableau4849[[#This Row],[INDEX]]&lt;3,"",IF(Tableau4849[[#This Row],[COMMAND]]="","",IF('[1]Bar history'!$AA$33=1,1,"")))</f>
        <v>1</v>
      </c>
      <c r="AG45" s="26"/>
      <c r="AH45" s="26" t="str">
        <f>IF(IFERROR(_xlfn.XLOOKUP(Tableau4849[[#This Row],[IDENTITE]],[1]!Tableau47[COMMENTAIRE],[1]!Tableau47[CLOTURE]),"")=[1]PARAMETRE!$BK$31,Tableau4849[[#This Row],[INDEX]],"")</f>
        <v/>
      </c>
      <c r="AI45" s="26"/>
      <c r="AJ45" s="35" t="str">
        <f>IF(AND(ISNUMBER(SEARCH("BUY",Tableau4849[[#This Row],[COMMAND]]))),"BUYSTOP",IF(AND(ISNUMBER(SEARCH("SELL",Tableau4849[[#This Row],[COMMAND]]))),"SELLSTOP",""))</f>
        <v>BUYSTOP</v>
      </c>
      <c r="AK45" s="35" t="str">
        <f>IFERROR(SUBSTITUTE(Tableau4849[[#This Row],[PRICE]],",","."),"")</f>
        <v>1.06542</v>
      </c>
      <c r="AL45" s="35" t="str">
        <f>IF(Tableau4849[[#This Row],[INDEX]]&lt;3,"",Tableau4849[[#This Row],[IDENTITE]])</f>
        <v>1 RBRB B 1.06393 M1M1</v>
      </c>
      <c r="AM45" s="35" t="str">
        <f>IF(Tableau4849[[#This Row],[INDEX]]&lt;3,"",Tableau4849[[#This Row],[DEVISE]])</f>
        <v>EURUSD</v>
      </c>
      <c r="AN45" s="35">
        <f>IFERROR(IF(Tableau4849[[#This Row],[INDEX]]&lt;3,"",Tableau4849[[#This Row],[ATTEINT]]),100000)</f>
        <v>100000</v>
      </c>
      <c r="AO45" s="35">
        <f>IF(Tableau4849[[#This Row],[INDEX]]&lt;3,"",Tableau4849[[#This Row],[COMPTE]])</f>
        <v>925832</v>
      </c>
      <c r="AP45" s="35" t="str">
        <f>IF(Tableau4849[[#This Row],[INDEX]]&lt;3,"","NON")</f>
        <v>NON</v>
      </c>
      <c r="AQ45" s="35" t="str">
        <f>IF(Tableau4849[[#This Row],[INDEX]]&lt;3,"",IF(Tableau4849[[#This Row],[0,5]]&lt;0,"NEGATIF",""))</f>
        <v>NEGATIF</v>
      </c>
    </row>
    <row r="46" spans="1:43" x14ac:dyDescent="0.25">
      <c r="A46" s="24">
        <v>40</v>
      </c>
      <c r="B46" s="32">
        <v>44923.370648148149</v>
      </c>
      <c r="C46" s="26">
        <v>925832</v>
      </c>
      <c r="D46" s="24" t="s">
        <v>0</v>
      </c>
      <c r="E46" s="24" t="s">
        <v>47</v>
      </c>
      <c r="F46" s="24">
        <v>1.06551</v>
      </c>
      <c r="G46" s="26">
        <v>52000</v>
      </c>
      <c r="H46" s="27" t="s">
        <v>179</v>
      </c>
      <c r="I46" s="28" t="str">
        <f>IF(IFERROR(_xlfn.XLOOKUP(Tableau4849[[#This Row],[SL]],'[1]Tickets (2)'!J42:J836,'[1]Tickets (2)'!I45:I839),"")=0,"",IFERROR(_xlfn.XLOOKUP(Tableau4849[[#This Row],[SL]],'[1]Tickets (2)'!J42:J836,'[1]Tickets (2)'!I45:I839),""))</f>
        <v/>
      </c>
      <c r="K4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6" s="33">
        <v>44923.630886574072</v>
      </c>
      <c r="N46" s="3" t="str">
        <f>IF(Tableau4849[[#This Row],[T CLOSE]]&gt;[1]CONFIGURATION!$K$4,Tableau4849[[#This Row],[IDENTITE]],"")</f>
        <v/>
      </c>
      <c r="O46" s="26">
        <f>IFERROR(Tableau4849[[#This Row],[SL]]/(Tableau4849[[#This Row],[VOLUME]]/$I$5),0)</f>
        <v>0</v>
      </c>
      <c r="P46" s="26" t="str">
        <f>Tableau4849[[#This Row],[COMMAND]]</f>
        <v>BUY</v>
      </c>
      <c r="Q4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1.06398 M1M1</v>
      </c>
      <c r="R46" s="29">
        <v>-396</v>
      </c>
      <c r="S46" s="26" t="str">
        <f>IF(Tableau4849[[#This Row],[ETAT]]="LOSE",IF(IFERROR(ABS(SUBSTITUTE(Tableau4849[[#This Row],[PRICE]],".",",")-'[1]Deal ticket'!$B$16)*1000,"")&lt;=$S$5,"GO","WAIT"),"")</f>
        <v/>
      </c>
      <c r="T4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6" s="34" t="str">
        <f>IF(Tableau4849[[#This Row],[ETAT]]="LOSE",IF(IFERROR(ABS(SUBSTITUTE(Tableau4849[[#This Row],[PRICE]],".",",")-'[1]Deal ticket'!$B$16)*1000,"")&lt;=$U$5,"GO","WAIT"),"")</f>
        <v/>
      </c>
      <c r="V46" s="26">
        <f>IF(Tableau4849[[#This Row],[INDEX]]&lt;3,"",SUMIFS(Tableau4849[SL],Tableau4849[Colonne5],Tableau4849[[#This Row],[Colonne5]])+$S$4)</f>
        <v>1</v>
      </c>
      <c r="W46" s="34" t="str">
        <f>IF(Tableau4849[[#This Row],[ETAT]]="LOSE",IF(IFERROR(ABS(SUBSTITUTE(Tableau4849[[#This Row],[PRICE]],".",",")-'[1]Deal ticket'!$B$16)*1000,"")&lt;=$W$5,"GO","WAIT"),"")</f>
        <v/>
      </c>
      <c r="X4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6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46" s="26">
        <f>IF(AND(Tableau4849[[#This Row],[3,8]]=1),Tableau4849[[#This Row],[INDEX]],"")</f>
        <v>40</v>
      </c>
      <c r="AC46" s="26" t="str">
        <f ca="1">IF(IFERROR(_xlfn.XLOOKUP(Tableau4849[[#This Row],[IDENTITE]],[1]!Tableau47[GLOBUY],[1]!Tableau47[GLOBUY]),"")="","",1)</f>
        <v/>
      </c>
      <c r="AD46" s="26" t="str">
        <f>IF(IFERROR(_xlfn.XLOOKUP(Tableau4849[[#This Row],[IDENTITE]],[1]!Tableau47[GLOSELL],[1]!Tableau47[GLOSELL]),"")="","",1)</f>
        <v/>
      </c>
      <c r="AE46" s="26"/>
      <c r="AF46" s="26">
        <f>IF(Tableau4849[[#This Row],[INDEX]]&lt;3,"",IF(Tableau4849[[#This Row],[COMMAND]]="","",IF('[1]Bar history'!$AA$33=1,1,"")))</f>
        <v>1</v>
      </c>
      <c r="AG46" s="26"/>
      <c r="AH46" s="26" t="str">
        <f>IF(IFERROR(_xlfn.XLOOKUP(Tableau4849[[#This Row],[IDENTITE]],[1]!Tableau47[COMMENTAIRE],[1]!Tableau47[CLOTURE]),"")=[1]PARAMETRE!$BK$31,Tableau4849[[#This Row],[INDEX]],"")</f>
        <v/>
      </c>
      <c r="AI46" s="26"/>
      <c r="AJ46" s="35" t="str">
        <f>IF(AND(ISNUMBER(SEARCH("BUY",Tableau4849[[#This Row],[COMMAND]]))),"BUYSTOP",IF(AND(ISNUMBER(SEARCH("SELL",Tableau4849[[#This Row],[COMMAND]]))),"SELLSTOP",""))</f>
        <v>BUYSTOP</v>
      </c>
      <c r="AK46" s="35" t="str">
        <f>IFERROR(SUBSTITUTE(Tableau4849[[#This Row],[PRICE]],",","."),"")</f>
        <v>1.06551</v>
      </c>
      <c r="AL46" s="35" t="str">
        <f>IF(Tableau4849[[#This Row],[INDEX]]&lt;3,"",Tableau4849[[#This Row],[IDENTITE]])</f>
        <v>1 RBRB B 1.06398 M1M1</v>
      </c>
      <c r="AM46" s="35" t="str">
        <f>IF(Tableau4849[[#This Row],[INDEX]]&lt;3,"",Tableau4849[[#This Row],[DEVISE]])</f>
        <v>EURUSD</v>
      </c>
      <c r="AN46" s="35">
        <f>IFERROR(IF(Tableau4849[[#This Row],[INDEX]]&lt;3,"",Tableau4849[[#This Row],[ATTEINT]]),100000)</f>
        <v>100000</v>
      </c>
      <c r="AO46" s="35">
        <f>IF(Tableau4849[[#This Row],[INDEX]]&lt;3,"",Tableau4849[[#This Row],[COMPTE]])</f>
        <v>925832</v>
      </c>
      <c r="AP46" s="35" t="str">
        <f>IF(Tableau4849[[#This Row],[INDEX]]&lt;3,"","NON")</f>
        <v>NON</v>
      </c>
      <c r="AQ46" s="35" t="str">
        <f>IF(Tableau4849[[#This Row],[INDEX]]&lt;3,"",IF(Tableau4849[[#This Row],[0,5]]&lt;0,"NEGATIF",""))</f>
        <v>NEGATIF</v>
      </c>
    </row>
    <row r="47" spans="1:43" x14ac:dyDescent="0.25">
      <c r="A47" s="24">
        <v>41</v>
      </c>
      <c r="B47" s="32">
        <v>44923.370300925926</v>
      </c>
      <c r="C47" s="26">
        <v>925832</v>
      </c>
      <c r="D47" s="24" t="s">
        <v>0</v>
      </c>
      <c r="E47" s="24" t="s">
        <v>47</v>
      </c>
      <c r="F47" s="24">
        <v>1.06545</v>
      </c>
      <c r="G47" s="26">
        <v>37000</v>
      </c>
      <c r="H47" s="27" t="s">
        <v>181</v>
      </c>
      <c r="I47" s="28" t="str">
        <f>IF(IFERROR(_xlfn.XLOOKUP(Tableau4849[[#This Row],[SL]],'[1]Tickets (2)'!J43:J837,'[1]Tickets (2)'!I46:I840),"")=0,"",IFERROR(_xlfn.XLOOKUP(Tableau4849[[#This Row],[SL]],'[1]Tickets (2)'!J43:J837,'[1]Tickets (2)'!I46:I840),""))</f>
        <v/>
      </c>
      <c r="K4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7" s="33">
        <v>44923.630886574072</v>
      </c>
      <c r="N47" s="3" t="str">
        <f>IF(Tableau4849[[#This Row],[T CLOSE]]&gt;[1]CONFIGURATION!$K$4,Tableau4849[[#This Row],[IDENTITE]],"")</f>
        <v/>
      </c>
      <c r="O47" s="26">
        <f>IFERROR(Tableau4849[[#This Row],[SL]]/(Tableau4849[[#This Row],[VOLUME]]/$I$5),0)</f>
        <v>0</v>
      </c>
      <c r="P47" s="26" t="str">
        <f>Tableau4849[[#This Row],[COMMAND]]</f>
        <v>BUY</v>
      </c>
      <c r="Q4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1.20282 M1M1</v>
      </c>
      <c r="R47" s="29">
        <v>-406</v>
      </c>
      <c r="S47" s="26" t="str">
        <f>IF(Tableau4849[[#This Row],[ETAT]]="LOSE",IF(IFERROR(ABS(SUBSTITUTE(Tableau4849[[#This Row],[PRICE]],".",",")-'[1]Deal ticket'!$B$16)*1000,"")&lt;=$S$5,"GO","WAIT"),"")</f>
        <v/>
      </c>
      <c r="T4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7" s="34" t="str">
        <f>IF(Tableau4849[[#This Row],[ETAT]]="LOSE",IF(IFERROR(ABS(SUBSTITUTE(Tableau4849[[#This Row],[PRICE]],".",",")-'[1]Deal ticket'!$B$16)*1000,"")&lt;=$U$5,"GO","WAIT"),"")</f>
        <v/>
      </c>
      <c r="V47" s="26">
        <f>IF(Tableau4849[[#This Row],[INDEX]]&lt;3,"",SUMIFS(Tableau4849[SL],Tableau4849[Colonne5],Tableau4849[[#This Row],[Colonne5]])+$S$4)</f>
        <v>1</v>
      </c>
      <c r="W47" s="34" t="str">
        <f>IF(Tableau4849[[#This Row],[ETAT]]="LOSE",IF(IFERROR(ABS(SUBSTITUTE(Tableau4849[[#This Row],[PRICE]],".",",")-'[1]Deal ticket'!$B$16)*1000,"")&lt;=$W$5,"GO","WAIT"),"")</f>
        <v/>
      </c>
      <c r="X4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47" s="26">
        <f>IF(AND(Tableau4849[[#This Row],[3,8]]=1),Tableau4849[[#This Row],[INDEX]],"")</f>
        <v>41</v>
      </c>
      <c r="AC47" s="26" t="str">
        <f ca="1">IF(IFERROR(_xlfn.XLOOKUP(Tableau4849[[#This Row],[IDENTITE]],[1]!Tableau47[GLOBUY],[1]!Tableau47[GLOBUY]),"")="","",1)</f>
        <v/>
      </c>
      <c r="AD47" s="26" t="str">
        <f>IF(IFERROR(_xlfn.XLOOKUP(Tableau4849[[#This Row],[IDENTITE]],[1]!Tableau47[GLOSELL],[1]!Tableau47[GLOSELL]),"")="","",1)</f>
        <v/>
      </c>
      <c r="AE47" s="26"/>
      <c r="AF47" s="26">
        <f>IF(Tableau4849[[#This Row],[INDEX]]&lt;3,"",IF(Tableau4849[[#This Row],[COMMAND]]="","",IF('[1]Bar history'!$AA$33=1,1,"")))</f>
        <v>1</v>
      </c>
      <c r="AG47" s="26"/>
      <c r="AH47" s="26" t="str">
        <f>IF(IFERROR(_xlfn.XLOOKUP(Tableau4849[[#This Row],[IDENTITE]],[1]!Tableau47[COMMENTAIRE],[1]!Tableau47[CLOTURE]),"")=[1]PARAMETRE!$BK$31,Tableau4849[[#This Row],[INDEX]],"")</f>
        <v/>
      </c>
      <c r="AI47" s="26"/>
      <c r="AJ47" s="35" t="str">
        <f>IF(AND(ISNUMBER(SEARCH("BUY",Tableau4849[[#This Row],[COMMAND]]))),"BUYSTOP",IF(AND(ISNUMBER(SEARCH("SELL",Tableau4849[[#This Row],[COMMAND]]))),"SELLSTOP",""))</f>
        <v>BUYSTOP</v>
      </c>
      <c r="AK47" s="35" t="str">
        <f>IFERROR(SUBSTITUTE(Tableau4849[[#This Row],[PRICE]],",","."),"")</f>
        <v>1.06545</v>
      </c>
      <c r="AL47" s="35" t="str">
        <f>IF(Tableau4849[[#This Row],[INDEX]]&lt;3,"",Tableau4849[[#This Row],[IDENTITE]])</f>
        <v>1 RBRB B 1.20282 M1M1</v>
      </c>
      <c r="AM47" s="35" t="str">
        <f>IF(Tableau4849[[#This Row],[INDEX]]&lt;3,"",Tableau4849[[#This Row],[DEVISE]])</f>
        <v>EURUSD</v>
      </c>
      <c r="AN47" s="35">
        <f>IFERROR(IF(Tableau4849[[#This Row],[INDEX]]&lt;3,"",Tableau4849[[#This Row],[ATTEINT]]),100000)</f>
        <v>100000</v>
      </c>
      <c r="AO47" s="35">
        <f>IF(Tableau4849[[#This Row],[INDEX]]&lt;3,"",Tableau4849[[#This Row],[COMPTE]])</f>
        <v>925832</v>
      </c>
      <c r="AP47" s="35" t="str">
        <f>IF(Tableau4849[[#This Row],[INDEX]]&lt;3,"","NON")</f>
        <v>NON</v>
      </c>
      <c r="AQ47" s="35" t="str">
        <f>IF(Tableau4849[[#This Row],[INDEX]]&lt;3,"",IF(Tableau4849[[#This Row],[0,5]]&lt;0,"NEGATIF",""))</f>
        <v>NEGATIF</v>
      </c>
    </row>
    <row r="48" spans="1:43" x14ac:dyDescent="0.25">
      <c r="A48" s="24">
        <v>42</v>
      </c>
      <c r="B48" s="32">
        <v>44923.370023148149</v>
      </c>
      <c r="C48" s="26">
        <v>925832</v>
      </c>
      <c r="D48" s="24" t="s">
        <v>0</v>
      </c>
      <c r="E48" s="24" t="s">
        <v>47</v>
      </c>
      <c r="F48" s="24">
        <v>1.0654399999999999</v>
      </c>
      <c r="G48" s="26">
        <v>24000</v>
      </c>
      <c r="H48" s="27" t="s">
        <v>183</v>
      </c>
      <c r="I48" s="28" t="str">
        <f>IF(IFERROR(_xlfn.XLOOKUP(Tableau4849[[#This Row],[SL]],'[1]Tickets (2)'!J44:J838,'[1]Tickets (2)'!I47:I841),"")=0,"",IFERROR(_xlfn.XLOOKUP(Tableau4849[[#This Row],[SL]],'[1]Tickets (2)'!J44:J838,'[1]Tickets (2)'!I47:I841),""))</f>
        <v/>
      </c>
      <c r="K4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8" s="33">
        <v>44923.630886574072</v>
      </c>
      <c r="N48" s="3" t="str">
        <f>IF(Tableau4849[[#This Row],[T CLOSE]]&gt;[1]CONFIGURATION!$K$4,Tableau4849[[#This Row],[IDENTITE]],"")</f>
        <v/>
      </c>
      <c r="O48" s="26">
        <f>IFERROR(Tableau4849[[#This Row],[SL]]/(Tableau4849[[#This Row],[VOLUME]]/$I$5),0)</f>
        <v>0</v>
      </c>
      <c r="P48" s="26" t="str">
        <f>Tableau4849[[#This Row],[COMMAND]]</f>
        <v>BUY</v>
      </c>
      <c r="Q4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1.20257 M1M1</v>
      </c>
      <c r="R48" s="29">
        <v>-416</v>
      </c>
      <c r="S48" s="26" t="str">
        <f>IF(Tableau4849[[#This Row],[ETAT]]="LOSE",IF(IFERROR(ABS(SUBSTITUTE(Tableau4849[[#This Row],[PRICE]],".",",")-'[1]Deal ticket'!$B$16)*1000,"")&lt;=$S$5,"GO","WAIT"),"")</f>
        <v/>
      </c>
      <c r="T4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8" s="34" t="str">
        <f>IF(Tableau4849[[#This Row],[ETAT]]="LOSE",IF(IFERROR(ABS(SUBSTITUTE(Tableau4849[[#This Row],[PRICE]],".",",")-'[1]Deal ticket'!$B$16)*1000,"")&lt;=$U$5,"GO","WAIT"),"")</f>
        <v/>
      </c>
      <c r="V48" s="26">
        <f>IF(Tableau4849[[#This Row],[INDEX]]&lt;3,"",SUMIFS(Tableau4849[SL],Tableau4849[Colonne5],Tableau4849[[#This Row],[Colonne5]])+$S$4)</f>
        <v>1</v>
      </c>
      <c r="W48" s="34" t="str">
        <f>IF(Tableau4849[[#This Row],[ETAT]]="LOSE",IF(IFERROR(ABS(SUBSTITUTE(Tableau4849[[#This Row],[PRICE]],".",",")-'[1]Deal ticket'!$B$16)*1000,"")&lt;=$W$5,"GO","WAIT"),"")</f>
        <v/>
      </c>
      <c r="X4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48" s="26">
        <f>IF(AND(Tableau4849[[#This Row],[3,8]]=1),Tableau4849[[#This Row],[INDEX]],"")</f>
        <v>42</v>
      </c>
      <c r="AC48" s="26" t="str">
        <f ca="1">IF(IFERROR(_xlfn.XLOOKUP(Tableau4849[[#This Row],[IDENTITE]],[1]!Tableau47[GLOBUY],[1]!Tableau47[GLOBUY]),"")="","",1)</f>
        <v/>
      </c>
      <c r="AD48" s="26" t="str">
        <f>IF(IFERROR(_xlfn.XLOOKUP(Tableau4849[[#This Row],[IDENTITE]],[1]!Tableau47[GLOSELL],[1]!Tableau47[GLOSELL]),"")="","",1)</f>
        <v/>
      </c>
      <c r="AE48" s="26"/>
      <c r="AF48" s="26">
        <f>IF(Tableau4849[[#This Row],[INDEX]]&lt;3,"",IF(Tableau4849[[#This Row],[COMMAND]]="","",IF('[1]Bar history'!$AA$33=1,1,"")))</f>
        <v>1</v>
      </c>
      <c r="AG48" s="26"/>
      <c r="AH48" s="26" t="str">
        <f>IF(IFERROR(_xlfn.XLOOKUP(Tableau4849[[#This Row],[IDENTITE]],[1]!Tableau47[COMMENTAIRE],[1]!Tableau47[CLOTURE]),"")=[1]PARAMETRE!$BK$31,Tableau4849[[#This Row],[INDEX]],"")</f>
        <v/>
      </c>
      <c r="AI48" s="26"/>
      <c r="AJ48" s="35" t="str">
        <f>IF(AND(ISNUMBER(SEARCH("BUY",Tableau4849[[#This Row],[COMMAND]]))),"BUYSTOP",IF(AND(ISNUMBER(SEARCH("SELL",Tableau4849[[#This Row],[COMMAND]]))),"SELLSTOP",""))</f>
        <v>BUYSTOP</v>
      </c>
      <c r="AK48" s="35" t="str">
        <f>IFERROR(SUBSTITUTE(Tableau4849[[#This Row],[PRICE]],",","."),"")</f>
        <v>1.06544</v>
      </c>
      <c r="AL48" s="35" t="str">
        <f>IF(Tableau4849[[#This Row],[INDEX]]&lt;3,"",Tableau4849[[#This Row],[IDENTITE]])</f>
        <v>1 RBRB B 1.20257 M1M1</v>
      </c>
      <c r="AM48" s="35" t="str">
        <f>IF(Tableau4849[[#This Row],[INDEX]]&lt;3,"",Tableau4849[[#This Row],[DEVISE]])</f>
        <v>EURUSD</v>
      </c>
      <c r="AN48" s="35">
        <f>IFERROR(IF(Tableau4849[[#This Row],[INDEX]]&lt;3,"",Tableau4849[[#This Row],[ATTEINT]]),100000)</f>
        <v>100000</v>
      </c>
      <c r="AO48" s="35">
        <f>IF(Tableau4849[[#This Row],[INDEX]]&lt;3,"",Tableau4849[[#This Row],[COMPTE]])</f>
        <v>925832</v>
      </c>
      <c r="AP48" s="35" t="str">
        <f>IF(Tableau4849[[#This Row],[INDEX]]&lt;3,"","NON")</f>
        <v>NON</v>
      </c>
      <c r="AQ48" s="35" t="str">
        <f>IF(Tableau4849[[#This Row],[INDEX]]&lt;3,"",IF(Tableau4849[[#This Row],[0,5]]&lt;0,"NEGATIF",""))</f>
        <v>NEGATIF</v>
      </c>
    </row>
    <row r="49" spans="1:43" x14ac:dyDescent="0.25">
      <c r="A49" s="24">
        <v>43</v>
      </c>
      <c r="B49" s="32">
        <v>44923.369791666664</v>
      </c>
      <c r="C49" s="26">
        <v>925832</v>
      </c>
      <c r="D49" s="24" t="s">
        <v>0</v>
      </c>
      <c r="E49" s="24" t="s">
        <v>47</v>
      </c>
      <c r="F49" s="24">
        <v>1.06545</v>
      </c>
      <c r="G49" s="26">
        <v>24000</v>
      </c>
      <c r="H49" s="27" t="s">
        <v>184</v>
      </c>
      <c r="I49" s="28" t="str">
        <f>IF(IFERROR(_xlfn.XLOOKUP(Tableau4849[[#This Row],[SL]],'[1]Tickets (2)'!J45:J839,'[1]Tickets (2)'!I48:I842),"")=0,"",IFERROR(_xlfn.XLOOKUP(Tableau4849[[#This Row],[SL]],'[1]Tickets (2)'!J45:J839,'[1]Tickets (2)'!I48:I842),""))</f>
        <v/>
      </c>
      <c r="K4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49" s="33">
        <v>44923.630886574072</v>
      </c>
      <c r="N49" s="3" t="str">
        <f>IF(Tableau4849[[#This Row],[T CLOSE]]&gt;[1]CONFIGURATION!$K$4,Tableau4849[[#This Row],[IDENTITE]],"")</f>
        <v/>
      </c>
      <c r="O49" s="26">
        <f>IFERROR(Tableau4849[[#This Row],[SL]]/(Tableau4849[[#This Row],[VOLUME]]/$I$5),0)</f>
        <v>0</v>
      </c>
      <c r="P49" s="26" t="str">
        <f>Tableau4849[[#This Row],[COMMAND]]</f>
        <v>BUY</v>
      </c>
      <c r="Q4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1.20245 M1M1</v>
      </c>
      <c r="R49" s="29">
        <v>12</v>
      </c>
      <c r="S49" s="26" t="str">
        <f>IF(Tableau4849[[#This Row],[ETAT]]="LOSE",IF(IFERROR(ABS(SUBSTITUTE(Tableau4849[[#This Row],[PRICE]],".",",")-'[1]Deal ticket'!$B$16)*1000,"")&lt;=$S$5,"GO","WAIT"),"")</f>
        <v/>
      </c>
      <c r="T4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49" s="34" t="str">
        <f>IF(Tableau4849[[#This Row],[ETAT]]="LOSE",IF(IFERROR(ABS(SUBSTITUTE(Tableau4849[[#This Row],[PRICE]],".",",")-'[1]Deal ticket'!$B$16)*1000,"")&lt;=$U$5,"GO","WAIT"),"")</f>
        <v/>
      </c>
      <c r="V49" s="26">
        <f>IF(Tableau4849[[#This Row],[INDEX]]&lt;3,"",SUMIFS(Tableau4849[SL],Tableau4849[Colonne5],Tableau4849[[#This Row],[Colonne5]])+$S$4)</f>
        <v>1</v>
      </c>
      <c r="W49" s="34" t="str">
        <f>IF(Tableau4849[[#This Row],[ETAT]]="LOSE",IF(IFERROR(ABS(SUBSTITUTE(Tableau4849[[#This Row],[PRICE]],".",",")-'[1]Deal ticket'!$B$16)*1000,"")&lt;=$W$5,"GO","WAIT"),"")</f>
        <v/>
      </c>
      <c r="X4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4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4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49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49" s="26" t="str">
        <f>IF(AND(Tableau4849[[#This Row],[3,8]]=1),Tableau4849[[#This Row],[INDEX]],"")</f>
        <v/>
      </c>
      <c r="AC49" s="26" t="str">
        <f ca="1">IF(IFERROR(_xlfn.XLOOKUP(Tableau4849[[#This Row],[IDENTITE]],[1]!Tableau47[GLOBUY],[1]!Tableau47[GLOBUY]),"")="","",1)</f>
        <v/>
      </c>
      <c r="AD49" s="26" t="str">
        <f>IF(IFERROR(_xlfn.XLOOKUP(Tableau4849[[#This Row],[IDENTITE]],[1]!Tableau47[GLOSELL],[1]!Tableau47[GLOSELL]),"")="","",1)</f>
        <v/>
      </c>
      <c r="AE49" s="26"/>
      <c r="AF49" s="26">
        <f>IF(Tableau4849[[#This Row],[INDEX]]&lt;3,"",IF(Tableau4849[[#This Row],[COMMAND]]="","",IF('[1]Bar history'!$AA$33=1,1,"")))</f>
        <v>1</v>
      </c>
      <c r="AG49" s="26"/>
      <c r="AH49" s="26" t="str">
        <f>IF(IFERROR(_xlfn.XLOOKUP(Tableau4849[[#This Row],[IDENTITE]],[1]!Tableau47[COMMENTAIRE],[1]!Tableau47[CLOTURE]),"")=[1]PARAMETRE!$BK$31,Tableau4849[[#This Row],[INDEX]],"")</f>
        <v/>
      </c>
      <c r="AI49" s="26"/>
      <c r="AJ49" s="35" t="str">
        <f>IF(AND(ISNUMBER(SEARCH("BUY",Tableau4849[[#This Row],[COMMAND]]))),"BUYSTOP",IF(AND(ISNUMBER(SEARCH("SELL",Tableau4849[[#This Row],[COMMAND]]))),"SELLSTOP",""))</f>
        <v>BUYSTOP</v>
      </c>
      <c r="AK49" s="35" t="str">
        <f>IFERROR(SUBSTITUTE(Tableau4849[[#This Row],[PRICE]],",","."),"")</f>
        <v>1.06545</v>
      </c>
      <c r="AL49" s="35" t="str">
        <f>IF(Tableau4849[[#This Row],[INDEX]]&lt;3,"",Tableau4849[[#This Row],[IDENTITE]])</f>
        <v>1 RBRB B 1.20245 M1M1</v>
      </c>
      <c r="AM49" s="35" t="str">
        <f>IF(Tableau4849[[#This Row],[INDEX]]&lt;3,"",Tableau4849[[#This Row],[DEVISE]])</f>
        <v>EURUSD</v>
      </c>
      <c r="AN49" s="35">
        <f>IFERROR(IF(Tableau4849[[#This Row],[INDEX]]&lt;3,"",Tableau4849[[#This Row],[ATTEINT]]),100000)</f>
        <v>100000</v>
      </c>
      <c r="AO49" s="35">
        <f>IF(Tableau4849[[#This Row],[INDEX]]&lt;3,"",Tableau4849[[#This Row],[COMPTE]])</f>
        <v>925832</v>
      </c>
      <c r="AP49" s="35" t="str">
        <f>IF(Tableau4849[[#This Row],[INDEX]]&lt;3,"","NON")</f>
        <v>NON</v>
      </c>
      <c r="AQ49" s="35" t="str">
        <f>IF(Tableau4849[[#This Row],[INDEX]]&lt;3,"",IF(Tableau4849[[#This Row],[0,5]]&lt;0,"NEGATIF",""))</f>
        <v/>
      </c>
    </row>
    <row r="50" spans="1:43" x14ac:dyDescent="0.25">
      <c r="A50" s="24">
        <v>44</v>
      </c>
      <c r="B50" s="32">
        <v>44923.369537037041</v>
      </c>
      <c r="C50" s="26">
        <v>925832</v>
      </c>
      <c r="D50" s="24" t="s">
        <v>0</v>
      </c>
      <c r="E50" s="24" t="s">
        <v>47</v>
      </c>
      <c r="F50" s="24">
        <v>1.0654300000000001</v>
      </c>
      <c r="G50" s="26">
        <v>8000</v>
      </c>
      <c r="H50" s="27" t="s">
        <v>186</v>
      </c>
      <c r="I50" s="28" t="str">
        <f>IF(IFERROR(_xlfn.XLOOKUP(Tableau4849[[#This Row],[SL]],'[1]Tickets (2)'!J46:J840,'[1]Tickets (2)'!I49:I843),"")=0,"",IFERROR(_xlfn.XLOOKUP(Tableau4849[[#This Row],[SL]],'[1]Tickets (2)'!J46:J840,'[1]Tickets (2)'!I49:I843),""))</f>
        <v/>
      </c>
      <c r="K5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0" s="33">
        <v>44923.630886574072</v>
      </c>
      <c r="N50" s="3" t="str">
        <f>IF(Tableau4849[[#This Row],[T CLOSE]]&gt;[1]CONFIGURATION!$K$4,Tableau4849[[#This Row],[IDENTITE]],"")</f>
        <v/>
      </c>
      <c r="O50" s="26">
        <f>IFERROR(Tableau4849[[#This Row],[SL]]/(Tableau4849[[#This Row],[VOLUME]]/$I$5),0)</f>
        <v>0</v>
      </c>
      <c r="P50" s="26" t="str">
        <f>Tableau4849[[#This Row],[COMMAND]]</f>
        <v>BUY</v>
      </c>
      <c r="Q5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1.20313 M1M1</v>
      </c>
      <c r="R50" s="29">
        <v>13</v>
      </c>
      <c r="S50" s="26" t="str">
        <f>IF(Tableau4849[[#This Row],[ETAT]]="LOSE",IF(IFERROR(ABS(SUBSTITUTE(Tableau4849[[#This Row],[PRICE]],".",",")-'[1]Deal ticket'!$B$16)*1000,"")&lt;=$S$5,"GO","WAIT"),"")</f>
        <v/>
      </c>
      <c r="T5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0" s="34" t="str">
        <f>IF(Tableau4849[[#This Row],[ETAT]]="LOSE",IF(IFERROR(ABS(SUBSTITUTE(Tableau4849[[#This Row],[PRICE]],".",",")-'[1]Deal ticket'!$B$16)*1000,"")&lt;=$U$5,"GO","WAIT"),"")</f>
        <v/>
      </c>
      <c r="V50" s="26">
        <f>IF(Tableau4849[[#This Row],[INDEX]]&lt;3,"",SUMIFS(Tableau4849[SL],Tableau4849[Colonne5],Tableau4849[[#This Row],[Colonne5]])+$S$4)</f>
        <v>1</v>
      </c>
      <c r="W50" s="34" t="str">
        <f>IF(Tableau4849[[#This Row],[ETAT]]="LOSE",IF(IFERROR(ABS(SUBSTITUTE(Tableau4849[[#This Row],[PRICE]],".",",")-'[1]Deal ticket'!$B$16)*1000,"")&lt;=$W$5,"GO","WAIT"),"")</f>
        <v/>
      </c>
      <c r="X5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0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50" s="26" t="str">
        <f>IF(AND(Tableau4849[[#This Row],[3,8]]=1),Tableau4849[[#This Row],[INDEX]],"")</f>
        <v/>
      </c>
      <c r="AC50" s="26" t="str">
        <f ca="1">IF(IFERROR(_xlfn.XLOOKUP(Tableau4849[[#This Row],[IDENTITE]],[1]!Tableau47[GLOBUY],[1]!Tableau47[GLOBUY]),"")="","",1)</f>
        <v/>
      </c>
      <c r="AD50" s="26" t="str">
        <f>IF(IFERROR(_xlfn.XLOOKUP(Tableau4849[[#This Row],[IDENTITE]],[1]!Tableau47[GLOSELL],[1]!Tableau47[GLOSELL]),"")="","",1)</f>
        <v/>
      </c>
      <c r="AE50" s="26"/>
      <c r="AF50" s="26">
        <f>IF(Tableau4849[[#This Row],[INDEX]]&lt;3,"",IF(Tableau4849[[#This Row],[COMMAND]]="","",IF('[1]Bar history'!$AA$33=1,1,"")))</f>
        <v>1</v>
      </c>
      <c r="AG50" s="26"/>
      <c r="AH50" s="26" t="str">
        <f>IF(IFERROR(_xlfn.XLOOKUP(Tableau4849[[#This Row],[IDENTITE]],[1]!Tableau47[COMMENTAIRE],[1]!Tableau47[CLOTURE]),"")=[1]PARAMETRE!$BK$31,Tableau4849[[#This Row],[INDEX]],"")</f>
        <v/>
      </c>
      <c r="AI50" s="26"/>
      <c r="AJ50" s="35" t="str">
        <f>IF(AND(ISNUMBER(SEARCH("BUY",Tableau4849[[#This Row],[COMMAND]]))),"BUYSTOP",IF(AND(ISNUMBER(SEARCH("SELL",Tableau4849[[#This Row],[COMMAND]]))),"SELLSTOP",""))</f>
        <v>BUYSTOP</v>
      </c>
      <c r="AK50" s="35" t="str">
        <f>IFERROR(SUBSTITUTE(Tableau4849[[#This Row],[PRICE]],",","."),"")</f>
        <v>1.06543</v>
      </c>
      <c r="AL50" s="35" t="str">
        <f>IF(Tableau4849[[#This Row],[INDEX]]&lt;3,"",Tableau4849[[#This Row],[IDENTITE]])</f>
        <v>1 RBRB B 1.20313 M1M1</v>
      </c>
      <c r="AM50" s="35" t="str">
        <f>IF(Tableau4849[[#This Row],[INDEX]]&lt;3,"",Tableau4849[[#This Row],[DEVISE]])</f>
        <v>EURUSD</v>
      </c>
      <c r="AN50" s="35">
        <f>IFERROR(IF(Tableau4849[[#This Row],[INDEX]]&lt;3,"",Tableau4849[[#This Row],[ATTEINT]]),100000)</f>
        <v>100000</v>
      </c>
      <c r="AO50" s="35">
        <f>IF(Tableau4849[[#This Row],[INDEX]]&lt;3,"",Tableau4849[[#This Row],[COMPTE]])</f>
        <v>925832</v>
      </c>
      <c r="AP50" s="35" t="str">
        <f>IF(Tableau4849[[#This Row],[INDEX]]&lt;3,"","NON")</f>
        <v>NON</v>
      </c>
      <c r="AQ50" s="35" t="str">
        <f>IF(Tableau4849[[#This Row],[INDEX]]&lt;3,"",IF(Tableau4849[[#This Row],[0,5]]&lt;0,"NEGATIF",""))</f>
        <v/>
      </c>
    </row>
    <row r="51" spans="1:43" x14ac:dyDescent="0.25">
      <c r="A51" s="24">
        <v>45</v>
      </c>
      <c r="B51" s="32">
        <v>44923.368900462963</v>
      </c>
      <c r="C51" s="26">
        <v>925832</v>
      </c>
      <c r="D51" s="24" t="s">
        <v>0</v>
      </c>
      <c r="E51" s="24" t="s">
        <v>47</v>
      </c>
      <c r="F51" s="24">
        <v>1.0655300000000001</v>
      </c>
      <c r="G51" s="26">
        <v>65000</v>
      </c>
      <c r="H51" s="27" t="s">
        <v>188</v>
      </c>
      <c r="I51" s="28" t="str">
        <f>IF(IFERROR(_xlfn.XLOOKUP(Tableau4849[[#This Row],[SL]],'[1]Tickets (2)'!J47:J841,'[1]Tickets (2)'!I50:I844),"")=0,"",IFERROR(_xlfn.XLOOKUP(Tableau4849[[#This Row],[SL]],'[1]Tickets (2)'!J47:J841,'[1]Tickets (2)'!I50:I844),""))</f>
        <v/>
      </c>
      <c r="K5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1" s="33">
        <v>44923.630886574072</v>
      </c>
      <c r="N51" s="3" t="str">
        <f>IF(Tableau4849[[#This Row],[T CLOSE]]&gt;[1]CONFIGURATION!$K$4,Tableau4849[[#This Row],[IDENTITE]],"")</f>
        <v/>
      </c>
      <c r="O51" s="26">
        <f>IFERROR(Tableau4849[[#This Row],[SL]]/(Tableau4849[[#This Row],[VOLUME]]/$I$5),0)</f>
        <v>0</v>
      </c>
      <c r="P51" s="26" t="str">
        <f>Tableau4849[[#This Row],[COMMAND]]</f>
        <v>BUY</v>
      </c>
      <c r="Q5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1.06403 M1M1</v>
      </c>
      <c r="R51" s="29">
        <v>14</v>
      </c>
      <c r="S51" s="26" t="str">
        <f>IF(Tableau4849[[#This Row],[ETAT]]="LOSE",IF(IFERROR(ABS(SUBSTITUTE(Tableau4849[[#This Row],[PRICE]],".",",")-'[1]Deal ticket'!$B$16)*1000,"")&lt;=$S$5,"GO","WAIT"),"")</f>
        <v/>
      </c>
      <c r="T5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1" s="34" t="str">
        <f>IF(Tableau4849[[#This Row],[ETAT]]="LOSE",IF(IFERROR(ABS(SUBSTITUTE(Tableau4849[[#This Row],[PRICE]],".",",")-'[1]Deal ticket'!$B$16)*1000,"")&lt;=$U$5,"GO","WAIT"),"")</f>
        <v/>
      </c>
      <c r="V51" s="26">
        <f>IF(Tableau4849[[#This Row],[INDEX]]&lt;3,"",SUMIFS(Tableau4849[SL],Tableau4849[Colonne5],Tableau4849[[#This Row],[Colonne5]])+$S$4)</f>
        <v>1</v>
      </c>
      <c r="W51" s="34" t="str">
        <f>IF(Tableau4849[[#This Row],[ETAT]]="LOSE",IF(IFERROR(ABS(SUBSTITUTE(Tableau4849[[#This Row],[PRICE]],".",",")-'[1]Deal ticket'!$B$16)*1000,"")&lt;=$W$5,"GO","WAIT"),"")</f>
        <v/>
      </c>
      <c r="X5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1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51" s="26" t="str">
        <f>IF(AND(Tableau4849[[#This Row],[3,8]]=1),Tableau4849[[#This Row],[INDEX]],"")</f>
        <v/>
      </c>
      <c r="AC51" s="26" t="str">
        <f ca="1">IF(IFERROR(_xlfn.XLOOKUP(Tableau4849[[#This Row],[IDENTITE]],[1]!Tableau47[GLOBUY],[1]!Tableau47[GLOBUY]),"")="","",1)</f>
        <v/>
      </c>
      <c r="AD51" s="26" t="str">
        <f>IF(IFERROR(_xlfn.XLOOKUP(Tableau4849[[#This Row],[IDENTITE]],[1]!Tableau47[GLOSELL],[1]!Tableau47[GLOSELL]),"")="","",1)</f>
        <v/>
      </c>
      <c r="AE51" s="26"/>
      <c r="AF51" s="26">
        <f>IF(Tableau4849[[#This Row],[INDEX]]&lt;3,"",IF(Tableau4849[[#This Row],[COMMAND]]="","",IF('[1]Bar history'!$AA$33=1,1,"")))</f>
        <v>1</v>
      </c>
      <c r="AG51" s="26"/>
      <c r="AH51" s="26" t="str">
        <f>IF(IFERROR(_xlfn.XLOOKUP(Tableau4849[[#This Row],[IDENTITE]],[1]!Tableau47[COMMENTAIRE],[1]!Tableau47[CLOTURE]),"")=[1]PARAMETRE!$BK$31,Tableau4849[[#This Row],[INDEX]],"")</f>
        <v/>
      </c>
      <c r="AI51" s="26"/>
      <c r="AJ51" s="35" t="str">
        <f>IF(AND(ISNUMBER(SEARCH("BUY",Tableau4849[[#This Row],[COMMAND]]))),"BUYSTOP",IF(AND(ISNUMBER(SEARCH("SELL",Tableau4849[[#This Row],[COMMAND]]))),"SELLSTOP",""))</f>
        <v>BUYSTOP</v>
      </c>
      <c r="AK51" s="35" t="str">
        <f>IFERROR(SUBSTITUTE(Tableau4849[[#This Row],[PRICE]],",","."),"")</f>
        <v>1.06553</v>
      </c>
      <c r="AL51" s="35" t="str">
        <f>IF(Tableau4849[[#This Row],[INDEX]]&lt;3,"",Tableau4849[[#This Row],[IDENTITE]])</f>
        <v>1 RBRB B 1.06403 M1M1</v>
      </c>
      <c r="AM51" s="35" t="str">
        <f>IF(Tableau4849[[#This Row],[INDEX]]&lt;3,"",Tableau4849[[#This Row],[DEVISE]])</f>
        <v>EURUSD</v>
      </c>
      <c r="AN51" s="35">
        <f>IFERROR(IF(Tableau4849[[#This Row],[INDEX]]&lt;3,"",Tableau4849[[#This Row],[ATTEINT]]),100000)</f>
        <v>100000</v>
      </c>
      <c r="AO51" s="35">
        <f>IF(Tableau4849[[#This Row],[INDEX]]&lt;3,"",Tableau4849[[#This Row],[COMPTE]])</f>
        <v>925832</v>
      </c>
      <c r="AP51" s="35" t="str">
        <f>IF(Tableau4849[[#This Row],[INDEX]]&lt;3,"","NON")</f>
        <v>NON</v>
      </c>
      <c r="AQ51" s="35" t="str">
        <f>IF(Tableau4849[[#This Row],[INDEX]]&lt;3,"",IF(Tableau4849[[#This Row],[0,5]]&lt;0,"NEGATIF",""))</f>
        <v/>
      </c>
    </row>
    <row r="52" spans="1:43" x14ac:dyDescent="0.25">
      <c r="A52" s="24">
        <v>46</v>
      </c>
      <c r="B52" s="32">
        <v>44923.338703703703</v>
      </c>
      <c r="C52" s="26">
        <v>925832</v>
      </c>
      <c r="D52" s="24" t="s">
        <v>0</v>
      </c>
      <c r="E52" s="24" t="s">
        <v>46</v>
      </c>
      <c r="F52" s="24">
        <v>1.0629500000000001</v>
      </c>
      <c r="G52" s="26">
        <v>4000</v>
      </c>
      <c r="H52" s="27" t="s">
        <v>190</v>
      </c>
      <c r="I52" s="28" t="str">
        <f>IF(IFERROR(_xlfn.XLOOKUP(Tableau4849[[#This Row],[SL]],'[1]Tickets (2)'!J48:J842,'[1]Tickets (2)'!I51:I845),"")=0,"",IFERROR(_xlfn.XLOOKUP(Tableau4849[[#This Row],[SL]],'[1]Tickets (2)'!J48:J842,'[1]Tickets (2)'!I51:I845),""))</f>
        <v/>
      </c>
      <c r="K5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2" s="33">
        <v>44923.630886574072</v>
      </c>
      <c r="N52" s="3" t="str">
        <f>IF(Tableau4849[[#This Row],[T CLOSE]]&gt;[1]CONFIGURATION!$K$4,Tableau4849[[#This Row],[IDENTITE]],"")</f>
        <v/>
      </c>
      <c r="O52" s="26">
        <f>IFERROR(Tableau4849[[#This Row],[SL]]/(Tableau4849[[#This Row],[VOLUME]]/$I$5),0)</f>
        <v>0</v>
      </c>
      <c r="P52" s="26" t="str">
        <f>Tableau4849[[#This Row],[COMMAND]]</f>
        <v>SELL</v>
      </c>
      <c r="Q5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 M1M1</v>
      </c>
      <c r="R52" s="29">
        <v>15</v>
      </c>
      <c r="S52" s="26" t="str">
        <f>IF(Tableau4849[[#This Row],[ETAT]]="LOSE",IF(IFERROR(ABS(SUBSTITUTE(Tableau4849[[#This Row],[PRICE]],".",",")-'[1]Deal ticket'!$B$16)*1000,"")&lt;=$S$5,"GO","WAIT"),"")</f>
        <v/>
      </c>
      <c r="T5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2" s="34" t="str">
        <f>IF(Tableau4849[[#This Row],[ETAT]]="LOSE",IF(IFERROR(ABS(SUBSTITUTE(Tableau4849[[#This Row],[PRICE]],".",",")-'[1]Deal ticket'!$B$16)*1000,"")&lt;=$U$5,"GO","WAIT"),"")</f>
        <v/>
      </c>
      <c r="V52" s="26">
        <f>IF(Tableau4849[[#This Row],[INDEX]]&lt;3,"",SUMIFS(Tableau4849[SL],Tableau4849[Colonne5],Tableau4849[[#This Row],[Colonne5]])+$S$4)</f>
        <v>1</v>
      </c>
      <c r="W52" s="34" t="str">
        <f>IF(Tableau4849[[#This Row],[ETAT]]="LOSE",IF(IFERROR(ABS(SUBSTITUTE(Tableau4849[[#This Row],[PRICE]],".",",")-'[1]Deal ticket'!$B$16)*1000,"")&lt;=$W$5,"GO","WAIT"),"")</f>
        <v/>
      </c>
      <c r="X5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2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52" s="26" t="str">
        <f>IF(AND(Tableau4849[[#This Row],[3,8]]=1),Tableau4849[[#This Row],[INDEX]],"")</f>
        <v/>
      </c>
      <c r="AC52" s="26" t="str">
        <f ca="1">IF(IFERROR(_xlfn.XLOOKUP(Tableau4849[[#This Row],[IDENTITE]],[1]!Tableau47[GLOBUY],[1]!Tableau47[GLOBUY]),"")="","",1)</f>
        <v/>
      </c>
      <c r="AD52" s="26" t="str">
        <f>IF(IFERROR(_xlfn.XLOOKUP(Tableau4849[[#This Row],[IDENTITE]],[1]!Tableau47[GLOSELL],[1]!Tableau47[GLOSELL]),"")="","",1)</f>
        <v/>
      </c>
      <c r="AE52" s="26"/>
      <c r="AF52" s="26">
        <f>IF(Tableau4849[[#This Row],[INDEX]]&lt;3,"",IF(Tableau4849[[#This Row],[COMMAND]]="","",IF('[1]Bar history'!$AA$33=1,1,"")))</f>
        <v>1</v>
      </c>
      <c r="AG52" s="26"/>
      <c r="AH52" s="26" t="str">
        <f>IF(IFERROR(_xlfn.XLOOKUP(Tableau4849[[#This Row],[IDENTITE]],[1]!Tableau47[COMMENTAIRE],[1]!Tableau47[CLOTURE]),"")=[1]PARAMETRE!$BK$31,Tableau4849[[#This Row],[INDEX]],"")</f>
        <v/>
      </c>
      <c r="AI52" s="26"/>
      <c r="AJ52" s="35" t="str">
        <f>IF(AND(ISNUMBER(SEARCH("BUY",Tableau4849[[#This Row],[COMMAND]]))),"BUYSTOP",IF(AND(ISNUMBER(SEARCH("SELL",Tableau4849[[#This Row],[COMMAND]]))),"SELLSTOP",""))</f>
        <v>SELLSTOP</v>
      </c>
      <c r="AK52" s="35" t="str">
        <f>IFERROR(SUBSTITUTE(Tableau4849[[#This Row],[PRICE]],",","."),"")</f>
        <v>1.06295</v>
      </c>
      <c r="AL52" s="35" t="str">
        <f>IF(Tableau4849[[#This Row],[INDEX]]&lt;3,"",Tableau4849[[#This Row],[IDENTITE]])</f>
        <v>1 RSRS S 1.063 M1M1</v>
      </c>
      <c r="AM52" s="35" t="str">
        <f>IF(Tableau4849[[#This Row],[INDEX]]&lt;3,"",Tableau4849[[#This Row],[DEVISE]])</f>
        <v>EURUSD</v>
      </c>
      <c r="AN52" s="35">
        <f>IFERROR(IF(Tableau4849[[#This Row],[INDEX]]&lt;3,"",Tableau4849[[#This Row],[ATTEINT]]),100000)</f>
        <v>100000</v>
      </c>
      <c r="AO52" s="35">
        <f>IF(Tableau4849[[#This Row],[INDEX]]&lt;3,"",Tableau4849[[#This Row],[COMPTE]])</f>
        <v>925832</v>
      </c>
      <c r="AP52" s="35" t="str">
        <f>IF(Tableau4849[[#This Row],[INDEX]]&lt;3,"","NON")</f>
        <v>NON</v>
      </c>
      <c r="AQ52" s="35" t="str">
        <f>IF(Tableau4849[[#This Row],[INDEX]]&lt;3,"",IF(Tableau4849[[#This Row],[0,5]]&lt;0,"NEGATIF",""))</f>
        <v/>
      </c>
    </row>
    <row r="53" spans="1:43" x14ac:dyDescent="0.25">
      <c r="A53" s="24">
        <v>47</v>
      </c>
      <c r="B53" s="32">
        <v>44923.338483796295</v>
      </c>
      <c r="C53" s="26">
        <v>925832</v>
      </c>
      <c r="D53" s="24" t="s">
        <v>0</v>
      </c>
      <c r="E53" s="24" t="s">
        <v>46</v>
      </c>
      <c r="F53" s="24">
        <v>1.06308</v>
      </c>
      <c r="G53" s="26">
        <v>4000</v>
      </c>
      <c r="H53" s="27" t="s">
        <v>191</v>
      </c>
      <c r="I53" s="28" t="str">
        <f>IF(IFERROR(_xlfn.XLOOKUP(Tableau4849[[#This Row],[SL]],'[1]Tickets (2)'!J49:J843,'[1]Tickets (2)'!I52:I846),"")=0,"",IFERROR(_xlfn.XLOOKUP(Tableau4849[[#This Row],[SL]],'[1]Tickets (2)'!J49:J843,'[1]Tickets (2)'!I52:I846),""))</f>
        <v/>
      </c>
      <c r="K5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3" s="33">
        <v>44923.630886574072</v>
      </c>
      <c r="N53" s="3" t="str">
        <f>IF(Tableau4849[[#This Row],[T CLOSE]]&gt;[1]CONFIGURATION!$K$4,Tableau4849[[#This Row],[IDENTITE]],"")</f>
        <v/>
      </c>
      <c r="O53" s="26">
        <f>IFERROR(Tableau4849[[#This Row],[SL]]/(Tableau4849[[#This Row],[VOLUME]]/$I$5),0)</f>
        <v>0</v>
      </c>
      <c r="P53" s="26" t="str">
        <f>Tableau4849[[#This Row],[COMMAND]]</f>
        <v>SELL</v>
      </c>
      <c r="Q5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1.06308 M1M1</v>
      </c>
      <c r="R53" s="29">
        <v>16</v>
      </c>
      <c r="S53" s="26" t="str">
        <f>IF(Tableau4849[[#This Row],[ETAT]]="LOSE",IF(IFERROR(ABS(SUBSTITUTE(Tableau4849[[#This Row],[PRICE]],".",",")-'[1]Deal ticket'!$B$16)*1000,"")&lt;=$S$5,"GO","WAIT"),"")</f>
        <v/>
      </c>
      <c r="T5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3" s="34" t="str">
        <f>IF(Tableau4849[[#This Row],[ETAT]]="LOSE",IF(IFERROR(ABS(SUBSTITUTE(Tableau4849[[#This Row],[PRICE]],".",",")-'[1]Deal ticket'!$B$16)*1000,"")&lt;=$U$5,"GO","WAIT"),"")</f>
        <v/>
      </c>
      <c r="V53" s="26">
        <f>IF(Tableau4849[[#This Row],[INDEX]]&lt;3,"",SUMIFS(Tableau4849[SL],Tableau4849[Colonne5],Tableau4849[[#This Row],[Colonne5]])+$S$4)</f>
        <v>1</v>
      </c>
      <c r="W53" s="34" t="str">
        <f>IF(Tableau4849[[#This Row],[ETAT]]="LOSE",IF(IFERROR(ABS(SUBSTITUTE(Tableau4849[[#This Row],[PRICE]],".",",")-'[1]Deal ticket'!$B$16)*1000,"")&lt;=$W$5,"GO","WAIT"),"")</f>
        <v/>
      </c>
      <c r="X5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3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53" s="26" t="str">
        <f>IF(AND(Tableau4849[[#This Row],[3,8]]=1),Tableau4849[[#This Row],[INDEX]],"")</f>
        <v/>
      </c>
      <c r="AC53" s="26" t="str">
        <f ca="1">IF(IFERROR(_xlfn.XLOOKUP(Tableau4849[[#This Row],[IDENTITE]],[1]!Tableau47[GLOBUY],[1]!Tableau47[GLOBUY]),"")="","",1)</f>
        <v/>
      </c>
      <c r="AD53" s="26" t="str">
        <f>IF(IFERROR(_xlfn.XLOOKUP(Tableau4849[[#This Row],[IDENTITE]],[1]!Tableau47[GLOSELL],[1]!Tableau47[GLOSELL]),"")="","",1)</f>
        <v/>
      </c>
      <c r="AE53" s="26"/>
      <c r="AF53" s="26">
        <f>IF(Tableau4849[[#This Row],[INDEX]]&lt;3,"",IF(Tableau4849[[#This Row],[COMMAND]]="","",IF('[1]Bar history'!$AA$33=1,1,"")))</f>
        <v>1</v>
      </c>
      <c r="AG53" s="26"/>
      <c r="AH53" s="26" t="str">
        <f>IF(IFERROR(_xlfn.XLOOKUP(Tableau4849[[#This Row],[IDENTITE]],[1]!Tableau47[COMMENTAIRE],[1]!Tableau47[CLOTURE]),"")=[1]PARAMETRE!$BK$31,Tableau4849[[#This Row],[INDEX]],"")</f>
        <v/>
      </c>
      <c r="AI53" s="26"/>
      <c r="AJ53" s="35" t="str">
        <f>IF(AND(ISNUMBER(SEARCH("BUY",Tableau4849[[#This Row],[COMMAND]]))),"BUYSTOP",IF(AND(ISNUMBER(SEARCH("SELL",Tableau4849[[#This Row],[COMMAND]]))),"SELLSTOP",""))</f>
        <v>SELLSTOP</v>
      </c>
      <c r="AK53" s="35" t="str">
        <f>IFERROR(SUBSTITUTE(Tableau4849[[#This Row],[PRICE]],",","."),"")</f>
        <v>1.06308</v>
      </c>
      <c r="AL53" s="35" t="str">
        <f>IF(Tableau4849[[#This Row],[INDEX]]&lt;3,"",Tableau4849[[#This Row],[IDENTITE]])</f>
        <v>1 RSRS S 1.06308 M1M1</v>
      </c>
      <c r="AM53" s="35" t="str">
        <f>IF(Tableau4849[[#This Row],[INDEX]]&lt;3,"",Tableau4849[[#This Row],[DEVISE]])</f>
        <v>EURUSD</v>
      </c>
      <c r="AN53" s="35">
        <f>IFERROR(IF(Tableau4849[[#This Row],[INDEX]]&lt;3,"",Tableau4849[[#This Row],[ATTEINT]]),100000)</f>
        <v>100000</v>
      </c>
      <c r="AO53" s="35">
        <f>IF(Tableau4849[[#This Row],[INDEX]]&lt;3,"",Tableau4849[[#This Row],[COMPTE]])</f>
        <v>925832</v>
      </c>
      <c r="AP53" s="35" t="str">
        <f>IF(Tableau4849[[#This Row],[INDEX]]&lt;3,"","NON")</f>
        <v>NON</v>
      </c>
      <c r="AQ53" s="35" t="str">
        <f>IF(Tableau4849[[#This Row],[INDEX]]&lt;3,"",IF(Tableau4849[[#This Row],[0,5]]&lt;0,"NEGATIF",""))</f>
        <v/>
      </c>
    </row>
    <row r="54" spans="1:43" x14ac:dyDescent="0.25">
      <c r="A54" s="24">
        <v>48</v>
      </c>
      <c r="B54" s="32">
        <v>44923.33834490741</v>
      </c>
      <c r="C54" s="26">
        <v>925832</v>
      </c>
      <c r="D54" s="24" t="s">
        <v>0</v>
      </c>
      <c r="E54" s="24" t="s">
        <v>46</v>
      </c>
      <c r="F54" s="24">
        <v>1.0630200000000001</v>
      </c>
      <c r="G54" s="26">
        <v>4000</v>
      </c>
      <c r="H54" s="27" t="s">
        <v>193</v>
      </c>
      <c r="I54" s="28" t="str">
        <f>IF(IFERROR(_xlfn.XLOOKUP(Tableau4849[[#This Row],[SL]],'[1]Tickets (2)'!J50:J844,'[1]Tickets (2)'!I53:I847),"")=0,"",IFERROR(_xlfn.XLOOKUP(Tableau4849[[#This Row],[SL]],'[1]Tickets (2)'!J50:J844,'[1]Tickets (2)'!I53:I847),""))</f>
        <v/>
      </c>
      <c r="K5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4" s="33">
        <v>44923.630886574072</v>
      </c>
      <c r="N54" s="3" t="str">
        <f>IF(Tableau4849[[#This Row],[T CLOSE]]&gt;[1]CONFIGURATION!$K$4,Tableau4849[[#This Row],[IDENTITE]],"")</f>
        <v/>
      </c>
      <c r="O54" s="26">
        <f>IFERROR(Tableau4849[[#This Row],[SL]]/(Tableau4849[[#This Row],[VOLUME]]/$I$5),0)</f>
        <v>0</v>
      </c>
      <c r="P54" s="26" t="str">
        <f>Tableau4849[[#This Row],[COMMAND]]</f>
        <v>SELL</v>
      </c>
      <c r="Q5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1.06302 M1M1</v>
      </c>
      <c r="R54" s="29">
        <v>17</v>
      </c>
      <c r="S54" s="26" t="str">
        <f>IF(Tableau4849[[#This Row],[ETAT]]="LOSE",IF(IFERROR(ABS(SUBSTITUTE(Tableau4849[[#This Row],[PRICE]],".",",")-'[1]Deal ticket'!$B$16)*1000,"")&lt;=$S$5,"GO","WAIT"),"")</f>
        <v/>
      </c>
      <c r="T5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4" s="34" t="str">
        <f>IF(Tableau4849[[#This Row],[ETAT]]="LOSE",IF(IFERROR(ABS(SUBSTITUTE(Tableau4849[[#This Row],[PRICE]],".",",")-'[1]Deal ticket'!$B$16)*1000,"")&lt;=$U$5,"GO","WAIT"),"")</f>
        <v/>
      </c>
      <c r="V54" s="26">
        <f>IF(Tableau4849[[#This Row],[INDEX]]&lt;3,"",SUMIFS(Tableau4849[SL],Tableau4849[Colonne5],Tableau4849[[#This Row],[Colonne5]])+$S$4)</f>
        <v>1</v>
      </c>
      <c r="W54" s="34" t="str">
        <f>IF(Tableau4849[[#This Row],[ETAT]]="LOSE",IF(IFERROR(ABS(SUBSTITUTE(Tableau4849[[#This Row],[PRICE]],".",",")-'[1]Deal ticket'!$B$16)*1000,"")&lt;=$W$5,"GO","WAIT"),"")</f>
        <v/>
      </c>
      <c r="X5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4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54" s="26" t="str">
        <f>IF(AND(Tableau4849[[#This Row],[3,8]]=1),Tableau4849[[#This Row],[INDEX]],"")</f>
        <v/>
      </c>
      <c r="AC54" s="26" t="str">
        <f ca="1">IF(IFERROR(_xlfn.XLOOKUP(Tableau4849[[#This Row],[IDENTITE]],[1]!Tableau47[GLOBUY],[1]!Tableau47[GLOBUY]),"")="","",1)</f>
        <v/>
      </c>
      <c r="AD54" s="26" t="str">
        <f>IF(IFERROR(_xlfn.XLOOKUP(Tableau4849[[#This Row],[IDENTITE]],[1]!Tableau47[GLOSELL],[1]!Tableau47[GLOSELL]),"")="","",1)</f>
        <v/>
      </c>
      <c r="AE54" s="26"/>
      <c r="AF54" s="26">
        <f>IF(Tableau4849[[#This Row],[INDEX]]&lt;3,"",IF(Tableau4849[[#This Row],[COMMAND]]="","",IF('[1]Bar history'!$AA$33=1,1,"")))</f>
        <v>1</v>
      </c>
      <c r="AG54" s="26"/>
      <c r="AH54" s="26" t="str">
        <f>IF(IFERROR(_xlfn.XLOOKUP(Tableau4849[[#This Row],[IDENTITE]],[1]!Tableau47[COMMENTAIRE],[1]!Tableau47[CLOTURE]),"")=[1]PARAMETRE!$BK$31,Tableau4849[[#This Row],[INDEX]],"")</f>
        <v/>
      </c>
      <c r="AI54" s="26"/>
      <c r="AJ54" s="35" t="str">
        <f>IF(AND(ISNUMBER(SEARCH("BUY",Tableau4849[[#This Row],[COMMAND]]))),"BUYSTOP",IF(AND(ISNUMBER(SEARCH("SELL",Tableau4849[[#This Row],[COMMAND]]))),"SELLSTOP",""))</f>
        <v>SELLSTOP</v>
      </c>
      <c r="AK54" s="35" t="str">
        <f>IFERROR(SUBSTITUTE(Tableau4849[[#This Row],[PRICE]],",","."),"")</f>
        <v>1.06302</v>
      </c>
      <c r="AL54" s="35" t="str">
        <f>IF(Tableau4849[[#This Row],[INDEX]]&lt;3,"",Tableau4849[[#This Row],[IDENTITE]])</f>
        <v>1 RSRS S 1.06302 M1M1</v>
      </c>
      <c r="AM54" s="35" t="str">
        <f>IF(Tableau4849[[#This Row],[INDEX]]&lt;3,"",Tableau4849[[#This Row],[DEVISE]])</f>
        <v>EURUSD</v>
      </c>
      <c r="AN54" s="35">
        <f>IFERROR(IF(Tableau4849[[#This Row],[INDEX]]&lt;3,"",Tableau4849[[#This Row],[ATTEINT]]),100000)</f>
        <v>100000</v>
      </c>
      <c r="AO54" s="35">
        <f>IF(Tableau4849[[#This Row],[INDEX]]&lt;3,"",Tableau4849[[#This Row],[COMPTE]])</f>
        <v>925832</v>
      </c>
      <c r="AP54" s="35" t="str">
        <f>IF(Tableau4849[[#This Row],[INDEX]]&lt;3,"","NON")</f>
        <v>NON</v>
      </c>
      <c r="AQ54" s="35" t="str">
        <f>IF(Tableau4849[[#This Row],[INDEX]]&lt;3,"",IF(Tableau4849[[#This Row],[0,5]]&lt;0,"NEGATIF",""))</f>
        <v/>
      </c>
    </row>
    <row r="55" spans="1:43" x14ac:dyDescent="0.25">
      <c r="A55" s="24">
        <v>49</v>
      </c>
      <c r="B55" s="32">
        <v>44923.338136574072</v>
      </c>
      <c r="C55" s="26">
        <v>925832</v>
      </c>
      <c r="D55" s="24" t="s">
        <v>0</v>
      </c>
      <c r="E55" s="24" t="s">
        <v>46</v>
      </c>
      <c r="F55" s="24">
        <v>1.06291</v>
      </c>
      <c r="G55" s="26">
        <v>4000</v>
      </c>
      <c r="H55" s="27" t="s">
        <v>194</v>
      </c>
      <c r="I55" s="28" t="str">
        <f>IF(IFERROR(_xlfn.XLOOKUP(Tableau4849[[#This Row],[SL]],'[1]Tickets (2)'!J51:J845,'[1]Tickets (2)'!I54:I848),"")=0,"",IFERROR(_xlfn.XLOOKUP(Tableau4849[[#This Row],[SL]],'[1]Tickets (2)'!J51:J845,'[1]Tickets (2)'!I54:I848),""))</f>
        <v/>
      </c>
      <c r="K5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5" s="33">
        <v>44923.630886574072</v>
      </c>
      <c r="N55" s="3" t="str">
        <f>IF(Tableau4849[[#This Row],[T CLOSE]]&gt;[1]CONFIGURATION!$K$4,Tableau4849[[#This Row],[IDENTITE]],"")</f>
        <v/>
      </c>
      <c r="O55" s="26">
        <f>IFERROR(Tableau4849[[#This Row],[SL]]/(Tableau4849[[#This Row],[VOLUME]]/$I$5),0)</f>
        <v>0</v>
      </c>
      <c r="P55" s="26" t="str">
        <f>Tableau4849[[#This Row],[COMMAND]]</f>
        <v>SELL</v>
      </c>
      <c r="Q5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1.06291 M1M1</v>
      </c>
      <c r="R55" s="29">
        <v>-256</v>
      </c>
      <c r="S55" s="26" t="str">
        <f>IF(Tableau4849[[#This Row],[ETAT]]="LOSE",IF(IFERROR(ABS(SUBSTITUTE(Tableau4849[[#This Row],[PRICE]],".",",")-'[1]Deal ticket'!$B$16)*1000,"")&lt;=$S$5,"GO","WAIT"),"")</f>
        <v/>
      </c>
      <c r="T5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5" s="34" t="str">
        <f>IF(Tableau4849[[#This Row],[ETAT]]="LOSE",IF(IFERROR(ABS(SUBSTITUTE(Tableau4849[[#This Row],[PRICE]],".",",")-'[1]Deal ticket'!$B$16)*1000,"")&lt;=$U$5,"GO","WAIT"),"")</f>
        <v/>
      </c>
      <c r="V55" s="26">
        <f>IF(Tableau4849[[#This Row],[INDEX]]&lt;3,"",SUMIFS(Tableau4849[SL],Tableau4849[Colonne5],Tableau4849[[#This Row],[Colonne5]])+$S$4)</f>
        <v>1</v>
      </c>
      <c r="W55" s="34" t="str">
        <f>IF(Tableau4849[[#This Row],[ETAT]]="LOSE",IF(IFERROR(ABS(SUBSTITUTE(Tableau4849[[#This Row],[PRICE]],".",",")-'[1]Deal ticket'!$B$16)*1000,"")&lt;=$W$5,"GO","WAIT"),"")</f>
        <v/>
      </c>
      <c r="X5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5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55" s="26">
        <f>IF(AND(Tableau4849[[#This Row],[3,8]]=1),Tableau4849[[#This Row],[INDEX]],"")</f>
        <v>49</v>
      </c>
      <c r="AC55" s="26" t="str">
        <f ca="1">IF(IFERROR(_xlfn.XLOOKUP(Tableau4849[[#This Row],[IDENTITE]],[1]!Tableau47[GLOBUY],[1]!Tableau47[GLOBUY]),"")="","",1)</f>
        <v/>
      </c>
      <c r="AD55" s="26" t="str">
        <f>IF(IFERROR(_xlfn.XLOOKUP(Tableau4849[[#This Row],[IDENTITE]],[1]!Tableau47[GLOSELL],[1]!Tableau47[GLOSELL]),"")="","",1)</f>
        <v/>
      </c>
      <c r="AE55" s="26"/>
      <c r="AF55" s="26">
        <f>IF(Tableau4849[[#This Row],[INDEX]]&lt;3,"",IF(Tableau4849[[#This Row],[COMMAND]]="","",IF('[1]Bar history'!$AA$33=1,1,"")))</f>
        <v>1</v>
      </c>
      <c r="AG55" s="26"/>
      <c r="AH55" s="26" t="str">
        <f>IF(IFERROR(_xlfn.XLOOKUP(Tableau4849[[#This Row],[IDENTITE]],[1]!Tableau47[COMMENTAIRE],[1]!Tableau47[CLOTURE]),"")=[1]PARAMETRE!$BK$31,Tableau4849[[#This Row],[INDEX]],"")</f>
        <v/>
      </c>
      <c r="AI55" s="26"/>
      <c r="AJ55" s="35" t="str">
        <f>IF(AND(ISNUMBER(SEARCH("BUY",Tableau4849[[#This Row],[COMMAND]]))),"BUYSTOP",IF(AND(ISNUMBER(SEARCH("SELL",Tableau4849[[#This Row],[COMMAND]]))),"SELLSTOP",""))</f>
        <v>SELLSTOP</v>
      </c>
      <c r="AK55" s="35" t="str">
        <f>IFERROR(SUBSTITUTE(Tableau4849[[#This Row],[PRICE]],",","."),"")</f>
        <v>1.06291</v>
      </c>
      <c r="AL55" s="35" t="str">
        <f>IF(Tableau4849[[#This Row],[INDEX]]&lt;3,"",Tableau4849[[#This Row],[IDENTITE]])</f>
        <v>1 RSRS S 1.06291 M1M1</v>
      </c>
      <c r="AM55" s="35" t="str">
        <f>IF(Tableau4849[[#This Row],[INDEX]]&lt;3,"",Tableau4849[[#This Row],[DEVISE]])</f>
        <v>EURUSD</v>
      </c>
      <c r="AN55" s="35">
        <f>IFERROR(IF(Tableau4849[[#This Row],[INDEX]]&lt;3,"",Tableau4849[[#This Row],[ATTEINT]]),100000)</f>
        <v>100000</v>
      </c>
      <c r="AO55" s="35">
        <f>IF(Tableau4849[[#This Row],[INDEX]]&lt;3,"",Tableau4849[[#This Row],[COMPTE]])</f>
        <v>925832</v>
      </c>
      <c r="AP55" s="35" t="str">
        <f>IF(Tableau4849[[#This Row],[INDEX]]&lt;3,"","NON")</f>
        <v>NON</v>
      </c>
      <c r="AQ55" s="35" t="str">
        <f>IF(Tableau4849[[#This Row],[INDEX]]&lt;3,"",IF(Tableau4849[[#This Row],[0,5]]&lt;0,"NEGATIF",""))</f>
        <v>NEGATIF</v>
      </c>
    </row>
    <row r="56" spans="1:43" x14ac:dyDescent="0.25">
      <c r="A56" s="24">
        <v>50</v>
      </c>
      <c r="B56" s="32">
        <v>44923.337881944448</v>
      </c>
      <c r="C56" s="26">
        <v>925832</v>
      </c>
      <c r="D56" s="24" t="s">
        <v>0</v>
      </c>
      <c r="E56" s="24" t="s">
        <v>46</v>
      </c>
      <c r="F56" s="24">
        <v>1.06284</v>
      </c>
      <c r="G56" s="26">
        <v>17000</v>
      </c>
      <c r="H56" s="27" t="s">
        <v>196</v>
      </c>
      <c r="I56" s="28" t="str">
        <f>IF(IFERROR(_xlfn.XLOOKUP(Tableau4849[[#This Row],[SL]],'[1]Tickets (2)'!J52:J846,'[1]Tickets (2)'!I55:I849),"")=0,"",IFERROR(_xlfn.XLOOKUP(Tableau4849[[#This Row],[SL]],'[1]Tickets (2)'!J52:J846,'[1]Tickets (2)'!I55:I849),""))</f>
        <v/>
      </c>
      <c r="K5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6" s="33">
        <v>44923.630886574072</v>
      </c>
      <c r="N56" s="3" t="str">
        <f>IF(Tableau4849[[#This Row],[T CLOSE]]&gt;[1]CONFIGURATION!$K$4,Tableau4849[[#This Row],[IDENTITE]],"")</f>
        <v/>
      </c>
      <c r="O56" s="26">
        <f>IFERROR(Tableau4849[[#This Row],[SL]]/(Tableau4849[[#This Row],[VOLUME]]/$I$5),0)</f>
        <v>0</v>
      </c>
      <c r="P56" s="26" t="str">
        <f>Tableau4849[[#This Row],[COMMAND]]</f>
        <v>SELL</v>
      </c>
      <c r="Q5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1.06284 M1M1</v>
      </c>
      <c r="R56" s="29">
        <v>-266</v>
      </c>
      <c r="S56" s="26" t="str">
        <f>IF(Tableau4849[[#This Row],[ETAT]]="LOSE",IF(IFERROR(ABS(SUBSTITUTE(Tableau4849[[#This Row],[PRICE]],".",",")-'[1]Deal ticket'!$B$16)*1000,"")&lt;=$S$5,"GO","WAIT"),"")</f>
        <v/>
      </c>
      <c r="T5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6" s="34" t="str">
        <f>IF(Tableau4849[[#This Row],[ETAT]]="LOSE",IF(IFERROR(ABS(SUBSTITUTE(Tableau4849[[#This Row],[PRICE]],".",",")-'[1]Deal ticket'!$B$16)*1000,"")&lt;=$U$5,"GO","WAIT"),"")</f>
        <v/>
      </c>
      <c r="V56" s="26">
        <f>IF(Tableau4849[[#This Row],[INDEX]]&lt;3,"",SUMIFS(Tableau4849[SL],Tableau4849[Colonne5],Tableau4849[[#This Row],[Colonne5]])+$S$4)</f>
        <v>1</v>
      </c>
      <c r="W56" s="34" t="str">
        <f>IF(Tableau4849[[#This Row],[ETAT]]="LOSE",IF(IFERROR(ABS(SUBSTITUTE(Tableau4849[[#This Row],[PRICE]],".",",")-'[1]Deal ticket'!$B$16)*1000,"")&lt;=$W$5,"GO","WAIT"),"")</f>
        <v/>
      </c>
      <c r="X5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6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56" s="26">
        <f>IF(AND(Tableau4849[[#This Row],[3,8]]=1),Tableau4849[[#This Row],[INDEX]],"")</f>
        <v>50</v>
      </c>
      <c r="AC56" s="26" t="str">
        <f ca="1">IF(IFERROR(_xlfn.XLOOKUP(Tableau4849[[#This Row],[IDENTITE]],[1]!Tableau47[GLOBUY],[1]!Tableau47[GLOBUY]),"")="","",1)</f>
        <v/>
      </c>
      <c r="AD56" s="26" t="str">
        <f>IF(IFERROR(_xlfn.XLOOKUP(Tableau4849[[#This Row],[IDENTITE]],[1]!Tableau47[GLOSELL],[1]!Tableau47[GLOSELL]),"")="","",1)</f>
        <v/>
      </c>
      <c r="AE56" s="26"/>
      <c r="AF56" s="26">
        <f>IF(Tableau4849[[#This Row],[INDEX]]&lt;3,"",IF(Tableau4849[[#This Row],[COMMAND]]="","",IF('[1]Bar history'!$AA$33=1,1,"")))</f>
        <v>1</v>
      </c>
      <c r="AG56" s="26"/>
      <c r="AH56" s="26" t="str">
        <f>IF(IFERROR(_xlfn.XLOOKUP(Tableau4849[[#This Row],[IDENTITE]],[1]!Tableau47[COMMENTAIRE],[1]!Tableau47[CLOTURE]),"")=[1]PARAMETRE!$BK$31,Tableau4849[[#This Row],[INDEX]],"")</f>
        <v/>
      </c>
      <c r="AI56" s="26"/>
      <c r="AJ56" s="35" t="str">
        <f>IF(AND(ISNUMBER(SEARCH("BUY",Tableau4849[[#This Row],[COMMAND]]))),"BUYSTOP",IF(AND(ISNUMBER(SEARCH("SELL",Tableau4849[[#This Row],[COMMAND]]))),"SELLSTOP",""))</f>
        <v>SELLSTOP</v>
      </c>
      <c r="AK56" s="35" t="str">
        <f>IFERROR(SUBSTITUTE(Tableau4849[[#This Row],[PRICE]],",","."),"")</f>
        <v>1.06284</v>
      </c>
      <c r="AL56" s="35" t="str">
        <f>IF(Tableau4849[[#This Row],[INDEX]]&lt;3,"",Tableau4849[[#This Row],[IDENTITE]])</f>
        <v>1 RSRS S 1.06284 M1M1</v>
      </c>
      <c r="AM56" s="35" t="str">
        <f>IF(Tableau4849[[#This Row],[INDEX]]&lt;3,"",Tableau4849[[#This Row],[DEVISE]])</f>
        <v>EURUSD</v>
      </c>
      <c r="AN56" s="35">
        <f>IFERROR(IF(Tableau4849[[#This Row],[INDEX]]&lt;3,"",Tableau4849[[#This Row],[ATTEINT]]),100000)</f>
        <v>100000</v>
      </c>
      <c r="AO56" s="35">
        <f>IF(Tableau4849[[#This Row],[INDEX]]&lt;3,"",Tableau4849[[#This Row],[COMPTE]])</f>
        <v>925832</v>
      </c>
      <c r="AP56" s="35" t="str">
        <f>IF(Tableau4849[[#This Row],[INDEX]]&lt;3,"","NON")</f>
        <v>NON</v>
      </c>
      <c r="AQ56" s="35" t="str">
        <f>IF(Tableau4849[[#This Row],[INDEX]]&lt;3,"",IF(Tableau4849[[#This Row],[0,5]]&lt;0,"NEGATIF",""))</f>
        <v>NEGATIF</v>
      </c>
    </row>
    <row r="57" spans="1:43" x14ac:dyDescent="0.25">
      <c r="A57" s="24">
        <v>51</v>
      </c>
      <c r="B57" s="32">
        <v>44923.337604166663</v>
      </c>
      <c r="C57" s="26">
        <v>925832</v>
      </c>
      <c r="D57" s="24" t="s">
        <v>0</v>
      </c>
      <c r="E57" s="24" t="s">
        <v>46</v>
      </c>
      <c r="F57" s="24">
        <v>1.06277</v>
      </c>
      <c r="G57" s="26">
        <v>19000</v>
      </c>
      <c r="H57" s="27" t="s">
        <v>198</v>
      </c>
      <c r="I57" s="28" t="str">
        <f>IF(IFERROR(_xlfn.XLOOKUP(Tableau4849[[#This Row],[SL]],'[1]Tickets (2)'!J53:J847,'[1]Tickets (2)'!I56:I850),"")=0,"",IFERROR(_xlfn.XLOOKUP(Tableau4849[[#This Row],[SL]],'[1]Tickets (2)'!J53:J847,'[1]Tickets (2)'!I56:I850),""))</f>
        <v/>
      </c>
      <c r="K5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7" s="33">
        <v>44923.630886574072</v>
      </c>
      <c r="N57" s="3" t="str">
        <f>IF(Tableau4849[[#This Row],[T CLOSE]]&gt;[1]CONFIGURATION!$K$4,Tableau4849[[#This Row],[IDENTITE]],"")</f>
        <v/>
      </c>
      <c r="O57" s="26">
        <f>IFERROR(Tableau4849[[#This Row],[SL]]/(Tableau4849[[#This Row],[VOLUME]]/$I$5),0)</f>
        <v>0</v>
      </c>
      <c r="P57" s="26" t="str">
        <f>Tableau4849[[#This Row],[COMMAND]]</f>
        <v>SELL</v>
      </c>
      <c r="Q5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1.06277 M1M1</v>
      </c>
      <c r="R57" s="29">
        <v>-276</v>
      </c>
      <c r="S57" s="26" t="str">
        <f>IF(Tableau4849[[#This Row],[ETAT]]="LOSE",IF(IFERROR(ABS(SUBSTITUTE(Tableau4849[[#This Row],[PRICE]],".",",")-'[1]Deal ticket'!$B$16)*1000,"")&lt;=$S$5,"GO","WAIT"),"")</f>
        <v/>
      </c>
      <c r="T5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7" s="34" t="str">
        <f>IF(Tableau4849[[#This Row],[ETAT]]="LOSE",IF(IFERROR(ABS(SUBSTITUTE(Tableau4849[[#This Row],[PRICE]],".",",")-'[1]Deal ticket'!$B$16)*1000,"")&lt;=$U$5,"GO","WAIT"),"")</f>
        <v/>
      </c>
      <c r="V57" s="26">
        <f>IF(Tableau4849[[#This Row],[INDEX]]&lt;3,"",SUMIFS(Tableau4849[SL],Tableau4849[Colonne5],Tableau4849[[#This Row],[Colonne5]])+$S$4)</f>
        <v>1</v>
      </c>
      <c r="W57" s="34" t="str">
        <f>IF(Tableau4849[[#This Row],[ETAT]]="LOSE",IF(IFERROR(ABS(SUBSTITUTE(Tableau4849[[#This Row],[PRICE]],".",",")-'[1]Deal ticket'!$B$16)*1000,"")&lt;=$W$5,"GO","WAIT"),"")</f>
        <v/>
      </c>
      <c r="X5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57" s="26">
        <f>IF(AND(Tableau4849[[#This Row],[3,8]]=1),Tableau4849[[#This Row],[INDEX]],"")</f>
        <v>51</v>
      </c>
      <c r="AC57" s="26" t="str">
        <f ca="1">IF(IFERROR(_xlfn.XLOOKUP(Tableau4849[[#This Row],[IDENTITE]],[1]!Tableau47[GLOBUY],[1]!Tableau47[GLOBUY]),"")="","",1)</f>
        <v/>
      </c>
      <c r="AD57" s="26" t="str">
        <f>IF(IFERROR(_xlfn.XLOOKUP(Tableau4849[[#This Row],[IDENTITE]],[1]!Tableau47[GLOSELL],[1]!Tableau47[GLOSELL]),"")="","",1)</f>
        <v/>
      </c>
      <c r="AE57" s="26"/>
      <c r="AF57" s="26">
        <f>IF(Tableau4849[[#This Row],[INDEX]]&lt;3,"",IF(Tableau4849[[#This Row],[COMMAND]]="","",IF('[1]Bar history'!$AA$33=1,1,"")))</f>
        <v>1</v>
      </c>
      <c r="AG57" s="26"/>
      <c r="AH57" s="26" t="str">
        <f>IF(IFERROR(_xlfn.XLOOKUP(Tableau4849[[#This Row],[IDENTITE]],[1]!Tableau47[COMMENTAIRE],[1]!Tableau47[CLOTURE]),"")=[1]PARAMETRE!$BK$31,Tableau4849[[#This Row],[INDEX]],"")</f>
        <v/>
      </c>
      <c r="AI57" s="26"/>
      <c r="AJ57" s="35" t="str">
        <f>IF(AND(ISNUMBER(SEARCH("BUY",Tableau4849[[#This Row],[COMMAND]]))),"BUYSTOP",IF(AND(ISNUMBER(SEARCH("SELL",Tableau4849[[#This Row],[COMMAND]]))),"SELLSTOP",""))</f>
        <v>SELLSTOP</v>
      </c>
      <c r="AK57" s="35" t="str">
        <f>IFERROR(SUBSTITUTE(Tableau4849[[#This Row],[PRICE]],",","."),"")</f>
        <v>1.06277</v>
      </c>
      <c r="AL57" s="35" t="str">
        <f>IF(Tableau4849[[#This Row],[INDEX]]&lt;3,"",Tableau4849[[#This Row],[IDENTITE]])</f>
        <v>1 RSRS S 1.06277 M1M1</v>
      </c>
      <c r="AM57" s="35" t="str">
        <f>IF(Tableau4849[[#This Row],[INDEX]]&lt;3,"",Tableau4849[[#This Row],[DEVISE]])</f>
        <v>EURUSD</v>
      </c>
      <c r="AN57" s="35">
        <f>IFERROR(IF(Tableau4849[[#This Row],[INDEX]]&lt;3,"",Tableau4849[[#This Row],[ATTEINT]]),100000)</f>
        <v>100000</v>
      </c>
      <c r="AO57" s="35">
        <f>IF(Tableau4849[[#This Row],[INDEX]]&lt;3,"",Tableau4849[[#This Row],[COMPTE]])</f>
        <v>925832</v>
      </c>
      <c r="AP57" s="35" t="str">
        <f>IF(Tableau4849[[#This Row],[INDEX]]&lt;3,"","NON")</f>
        <v>NON</v>
      </c>
      <c r="AQ57" s="35" t="str">
        <f>IF(Tableau4849[[#This Row],[INDEX]]&lt;3,"",IF(Tableau4849[[#This Row],[0,5]]&lt;0,"NEGATIF",""))</f>
        <v>NEGATIF</v>
      </c>
    </row>
    <row r="58" spans="1:43" x14ac:dyDescent="0.25">
      <c r="A58" s="24">
        <v>52</v>
      </c>
      <c r="B58" s="32">
        <v>44923.331435185188</v>
      </c>
      <c r="C58" s="26">
        <v>925832</v>
      </c>
      <c r="D58" s="24" t="s">
        <v>0</v>
      </c>
      <c r="E58" s="24" t="s">
        <v>46</v>
      </c>
      <c r="F58" s="24">
        <v>1.06281</v>
      </c>
      <c r="G58" s="26">
        <v>4000</v>
      </c>
      <c r="H58" s="27" t="s">
        <v>200</v>
      </c>
      <c r="I58" s="28" t="str">
        <f>IF(IFERROR(_xlfn.XLOOKUP(Tableau4849[[#This Row],[SL]],'[1]Tickets (2)'!J54:J848,'[1]Tickets (2)'!I57:I851),"")=0,"",IFERROR(_xlfn.XLOOKUP(Tableau4849[[#This Row],[SL]],'[1]Tickets (2)'!J54:J848,'[1]Tickets (2)'!I57:I851),""))</f>
        <v/>
      </c>
      <c r="K5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8" s="33">
        <v>44923.630886574072</v>
      </c>
      <c r="N58" s="3" t="str">
        <f>IF(Tableau4849[[#This Row],[T CLOSE]]&gt;[1]CONFIGURATION!$K$4,Tableau4849[[#This Row],[IDENTITE]],"")</f>
        <v/>
      </c>
      <c r="O58" s="26">
        <f>IFERROR(Tableau4849[[#This Row],[SL]]/(Tableau4849[[#This Row],[VOLUME]]/$I$5),0)</f>
        <v>0</v>
      </c>
      <c r="P58" s="26" t="str">
        <f>Tableau4849[[#This Row],[COMMAND]]</f>
        <v>SELL</v>
      </c>
      <c r="Q5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1.06273 M1M1</v>
      </c>
      <c r="R58" s="29">
        <v>-286</v>
      </c>
      <c r="S58" s="26" t="str">
        <f>IF(Tableau4849[[#This Row],[ETAT]]="LOSE",IF(IFERROR(ABS(SUBSTITUTE(Tableau4849[[#This Row],[PRICE]],".",",")-'[1]Deal ticket'!$B$16)*1000,"")&lt;=$S$5,"GO","WAIT"),"")</f>
        <v/>
      </c>
      <c r="T5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8" s="34" t="str">
        <f>IF(Tableau4849[[#This Row],[ETAT]]="LOSE",IF(IFERROR(ABS(SUBSTITUTE(Tableau4849[[#This Row],[PRICE]],".",",")-'[1]Deal ticket'!$B$16)*1000,"")&lt;=$U$5,"GO","WAIT"),"")</f>
        <v/>
      </c>
      <c r="V58" s="26">
        <f>IF(Tableau4849[[#This Row],[INDEX]]&lt;3,"",SUMIFS(Tableau4849[SL],Tableau4849[Colonne5],Tableau4849[[#This Row],[Colonne5]])+$S$4)</f>
        <v>1</v>
      </c>
      <c r="W58" s="34" t="str">
        <f>IF(Tableau4849[[#This Row],[ETAT]]="LOSE",IF(IFERROR(ABS(SUBSTITUTE(Tableau4849[[#This Row],[PRICE]],".",",")-'[1]Deal ticket'!$B$16)*1000,"")&lt;=$W$5,"GO","WAIT"),"")</f>
        <v/>
      </c>
      <c r="X5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58" s="26">
        <f>IF(AND(Tableau4849[[#This Row],[3,8]]=1),Tableau4849[[#This Row],[INDEX]],"")</f>
        <v>52</v>
      </c>
      <c r="AC58" s="26" t="str">
        <f ca="1">IF(IFERROR(_xlfn.XLOOKUP(Tableau4849[[#This Row],[IDENTITE]],[1]!Tableau47[GLOBUY],[1]!Tableau47[GLOBUY]),"")="","",1)</f>
        <v/>
      </c>
      <c r="AD58" s="26" t="str">
        <f>IF(IFERROR(_xlfn.XLOOKUP(Tableau4849[[#This Row],[IDENTITE]],[1]!Tableau47[GLOSELL],[1]!Tableau47[GLOSELL]),"")="","",1)</f>
        <v/>
      </c>
      <c r="AE58" s="26"/>
      <c r="AF58" s="26">
        <f>IF(Tableau4849[[#This Row],[INDEX]]&lt;3,"",IF(Tableau4849[[#This Row],[COMMAND]]="","",IF('[1]Bar history'!$AA$33=1,1,"")))</f>
        <v>1</v>
      </c>
      <c r="AG58" s="26"/>
      <c r="AH58" s="26" t="str">
        <f>IF(IFERROR(_xlfn.XLOOKUP(Tableau4849[[#This Row],[IDENTITE]],[1]!Tableau47[COMMENTAIRE],[1]!Tableau47[CLOTURE]),"")=[1]PARAMETRE!$BK$31,Tableau4849[[#This Row],[INDEX]],"")</f>
        <v/>
      </c>
      <c r="AI58" s="26"/>
      <c r="AJ58" s="35" t="str">
        <f>IF(AND(ISNUMBER(SEARCH("BUY",Tableau4849[[#This Row],[COMMAND]]))),"BUYSTOP",IF(AND(ISNUMBER(SEARCH("SELL",Tableau4849[[#This Row],[COMMAND]]))),"SELLSTOP",""))</f>
        <v>SELLSTOP</v>
      </c>
      <c r="AK58" s="35" t="str">
        <f>IFERROR(SUBSTITUTE(Tableau4849[[#This Row],[PRICE]],",","."),"")</f>
        <v>1.06281</v>
      </c>
      <c r="AL58" s="35" t="str">
        <f>IF(Tableau4849[[#This Row],[INDEX]]&lt;3,"",Tableau4849[[#This Row],[IDENTITE]])</f>
        <v>1 RSRS S 1.06273 M1M1</v>
      </c>
      <c r="AM58" s="35" t="str">
        <f>IF(Tableau4849[[#This Row],[INDEX]]&lt;3,"",Tableau4849[[#This Row],[DEVISE]])</f>
        <v>EURUSD</v>
      </c>
      <c r="AN58" s="35">
        <f>IFERROR(IF(Tableau4849[[#This Row],[INDEX]]&lt;3,"",Tableau4849[[#This Row],[ATTEINT]]),100000)</f>
        <v>100000</v>
      </c>
      <c r="AO58" s="35">
        <f>IF(Tableau4849[[#This Row],[INDEX]]&lt;3,"",Tableau4849[[#This Row],[COMPTE]])</f>
        <v>925832</v>
      </c>
      <c r="AP58" s="35" t="str">
        <f>IF(Tableau4849[[#This Row],[INDEX]]&lt;3,"","NON")</f>
        <v>NON</v>
      </c>
      <c r="AQ58" s="35" t="str">
        <f>IF(Tableau4849[[#This Row],[INDEX]]&lt;3,"",IF(Tableau4849[[#This Row],[0,5]]&lt;0,"NEGATIF",""))</f>
        <v>NEGATIF</v>
      </c>
    </row>
    <row r="59" spans="1:43" x14ac:dyDescent="0.25">
      <c r="A59" s="24">
        <v>53</v>
      </c>
      <c r="B59" s="32">
        <v>44923.331226851849</v>
      </c>
      <c r="C59" s="26">
        <v>925832</v>
      </c>
      <c r="D59" s="24" t="s">
        <v>0</v>
      </c>
      <c r="E59" s="24" t="s">
        <v>46</v>
      </c>
      <c r="F59" s="24">
        <v>1.0627500000000001</v>
      </c>
      <c r="G59" s="26">
        <v>4000</v>
      </c>
      <c r="H59" s="27" t="s">
        <v>201</v>
      </c>
      <c r="I59" s="28" t="str">
        <f>IF(IFERROR(_xlfn.XLOOKUP(Tableau4849[[#This Row],[SL]],'[1]Tickets (2)'!J55:J849,'[1]Tickets (2)'!I58:I852),"")=0,"",IFERROR(_xlfn.XLOOKUP(Tableau4849[[#This Row],[SL]],'[1]Tickets (2)'!J55:J849,'[1]Tickets (2)'!I58:I852),""))</f>
        <v/>
      </c>
      <c r="K5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59" s="33">
        <v>44923.630886574072</v>
      </c>
      <c r="N59" s="3" t="str">
        <f>IF(Tableau4849[[#This Row],[T CLOSE]]&gt;[1]CONFIGURATION!$K$4,Tableau4849[[#This Row],[IDENTITE]],"")</f>
        <v/>
      </c>
      <c r="O59" s="26">
        <f>IFERROR(Tableau4849[[#This Row],[SL]]/(Tableau4849[[#This Row],[VOLUME]]/$I$5),0)</f>
        <v>0</v>
      </c>
      <c r="P59" s="26" t="str">
        <f>Tableau4849[[#This Row],[COMMAND]]</f>
        <v>SELL</v>
      </c>
      <c r="Q5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1.06276 M1M1</v>
      </c>
      <c r="R59" s="29">
        <v>-296</v>
      </c>
      <c r="S59" s="26" t="str">
        <f>IF(Tableau4849[[#This Row],[ETAT]]="LOSE",IF(IFERROR(ABS(SUBSTITUTE(Tableau4849[[#This Row],[PRICE]],".",",")-'[1]Deal ticket'!$B$16)*1000,"")&lt;=$S$5,"GO","WAIT"),"")</f>
        <v/>
      </c>
      <c r="T5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59" s="34" t="str">
        <f>IF(Tableau4849[[#This Row],[ETAT]]="LOSE",IF(IFERROR(ABS(SUBSTITUTE(Tableau4849[[#This Row],[PRICE]],".",",")-'[1]Deal ticket'!$B$16)*1000,"")&lt;=$U$5,"GO","WAIT"),"")</f>
        <v/>
      </c>
      <c r="V59" s="26">
        <f>IF(Tableau4849[[#This Row],[INDEX]]&lt;3,"",SUMIFS(Tableau4849[SL],Tableau4849[Colonne5],Tableau4849[[#This Row],[Colonne5]])+$S$4)</f>
        <v>1</v>
      </c>
      <c r="W59" s="34" t="str">
        <f>IF(Tableau4849[[#This Row],[ETAT]]="LOSE",IF(IFERROR(ABS(SUBSTITUTE(Tableau4849[[#This Row],[PRICE]],".",",")-'[1]Deal ticket'!$B$16)*1000,"")&lt;=$W$5,"GO","WAIT"),"")</f>
        <v/>
      </c>
      <c r="X5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5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5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5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59" s="26">
        <f>IF(AND(Tableau4849[[#This Row],[3,8]]=1),Tableau4849[[#This Row],[INDEX]],"")</f>
        <v>53</v>
      </c>
      <c r="AC59" s="26" t="str">
        <f ca="1">IF(IFERROR(_xlfn.XLOOKUP(Tableau4849[[#This Row],[IDENTITE]],[1]!Tableau47[GLOBUY],[1]!Tableau47[GLOBUY]),"")="","",1)</f>
        <v/>
      </c>
      <c r="AD59" s="26" t="str">
        <f>IF(IFERROR(_xlfn.XLOOKUP(Tableau4849[[#This Row],[IDENTITE]],[1]!Tableau47[GLOSELL],[1]!Tableau47[GLOSELL]),"")="","",1)</f>
        <v/>
      </c>
      <c r="AE59" s="26"/>
      <c r="AF59" s="26">
        <f>IF(Tableau4849[[#This Row],[INDEX]]&lt;3,"",IF(Tableau4849[[#This Row],[COMMAND]]="","",IF('[1]Bar history'!$AA$33=1,1,"")))</f>
        <v>1</v>
      </c>
      <c r="AG59" s="26"/>
      <c r="AH59" s="26" t="str">
        <f>IF(IFERROR(_xlfn.XLOOKUP(Tableau4849[[#This Row],[IDENTITE]],[1]!Tableau47[COMMENTAIRE],[1]!Tableau47[CLOTURE]),"")=[1]PARAMETRE!$BK$31,Tableau4849[[#This Row],[INDEX]],"")</f>
        <v/>
      </c>
      <c r="AI59" s="26"/>
      <c r="AJ59" s="35" t="str">
        <f>IF(AND(ISNUMBER(SEARCH("BUY",Tableau4849[[#This Row],[COMMAND]]))),"BUYSTOP",IF(AND(ISNUMBER(SEARCH("SELL",Tableau4849[[#This Row],[COMMAND]]))),"SELLSTOP",""))</f>
        <v>SELLSTOP</v>
      </c>
      <c r="AK59" s="35" t="str">
        <f>IFERROR(SUBSTITUTE(Tableau4849[[#This Row],[PRICE]],",","."),"")</f>
        <v>1.06275</v>
      </c>
      <c r="AL59" s="35" t="str">
        <f>IF(Tableau4849[[#This Row],[INDEX]]&lt;3,"",Tableau4849[[#This Row],[IDENTITE]])</f>
        <v>1 RSRS S 1.06276 M1M1</v>
      </c>
      <c r="AM59" s="35" t="str">
        <f>IF(Tableau4849[[#This Row],[INDEX]]&lt;3,"",Tableau4849[[#This Row],[DEVISE]])</f>
        <v>EURUSD</v>
      </c>
      <c r="AN59" s="35">
        <f>IFERROR(IF(Tableau4849[[#This Row],[INDEX]]&lt;3,"",Tableau4849[[#This Row],[ATTEINT]]),100000)</f>
        <v>100000</v>
      </c>
      <c r="AO59" s="35">
        <f>IF(Tableau4849[[#This Row],[INDEX]]&lt;3,"",Tableau4849[[#This Row],[COMPTE]])</f>
        <v>925832</v>
      </c>
      <c r="AP59" s="35" t="str">
        <f>IF(Tableau4849[[#This Row],[INDEX]]&lt;3,"","NON")</f>
        <v>NON</v>
      </c>
      <c r="AQ59" s="35" t="str">
        <f>IF(Tableau4849[[#This Row],[INDEX]]&lt;3,"",IF(Tableau4849[[#This Row],[0,5]]&lt;0,"NEGATIF",""))</f>
        <v>NEGATIF</v>
      </c>
    </row>
    <row r="60" spans="1:43" x14ac:dyDescent="0.25">
      <c r="A60" s="24">
        <v>54</v>
      </c>
      <c r="B60" s="32">
        <v>44923.331030092595</v>
      </c>
      <c r="C60" s="26">
        <v>925832</v>
      </c>
      <c r="D60" s="24" t="s">
        <v>0</v>
      </c>
      <c r="E60" s="24" t="s">
        <v>46</v>
      </c>
      <c r="F60" s="24">
        <v>1.06298</v>
      </c>
      <c r="G60" s="26">
        <v>11000</v>
      </c>
      <c r="H60" s="27" t="s">
        <v>202</v>
      </c>
      <c r="I60" s="28" t="str">
        <f>IF(IFERROR(_xlfn.XLOOKUP(Tableau4849[[#This Row],[SL]],'[1]Tickets (2)'!J56:J850,'[1]Tickets (2)'!I59:I853),"")=0,"",IFERROR(_xlfn.XLOOKUP(Tableau4849[[#This Row],[SL]],'[1]Tickets (2)'!J56:J850,'[1]Tickets (2)'!I59:I853),""))</f>
        <v/>
      </c>
      <c r="K6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0" s="33">
        <v>44923.630886574072</v>
      </c>
      <c r="N60" s="3" t="str">
        <f>IF(Tableau4849[[#This Row],[T CLOSE]]&gt;[1]CONFIGURATION!$K$4,Tableau4849[[#This Row],[IDENTITE]],"")</f>
        <v/>
      </c>
      <c r="O60" s="26">
        <f>IFERROR(Tableau4849[[#This Row],[SL]]/(Tableau4849[[#This Row],[VOLUME]]/$I$5),0)</f>
        <v>0</v>
      </c>
      <c r="P60" s="26" t="str">
        <f>Tableau4849[[#This Row],[COMMAND]]</f>
        <v>SELL</v>
      </c>
      <c r="Q6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1.0639 M1M1</v>
      </c>
      <c r="R60" s="29">
        <v>23</v>
      </c>
      <c r="S60" s="26" t="str">
        <f>IF(Tableau4849[[#This Row],[ETAT]]="LOSE",IF(IFERROR(ABS(SUBSTITUTE(Tableau4849[[#This Row],[PRICE]],".",",")-'[1]Deal ticket'!$B$16)*1000,"")&lt;=$S$5,"GO","WAIT"),"")</f>
        <v/>
      </c>
      <c r="T6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0" s="34" t="str">
        <f>IF(Tableau4849[[#This Row],[ETAT]]="LOSE",IF(IFERROR(ABS(SUBSTITUTE(Tableau4849[[#This Row],[PRICE]],".",",")-'[1]Deal ticket'!$B$16)*1000,"")&lt;=$U$5,"GO","WAIT"),"")</f>
        <v/>
      </c>
      <c r="V60" s="26">
        <f>IF(Tableau4849[[#This Row],[INDEX]]&lt;3,"",SUMIFS(Tableau4849[SL],Tableau4849[Colonne5],Tableau4849[[#This Row],[Colonne5]])+$S$4)</f>
        <v>1</v>
      </c>
      <c r="W60" s="34" t="str">
        <f>IF(Tableau4849[[#This Row],[ETAT]]="LOSE",IF(IFERROR(ABS(SUBSTITUTE(Tableau4849[[#This Row],[PRICE]],".",",")-'[1]Deal ticket'!$B$16)*1000,"")&lt;=$W$5,"GO","WAIT"),"")</f>
        <v/>
      </c>
      <c r="X6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0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60" s="26" t="str">
        <f>IF(AND(Tableau4849[[#This Row],[3,8]]=1),Tableau4849[[#This Row],[INDEX]],"")</f>
        <v/>
      </c>
      <c r="AC60" s="26" t="str">
        <f ca="1">IF(IFERROR(_xlfn.XLOOKUP(Tableau4849[[#This Row],[IDENTITE]],[1]!Tableau47[GLOBUY],[1]!Tableau47[GLOBUY]),"")="","",1)</f>
        <v/>
      </c>
      <c r="AD60" s="26" t="str">
        <f>IF(IFERROR(_xlfn.XLOOKUP(Tableau4849[[#This Row],[IDENTITE]],[1]!Tableau47[GLOSELL],[1]!Tableau47[GLOSELL]),"")="","",1)</f>
        <v/>
      </c>
      <c r="AE60" s="26"/>
      <c r="AF60" s="26">
        <f>IF(Tableau4849[[#This Row],[INDEX]]&lt;3,"",IF(Tableau4849[[#This Row],[COMMAND]]="","",IF('[1]Bar history'!$AA$33=1,1,"")))</f>
        <v>1</v>
      </c>
      <c r="AG60" s="26"/>
      <c r="AH60" s="26" t="str">
        <f>IF(IFERROR(_xlfn.XLOOKUP(Tableau4849[[#This Row],[IDENTITE]],[1]!Tableau47[COMMENTAIRE],[1]!Tableau47[CLOTURE]),"")=[1]PARAMETRE!$BK$31,Tableau4849[[#This Row],[INDEX]],"")</f>
        <v/>
      </c>
      <c r="AI60" s="26"/>
      <c r="AJ60" s="35" t="str">
        <f>IF(AND(ISNUMBER(SEARCH("BUY",Tableau4849[[#This Row],[COMMAND]]))),"BUYSTOP",IF(AND(ISNUMBER(SEARCH("SELL",Tableau4849[[#This Row],[COMMAND]]))),"SELLSTOP",""))</f>
        <v>SELLSTOP</v>
      </c>
      <c r="AK60" s="35" t="str">
        <f>IFERROR(SUBSTITUTE(Tableau4849[[#This Row],[PRICE]],",","."),"")</f>
        <v>1.06298</v>
      </c>
      <c r="AL60" s="35" t="str">
        <f>IF(Tableau4849[[#This Row],[INDEX]]&lt;3,"",Tableau4849[[#This Row],[IDENTITE]])</f>
        <v>1 RSRS S 1.0639 M1M1</v>
      </c>
      <c r="AM60" s="35" t="str">
        <f>IF(Tableau4849[[#This Row],[INDEX]]&lt;3,"",Tableau4849[[#This Row],[DEVISE]])</f>
        <v>EURUSD</v>
      </c>
      <c r="AN60" s="35">
        <f>IFERROR(IF(Tableau4849[[#This Row],[INDEX]]&lt;3,"",Tableau4849[[#This Row],[ATTEINT]]),100000)</f>
        <v>100000</v>
      </c>
      <c r="AO60" s="35">
        <f>IF(Tableau4849[[#This Row],[INDEX]]&lt;3,"",Tableau4849[[#This Row],[COMPTE]])</f>
        <v>925832</v>
      </c>
      <c r="AP60" s="35" t="str">
        <f>IF(Tableau4849[[#This Row],[INDEX]]&lt;3,"","NON")</f>
        <v>NON</v>
      </c>
      <c r="AQ60" s="35" t="str">
        <f>IF(Tableau4849[[#This Row],[INDEX]]&lt;3,"",IF(Tableau4849[[#This Row],[0,5]]&lt;0,"NEGATIF",""))</f>
        <v/>
      </c>
    </row>
    <row r="61" spans="1:43" x14ac:dyDescent="0.25">
      <c r="A61" s="24">
        <v>55</v>
      </c>
      <c r="B61" s="32">
        <v>44923.325983796298</v>
      </c>
      <c r="C61" s="26">
        <v>925832</v>
      </c>
      <c r="D61" s="24" t="s">
        <v>0</v>
      </c>
      <c r="E61" s="24" t="s">
        <v>46</v>
      </c>
      <c r="F61" s="24">
        <v>1.0631999999999999</v>
      </c>
      <c r="G61" s="26">
        <v>16000</v>
      </c>
      <c r="H61" s="27" t="s">
        <v>204</v>
      </c>
      <c r="I61" s="28" t="str">
        <f>IF(IFERROR(_xlfn.XLOOKUP(Tableau4849[[#This Row],[SL]],'[1]Tickets (2)'!J57:J851,'[1]Tickets (2)'!I60:I854),"")=0,"",IFERROR(_xlfn.XLOOKUP(Tableau4849[[#This Row],[SL]],'[1]Tickets (2)'!J57:J851,'[1]Tickets (2)'!I60:I854),""))</f>
        <v/>
      </c>
      <c r="K6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1" s="33">
        <v>44923.630886574072</v>
      </c>
      <c r="N61" s="3" t="str">
        <f>IF(Tableau4849[[#This Row],[T CLOSE]]&gt;[1]CONFIGURATION!$K$4,Tableau4849[[#This Row],[IDENTITE]],"")</f>
        <v/>
      </c>
      <c r="O61" s="26">
        <f>IFERROR(Tableau4849[[#This Row],[SL]]/(Tableau4849[[#This Row],[VOLUME]]/$I$5),0)</f>
        <v>0</v>
      </c>
      <c r="P61" s="26" t="str">
        <f>Tableau4849[[#This Row],[COMMAND]]</f>
        <v>SELL</v>
      </c>
      <c r="Q6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1.06319 M1M1</v>
      </c>
      <c r="R61" s="29">
        <v>16</v>
      </c>
      <c r="S61" s="26" t="str">
        <f>IF(Tableau4849[[#This Row],[ETAT]]="LOSE",IF(IFERROR(ABS(SUBSTITUTE(Tableau4849[[#This Row],[PRICE]],".",",")-'[1]Deal ticket'!$B$16)*1000,"")&lt;=$S$5,"GO","WAIT"),"")</f>
        <v/>
      </c>
      <c r="T6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1" s="34" t="str">
        <f>IF(Tableau4849[[#This Row],[ETAT]]="LOSE",IF(IFERROR(ABS(SUBSTITUTE(Tableau4849[[#This Row],[PRICE]],".",",")-'[1]Deal ticket'!$B$16)*1000,"")&lt;=$U$5,"GO","WAIT"),"")</f>
        <v/>
      </c>
      <c r="V61" s="26">
        <f>IF(Tableau4849[[#This Row],[INDEX]]&lt;3,"",SUMIFS(Tableau4849[SL],Tableau4849[Colonne5],Tableau4849[[#This Row],[Colonne5]])+$S$4)</f>
        <v>1</v>
      </c>
      <c r="W61" s="34" t="str">
        <f>IF(Tableau4849[[#This Row],[ETAT]]="LOSE",IF(IFERROR(ABS(SUBSTITUTE(Tableau4849[[#This Row],[PRICE]],".",",")-'[1]Deal ticket'!$B$16)*1000,"")&lt;=$W$5,"GO","WAIT"),"")</f>
        <v/>
      </c>
      <c r="X6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1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61" s="26" t="str">
        <f>IF(AND(Tableau4849[[#This Row],[3,8]]=1),Tableau4849[[#This Row],[INDEX]],"")</f>
        <v/>
      </c>
      <c r="AC61" s="26" t="str">
        <f ca="1">IF(IFERROR(_xlfn.XLOOKUP(Tableau4849[[#This Row],[IDENTITE]],[1]!Tableau47[GLOBUY],[1]!Tableau47[GLOBUY]),"")="","",1)</f>
        <v/>
      </c>
      <c r="AD61" s="26" t="str">
        <f>IF(IFERROR(_xlfn.XLOOKUP(Tableau4849[[#This Row],[IDENTITE]],[1]!Tableau47[GLOSELL],[1]!Tableau47[GLOSELL]),"")="","",1)</f>
        <v/>
      </c>
      <c r="AE61" s="26"/>
      <c r="AF61" s="26">
        <f>IF(Tableau4849[[#This Row],[INDEX]]&lt;3,"",IF(Tableau4849[[#This Row],[COMMAND]]="","",IF('[1]Bar history'!$AA$33=1,1,"")))</f>
        <v>1</v>
      </c>
      <c r="AG61" s="26"/>
      <c r="AH61" s="26" t="str">
        <f>IF(IFERROR(_xlfn.XLOOKUP(Tableau4849[[#This Row],[IDENTITE]],[1]!Tableau47[COMMENTAIRE],[1]!Tableau47[CLOTURE]),"")=[1]PARAMETRE!$BK$31,Tableau4849[[#This Row],[INDEX]],"")</f>
        <v/>
      </c>
      <c r="AI61" s="26"/>
      <c r="AJ61" s="35" t="str">
        <f>IF(AND(ISNUMBER(SEARCH("BUY",Tableau4849[[#This Row],[COMMAND]]))),"BUYSTOP",IF(AND(ISNUMBER(SEARCH("SELL",Tableau4849[[#This Row],[COMMAND]]))),"SELLSTOP",""))</f>
        <v>SELLSTOP</v>
      </c>
      <c r="AK61" s="35" t="str">
        <f>IFERROR(SUBSTITUTE(Tableau4849[[#This Row],[PRICE]],",","."),"")</f>
        <v>1.0632</v>
      </c>
      <c r="AL61" s="35" t="str">
        <f>IF(Tableau4849[[#This Row],[INDEX]]&lt;3,"",Tableau4849[[#This Row],[IDENTITE]])</f>
        <v>1 RSRS S 1.06319 M1M1</v>
      </c>
      <c r="AM61" s="35" t="str">
        <f>IF(Tableau4849[[#This Row],[INDEX]]&lt;3,"",Tableau4849[[#This Row],[DEVISE]])</f>
        <v>EURUSD</v>
      </c>
      <c r="AN61" s="35">
        <f>IFERROR(IF(Tableau4849[[#This Row],[INDEX]]&lt;3,"",Tableau4849[[#This Row],[ATTEINT]]),100000)</f>
        <v>100000</v>
      </c>
      <c r="AO61" s="35">
        <f>IF(Tableau4849[[#This Row],[INDEX]]&lt;3,"",Tableau4849[[#This Row],[COMPTE]])</f>
        <v>925832</v>
      </c>
      <c r="AP61" s="35" t="str">
        <f>IF(Tableau4849[[#This Row],[INDEX]]&lt;3,"","NON")</f>
        <v>NON</v>
      </c>
      <c r="AQ61" s="35" t="str">
        <f>IF(Tableau4849[[#This Row],[INDEX]]&lt;3,"",IF(Tableau4849[[#This Row],[0,5]]&lt;0,"NEGATIF",""))</f>
        <v/>
      </c>
    </row>
    <row r="62" spans="1:43" x14ac:dyDescent="0.25">
      <c r="A62" s="24">
        <v>56</v>
      </c>
      <c r="B62" s="32">
        <v>44923.325162037036</v>
      </c>
      <c r="C62" s="26">
        <v>925832</v>
      </c>
      <c r="D62" s="24" t="s">
        <v>0</v>
      </c>
      <c r="E62" s="24" t="s">
        <v>46</v>
      </c>
      <c r="F62" s="24">
        <v>1.0630900000000001</v>
      </c>
      <c r="G62" s="26">
        <v>18000</v>
      </c>
      <c r="H62" s="27" t="s">
        <v>205</v>
      </c>
      <c r="I62" s="28" t="str">
        <f>IF(IFERROR(_xlfn.XLOOKUP(Tableau4849[[#This Row],[SL]],'[1]Tickets (2)'!J58:J852,'[1]Tickets (2)'!I61:I855),"")=0,"",IFERROR(_xlfn.XLOOKUP(Tableau4849[[#This Row],[SL]],'[1]Tickets (2)'!J58:J852,'[1]Tickets (2)'!I61:I855),""))</f>
        <v/>
      </c>
      <c r="K6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2" s="33">
        <v>44923.630886574072</v>
      </c>
      <c r="N62" s="3" t="str">
        <f>IF(Tableau4849[[#This Row],[T CLOSE]]&gt;[1]CONFIGURATION!$K$4,Tableau4849[[#This Row],[IDENTITE]],"")</f>
        <v/>
      </c>
      <c r="O62" s="26">
        <f>IFERROR(Tableau4849[[#This Row],[SL]]/(Tableau4849[[#This Row],[VOLUME]]/$I$5),0)</f>
        <v>0</v>
      </c>
      <c r="P62" s="26" t="str">
        <f>Tableau4849[[#This Row],[COMMAND]]</f>
        <v>SELL</v>
      </c>
      <c r="Q6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1.06309 M1M1</v>
      </c>
      <c r="R62" s="29">
        <v>17</v>
      </c>
      <c r="S62" s="26" t="str">
        <f>IF(Tableau4849[[#This Row],[ETAT]]="LOSE",IF(IFERROR(ABS(SUBSTITUTE(Tableau4849[[#This Row],[PRICE]],".",",")-'[1]Deal ticket'!$B$16)*1000,"")&lt;=$S$5,"GO","WAIT"),"")</f>
        <v/>
      </c>
      <c r="T6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2" s="34" t="str">
        <f>IF(Tableau4849[[#This Row],[ETAT]]="LOSE",IF(IFERROR(ABS(SUBSTITUTE(Tableau4849[[#This Row],[PRICE]],".",",")-'[1]Deal ticket'!$B$16)*1000,"")&lt;=$U$5,"GO","WAIT"),"")</f>
        <v/>
      </c>
      <c r="V62" s="26">
        <f>IF(Tableau4849[[#This Row],[INDEX]]&lt;3,"",SUMIFS(Tableau4849[SL],Tableau4849[Colonne5],Tableau4849[[#This Row],[Colonne5]])+$S$4)</f>
        <v>1</v>
      </c>
      <c r="W62" s="34" t="str">
        <f>IF(Tableau4849[[#This Row],[ETAT]]="LOSE",IF(IFERROR(ABS(SUBSTITUTE(Tableau4849[[#This Row],[PRICE]],".",",")-'[1]Deal ticket'!$B$16)*1000,"")&lt;=$W$5,"GO","WAIT"),"")</f>
        <v/>
      </c>
      <c r="X6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2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62" s="26" t="str">
        <f>IF(AND(Tableau4849[[#This Row],[3,8]]=1),Tableau4849[[#This Row],[INDEX]],"")</f>
        <v/>
      </c>
      <c r="AC62" s="26" t="str">
        <f ca="1">IF(IFERROR(_xlfn.XLOOKUP(Tableau4849[[#This Row],[IDENTITE]],[1]!Tableau47[GLOBUY],[1]!Tableau47[GLOBUY]),"")="","",1)</f>
        <v/>
      </c>
      <c r="AD62" s="26" t="str">
        <f>IF(IFERROR(_xlfn.XLOOKUP(Tableau4849[[#This Row],[IDENTITE]],[1]!Tableau47[GLOSELL],[1]!Tableau47[GLOSELL]),"")="","",1)</f>
        <v/>
      </c>
      <c r="AE62" s="26"/>
      <c r="AF62" s="26">
        <f>IF(Tableau4849[[#This Row],[INDEX]]&lt;3,"",IF(Tableau4849[[#This Row],[COMMAND]]="","",IF('[1]Bar history'!$AA$33=1,1,"")))</f>
        <v>1</v>
      </c>
      <c r="AG62" s="26"/>
      <c r="AH62" s="26" t="str">
        <f>IF(IFERROR(_xlfn.XLOOKUP(Tableau4849[[#This Row],[IDENTITE]],[1]!Tableau47[COMMENTAIRE],[1]!Tableau47[CLOTURE]),"")=[1]PARAMETRE!$BK$31,Tableau4849[[#This Row],[INDEX]],"")</f>
        <v/>
      </c>
      <c r="AI62" s="26"/>
      <c r="AJ62" s="35" t="str">
        <f>IF(AND(ISNUMBER(SEARCH("BUY",Tableau4849[[#This Row],[COMMAND]]))),"BUYSTOP",IF(AND(ISNUMBER(SEARCH("SELL",Tableau4849[[#This Row],[COMMAND]]))),"SELLSTOP",""))</f>
        <v>SELLSTOP</v>
      </c>
      <c r="AK62" s="35" t="str">
        <f>IFERROR(SUBSTITUTE(Tableau4849[[#This Row],[PRICE]],",","."),"")</f>
        <v>1.06309</v>
      </c>
      <c r="AL62" s="35" t="str">
        <f>IF(Tableau4849[[#This Row],[INDEX]]&lt;3,"",Tableau4849[[#This Row],[IDENTITE]])</f>
        <v>1 RSRS S 1.06309 M1M1</v>
      </c>
      <c r="AM62" s="35" t="str">
        <f>IF(Tableau4849[[#This Row],[INDEX]]&lt;3,"",Tableau4849[[#This Row],[DEVISE]])</f>
        <v>EURUSD</v>
      </c>
      <c r="AN62" s="35">
        <f>IFERROR(IF(Tableau4849[[#This Row],[INDEX]]&lt;3,"",Tableau4849[[#This Row],[ATTEINT]]),100000)</f>
        <v>100000</v>
      </c>
      <c r="AO62" s="35">
        <f>IF(Tableau4849[[#This Row],[INDEX]]&lt;3,"",Tableau4849[[#This Row],[COMPTE]])</f>
        <v>925832</v>
      </c>
      <c r="AP62" s="35" t="str">
        <f>IF(Tableau4849[[#This Row],[INDEX]]&lt;3,"","NON")</f>
        <v>NON</v>
      </c>
      <c r="AQ62" s="35" t="str">
        <f>IF(Tableau4849[[#This Row],[INDEX]]&lt;3,"",IF(Tableau4849[[#This Row],[0,5]]&lt;0,"NEGATIF",""))</f>
        <v/>
      </c>
    </row>
    <row r="63" spans="1:43" x14ac:dyDescent="0.25">
      <c r="A63" s="24">
        <v>57</v>
      </c>
      <c r="B63" s="32">
        <v>44923.324548611112</v>
      </c>
      <c r="C63" s="26">
        <v>925832</v>
      </c>
      <c r="D63" s="24" t="s">
        <v>0</v>
      </c>
      <c r="E63" s="24" t="s">
        <v>46</v>
      </c>
      <c r="F63" s="24">
        <v>1.0631900000000001</v>
      </c>
      <c r="G63" s="26">
        <v>50000</v>
      </c>
      <c r="H63" s="27" t="s">
        <v>207</v>
      </c>
      <c r="I63" s="28" t="str">
        <f>IF(IFERROR(_xlfn.XLOOKUP(Tableau4849[[#This Row],[SL]],'[1]Tickets (2)'!J59:J853,'[1]Tickets (2)'!I62:I856),"")=0,"",IFERROR(_xlfn.XLOOKUP(Tableau4849[[#This Row],[SL]],'[1]Tickets (2)'!J59:J853,'[1]Tickets (2)'!I62:I856),""))</f>
        <v/>
      </c>
      <c r="K6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3" s="33">
        <v>44923.630886574072</v>
      </c>
      <c r="N63" s="3" t="str">
        <f>IF(Tableau4849[[#This Row],[T CLOSE]]&gt;[1]CONFIGURATION!$K$4,Tableau4849[[#This Row],[IDENTITE]],"")</f>
        <v/>
      </c>
      <c r="O63" s="26">
        <f>IFERROR(Tableau4849[[#This Row],[SL]]/(Tableau4849[[#This Row],[VOLUME]]/$I$5),0)</f>
        <v>0</v>
      </c>
      <c r="P63" s="26" t="str">
        <f>Tableau4849[[#This Row],[COMMAND]]</f>
        <v>SELL</v>
      </c>
      <c r="Q6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1.0632 M1M1</v>
      </c>
      <c r="R63" s="29">
        <v>18</v>
      </c>
      <c r="S63" s="26" t="str">
        <f>IF(Tableau4849[[#This Row],[ETAT]]="LOSE",IF(IFERROR(ABS(SUBSTITUTE(Tableau4849[[#This Row],[PRICE]],".",",")-'[1]Deal ticket'!$B$16)*1000,"")&lt;=$S$5,"GO","WAIT"),"")</f>
        <v/>
      </c>
      <c r="T6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3" s="34" t="str">
        <f>IF(Tableau4849[[#This Row],[ETAT]]="LOSE",IF(IFERROR(ABS(SUBSTITUTE(Tableau4849[[#This Row],[PRICE]],".",",")-'[1]Deal ticket'!$B$16)*1000,"")&lt;=$U$5,"GO","WAIT"),"")</f>
        <v/>
      </c>
      <c r="V63" s="26">
        <f>IF(Tableau4849[[#This Row],[INDEX]]&lt;3,"",SUMIFS(Tableau4849[SL],Tableau4849[Colonne5],Tableau4849[[#This Row],[Colonne5]])+$S$4)</f>
        <v>1</v>
      </c>
      <c r="W63" s="34" t="str">
        <f>IF(Tableau4849[[#This Row],[ETAT]]="LOSE",IF(IFERROR(ABS(SUBSTITUTE(Tableau4849[[#This Row],[PRICE]],".",",")-'[1]Deal ticket'!$B$16)*1000,"")&lt;=$W$5,"GO","WAIT"),"")</f>
        <v/>
      </c>
      <c r="X6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3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63" s="26" t="str">
        <f>IF(AND(Tableau4849[[#This Row],[3,8]]=1),Tableau4849[[#This Row],[INDEX]],"")</f>
        <v/>
      </c>
      <c r="AC63" s="26" t="str">
        <f ca="1">IF(IFERROR(_xlfn.XLOOKUP(Tableau4849[[#This Row],[IDENTITE]],[1]!Tableau47[GLOBUY],[1]!Tableau47[GLOBUY]),"")="","",1)</f>
        <v/>
      </c>
      <c r="AD63" s="26" t="str">
        <f>IF(IFERROR(_xlfn.XLOOKUP(Tableau4849[[#This Row],[IDENTITE]],[1]!Tableau47[GLOSELL],[1]!Tableau47[GLOSELL]),"")="","",1)</f>
        <v/>
      </c>
      <c r="AE63" s="26"/>
      <c r="AF63" s="26">
        <f>IF(Tableau4849[[#This Row],[INDEX]]&lt;3,"",IF(Tableau4849[[#This Row],[COMMAND]]="","",IF('[1]Bar history'!$AA$33=1,1,"")))</f>
        <v>1</v>
      </c>
      <c r="AG63" s="26"/>
      <c r="AH63" s="26" t="str">
        <f>IF(IFERROR(_xlfn.XLOOKUP(Tableau4849[[#This Row],[IDENTITE]],[1]!Tableau47[COMMENTAIRE],[1]!Tableau47[CLOTURE]),"")=[1]PARAMETRE!$BK$31,Tableau4849[[#This Row],[INDEX]],"")</f>
        <v/>
      </c>
      <c r="AI63" s="26"/>
      <c r="AJ63" s="35" t="str">
        <f>IF(AND(ISNUMBER(SEARCH("BUY",Tableau4849[[#This Row],[COMMAND]]))),"BUYSTOP",IF(AND(ISNUMBER(SEARCH("SELL",Tableau4849[[#This Row],[COMMAND]]))),"SELLSTOP",""))</f>
        <v>SELLSTOP</v>
      </c>
      <c r="AK63" s="35" t="str">
        <f>IFERROR(SUBSTITUTE(Tableau4849[[#This Row],[PRICE]],",","."),"")</f>
        <v>1.06319</v>
      </c>
      <c r="AL63" s="35" t="str">
        <f>IF(Tableau4849[[#This Row],[INDEX]]&lt;3,"",Tableau4849[[#This Row],[IDENTITE]])</f>
        <v>1 RSRS S 1.0632 M1M1</v>
      </c>
      <c r="AM63" s="35" t="str">
        <f>IF(Tableau4849[[#This Row],[INDEX]]&lt;3,"",Tableau4849[[#This Row],[DEVISE]])</f>
        <v>EURUSD</v>
      </c>
      <c r="AN63" s="35">
        <f>IFERROR(IF(Tableau4849[[#This Row],[INDEX]]&lt;3,"",Tableau4849[[#This Row],[ATTEINT]]),100000)</f>
        <v>100000</v>
      </c>
      <c r="AO63" s="35">
        <f>IF(Tableau4849[[#This Row],[INDEX]]&lt;3,"",Tableau4849[[#This Row],[COMPTE]])</f>
        <v>925832</v>
      </c>
      <c r="AP63" s="35" t="str">
        <f>IF(Tableau4849[[#This Row],[INDEX]]&lt;3,"","NON")</f>
        <v>NON</v>
      </c>
      <c r="AQ63" s="35" t="str">
        <f>IF(Tableau4849[[#This Row],[INDEX]]&lt;3,"",IF(Tableau4849[[#This Row],[0,5]]&lt;0,"NEGATIF",""))</f>
        <v/>
      </c>
    </row>
    <row r="64" spans="1:43" x14ac:dyDescent="0.25">
      <c r="A64" s="24">
        <v>58</v>
      </c>
      <c r="B64" s="32">
        <v>44923.323773148149</v>
      </c>
      <c r="C64" s="26">
        <v>925832</v>
      </c>
      <c r="D64" s="24" t="s">
        <v>0</v>
      </c>
      <c r="E64" s="24" t="s">
        <v>46</v>
      </c>
      <c r="F64" s="24">
        <v>1.0632200000000001</v>
      </c>
      <c r="G64" s="26">
        <v>13000</v>
      </c>
      <c r="H64" s="27" t="s">
        <v>209</v>
      </c>
      <c r="I64" s="28" t="str">
        <f>IF(IFERROR(_xlfn.XLOOKUP(Tableau4849[[#This Row],[SL]],'[1]Tickets (2)'!J60:J854,'[1]Tickets (2)'!I63:I857),"")=0,"",IFERROR(_xlfn.XLOOKUP(Tableau4849[[#This Row],[SL]],'[1]Tickets (2)'!J60:J854,'[1]Tickets (2)'!I63:I857),""))</f>
        <v/>
      </c>
      <c r="K6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4" s="33">
        <v>44923.630886574072</v>
      </c>
      <c r="N64" s="3" t="str">
        <f>IF(Tableau4849[[#This Row],[T CLOSE]]&gt;[1]CONFIGURATION!$K$4,Tableau4849[[#This Row],[IDENTITE]],"")</f>
        <v/>
      </c>
      <c r="O64" s="26">
        <f>IFERROR(Tableau4849[[#This Row],[SL]]/(Tableau4849[[#This Row],[VOLUME]]/$I$5),0)</f>
        <v>0</v>
      </c>
      <c r="P64" s="26" t="str">
        <f>Tableau4849[[#This Row],[COMMAND]]</f>
        <v>SELL</v>
      </c>
      <c r="Q6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1.06322 M1M1</v>
      </c>
      <c r="R64" s="29">
        <v>19</v>
      </c>
      <c r="S64" s="26" t="str">
        <f>IF(Tableau4849[[#This Row],[ETAT]]="LOSE",IF(IFERROR(ABS(SUBSTITUTE(Tableau4849[[#This Row],[PRICE]],".",",")-'[1]Deal ticket'!$B$16)*1000,"")&lt;=$S$5,"GO","WAIT"),"")</f>
        <v/>
      </c>
      <c r="T6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4" s="34" t="str">
        <f>IF(Tableau4849[[#This Row],[ETAT]]="LOSE",IF(IFERROR(ABS(SUBSTITUTE(Tableau4849[[#This Row],[PRICE]],".",",")-'[1]Deal ticket'!$B$16)*1000,"")&lt;=$U$5,"GO","WAIT"),"")</f>
        <v/>
      </c>
      <c r="V64" s="26">
        <f>IF(Tableau4849[[#This Row],[INDEX]]&lt;3,"",SUMIFS(Tableau4849[SL],Tableau4849[Colonne5],Tableau4849[[#This Row],[Colonne5]])+$S$4)</f>
        <v>1</v>
      </c>
      <c r="W64" s="34" t="str">
        <f>IF(Tableau4849[[#This Row],[ETAT]]="LOSE",IF(IFERROR(ABS(SUBSTITUTE(Tableau4849[[#This Row],[PRICE]],".",",")-'[1]Deal ticket'!$B$16)*1000,"")&lt;=$W$5,"GO","WAIT"),"")</f>
        <v/>
      </c>
      <c r="X6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4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64" s="26" t="str">
        <f>IF(AND(Tableau4849[[#This Row],[3,8]]=1),Tableau4849[[#This Row],[INDEX]],"")</f>
        <v/>
      </c>
      <c r="AC64" s="26" t="str">
        <f ca="1">IF(IFERROR(_xlfn.XLOOKUP(Tableau4849[[#This Row],[IDENTITE]],[1]!Tableau47[GLOBUY],[1]!Tableau47[GLOBUY]),"")="","",1)</f>
        <v/>
      </c>
      <c r="AD64" s="26" t="str">
        <f>IF(IFERROR(_xlfn.XLOOKUP(Tableau4849[[#This Row],[IDENTITE]],[1]!Tableau47[GLOSELL],[1]!Tableau47[GLOSELL]),"")="","",1)</f>
        <v/>
      </c>
      <c r="AE64" s="26"/>
      <c r="AF64" s="26">
        <f>IF(Tableau4849[[#This Row],[INDEX]]&lt;3,"",IF(Tableau4849[[#This Row],[COMMAND]]="","",IF('[1]Bar history'!$AA$33=1,1,"")))</f>
        <v>1</v>
      </c>
      <c r="AG64" s="26"/>
      <c r="AH64" s="26" t="str">
        <f>IF(IFERROR(_xlfn.XLOOKUP(Tableau4849[[#This Row],[IDENTITE]],[1]!Tableau47[COMMENTAIRE],[1]!Tableau47[CLOTURE]),"")=[1]PARAMETRE!$BK$31,Tableau4849[[#This Row],[INDEX]],"")</f>
        <v/>
      </c>
      <c r="AI64" s="26"/>
      <c r="AJ64" s="35" t="str">
        <f>IF(AND(ISNUMBER(SEARCH("BUY",Tableau4849[[#This Row],[COMMAND]]))),"BUYSTOP",IF(AND(ISNUMBER(SEARCH("SELL",Tableau4849[[#This Row],[COMMAND]]))),"SELLSTOP",""))</f>
        <v>SELLSTOP</v>
      </c>
      <c r="AK64" s="35" t="str">
        <f>IFERROR(SUBSTITUTE(Tableau4849[[#This Row],[PRICE]],",","."),"")</f>
        <v>1.06322</v>
      </c>
      <c r="AL64" s="35" t="str">
        <f>IF(Tableau4849[[#This Row],[INDEX]]&lt;3,"",Tableau4849[[#This Row],[IDENTITE]])</f>
        <v>1 RSRS S 1.06322 M1M1</v>
      </c>
      <c r="AM64" s="35" t="str">
        <f>IF(Tableau4849[[#This Row],[INDEX]]&lt;3,"",Tableau4849[[#This Row],[DEVISE]])</f>
        <v>EURUSD</v>
      </c>
      <c r="AN64" s="35">
        <f>IFERROR(IF(Tableau4849[[#This Row],[INDEX]]&lt;3,"",Tableau4849[[#This Row],[ATTEINT]]),100000)</f>
        <v>100000</v>
      </c>
      <c r="AO64" s="35">
        <f>IF(Tableau4849[[#This Row],[INDEX]]&lt;3,"",Tableau4849[[#This Row],[COMPTE]])</f>
        <v>925832</v>
      </c>
      <c r="AP64" s="35" t="str">
        <f>IF(Tableau4849[[#This Row],[INDEX]]&lt;3,"","NON")</f>
        <v>NON</v>
      </c>
      <c r="AQ64" s="35" t="str">
        <f>IF(Tableau4849[[#This Row],[INDEX]]&lt;3,"",IF(Tableau4849[[#This Row],[0,5]]&lt;0,"NEGATIF",""))</f>
        <v/>
      </c>
    </row>
    <row r="65" spans="1:43" x14ac:dyDescent="0.25">
      <c r="A65" s="24">
        <v>59</v>
      </c>
      <c r="B65" s="32">
        <v>44923.322951388887</v>
      </c>
      <c r="C65" s="26">
        <v>925832</v>
      </c>
      <c r="D65" s="24" t="s">
        <v>0</v>
      </c>
      <c r="E65" s="24" t="s">
        <v>46</v>
      </c>
      <c r="F65" s="24">
        <v>1.0633300000000001</v>
      </c>
      <c r="G65" s="26">
        <v>12000</v>
      </c>
      <c r="H65" s="27" t="s">
        <v>210</v>
      </c>
      <c r="I65" s="28" t="str">
        <f>IF(IFERROR(_xlfn.XLOOKUP(Tableau4849[[#This Row],[SL]],'[1]Tickets (2)'!J61:J855,'[1]Tickets (2)'!I64:I858),"")=0,"",IFERROR(_xlfn.XLOOKUP(Tableau4849[[#This Row],[SL]],'[1]Tickets (2)'!J61:J855,'[1]Tickets (2)'!I64:I858),""))</f>
        <v/>
      </c>
      <c r="K6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5" s="33">
        <v>44923.630886574072</v>
      </c>
      <c r="N65" s="3" t="str">
        <f>IF(Tableau4849[[#This Row],[T CLOSE]]&gt;[1]CONFIGURATION!$K$4,Tableau4849[[#This Row],[IDENTITE]],"")</f>
        <v/>
      </c>
      <c r="O65" s="26">
        <f>IFERROR(Tableau4849[[#This Row],[SL]]/(Tableau4849[[#This Row],[VOLUME]]/$I$5),0)</f>
        <v>0</v>
      </c>
      <c r="P65" s="26" t="str">
        <f>Tableau4849[[#This Row],[COMMAND]]</f>
        <v>SELL</v>
      </c>
      <c r="Q6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1.06333 M1M1</v>
      </c>
      <c r="R65" s="29">
        <v>20</v>
      </c>
      <c r="S65" s="26" t="str">
        <f>IF(Tableau4849[[#This Row],[ETAT]]="LOSE",IF(IFERROR(ABS(SUBSTITUTE(Tableau4849[[#This Row],[PRICE]],".",",")-'[1]Deal ticket'!$B$16)*1000,"")&lt;=$S$5,"GO","WAIT"),"")</f>
        <v/>
      </c>
      <c r="T6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5" s="34" t="str">
        <f>IF(Tableau4849[[#This Row],[ETAT]]="LOSE",IF(IFERROR(ABS(SUBSTITUTE(Tableau4849[[#This Row],[PRICE]],".",",")-'[1]Deal ticket'!$B$16)*1000,"")&lt;=$U$5,"GO","WAIT"),"")</f>
        <v/>
      </c>
      <c r="V65" s="26">
        <f>IF(Tableau4849[[#This Row],[INDEX]]&lt;3,"",SUMIFS(Tableau4849[SL],Tableau4849[Colonne5],Tableau4849[[#This Row],[Colonne5]])+$S$4)</f>
        <v>1</v>
      </c>
      <c r="W65" s="34" t="str">
        <f>IF(Tableau4849[[#This Row],[ETAT]]="LOSE",IF(IFERROR(ABS(SUBSTITUTE(Tableau4849[[#This Row],[PRICE]],".",",")-'[1]Deal ticket'!$B$16)*1000,"")&lt;=$W$5,"GO","WAIT"),"")</f>
        <v/>
      </c>
      <c r="X6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5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65" s="26" t="str">
        <f>IF(AND(Tableau4849[[#This Row],[3,8]]=1),Tableau4849[[#This Row],[INDEX]],"")</f>
        <v/>
      </c>
      <c r="AC65" s="26" t="str">
        <f ca="1">IF(IFERROR(_xlfn.XLOOKUP(Tableau4849[[#This Row],[IDENTITE]],[1]!Tableau47[GLOBUY],[1]!Tableau47[GLOBUY]),"")="","",1)</f>
        <v/>
      </c>
      <c r="AD65" s="26" t="str">
        <f>IF(IFERROR(_xlfn.XLOOKUP(Tableau4849[[#This Row],[IDENTITE]],[1]!Tableau47[GLOSELL],[1]!Tableau47[GLOSELL]),"")="","",1)</f>
        <v/>
      </c>
      <c r="AE65" s="26"/>
      <c r="AF65" s="26">
        <f>IF(Tableau4849[[#This Row],[INDEX]]&lt;3,"",IF(Tableau4849[[#This Row],[COMMAND]]="","",IF('[1]Bar history'!$AA$33=1,1,"")))</f>
        <v>1</v>
      </c>
      <c r="AG65" s="26"/>
      <c r="AH65" s="26" t="str">
        <f>IF(IFERROR(_xlfn.XLOOKUP(Tableau4849[[#This Row],[IDENTITE]],[1]!Tableau47[COMMENTAIRE],[1]!Tableau47[CLOTURE]),"")=[1]PARAMETRE!$BK$31,Tableau4849[[#This Row],[INDEX]],"")</f>
        <v/>
      </c>
      <c r="AI65" s="26"/>
      <c r="AJ65" s="35" t="str">
        <f>IF(AND(ISNUMBER(SEARCH("BUY",Tableau4849[[#This Row],[COMMAND]]))),"BUYSTOP",IF(AND(ISNUMBER(SEARCH("SELL",Tableau4849[[#This Row],[COMMAND]]))),"SELLSTOP",""))</f>
        <v>SELLSTOP</v>
      </c>
      <c r="AK65" s="35" t="str">
        <f>IFERROR(SUBSTITUTE(Tableau4849[[#This Row],[PRICE]],",","."),"")</f>
        <v>1.06333</v>
      </c>
      <c r="AL65" s="35" t="str">
        <f>IF(Tableau4849[[#This Row],[INDEX]]&lt;3,"",Tableau4849[[#This Row],[IDENTITE]])</f>
        <v>1 RSRS S 1.06333 M1M1</v>
      </c>
      <c r="AM65" s="35" t="str">
        <f>IF(Tableau4849[[#This Row],[INDEX]]&lt;3,"",Tableau4849[[#This Row],[DEVISE]])</f>
        <v>EURUSD</v>
      </c>
      <c r="AN65" s="35">
        <f>IFERROR(IF(Tableau4849[[#This Row],[INDEX]]&lt;3,"",Tableau4849[[#This Row],[ATTEINT]]),100000)</f>
        <v>100000</v>
      </c>
      <c r="AO65" s="35">
        <f>IF(Tableau4849[[#This Row],[INDEX]]&lt;3,"",Tableau4849[[#This Row],[COMPTE]])</f>
        <v>925832</v>
      </c>
      <c r="AP65" s="35" t="str">
        <f>IF(Tableau4849[[#This Row],[INDEX]]&lt;3,"","NON")</f>
        <v>NON</v>
      </c>
      <c r="AQ65" s="35" t="str">
        <f>IF(Tableau4849[[#This Row],[INDEX]]&lt;3,"",IF(Tableau4849[[#This Row],[0,5]]&lt;0,"NEGATIF",""))</f>
        <v/>
      </c>
    </row>
    <row r="66" spans="1:43" x14ac:dyDescent="0.25">
      <c r="A66" s="24">
        <v>60</v>
      </c>
      <c r="B66" s="32">
        <v>44923.321134259262</v>
      </c>
      <c r="C66" s="26">
        <v>925832</v>
      </c>
      <c r="D66" s="24" t="s">
        <v>0</v>
      </c>
      <c r="E66" s="24" t="s">
        <v>46</v>
      </c>
      <c r="F66" s="24">
        <v>1.0630299999999999</v>
      </c>
      <c r="G66" s="26">
        <v>48000</v>
      </c>
      <c r="H66" s="27" t="s">
        <v>211</v>
      </c>
      <c r="I66" s="28" t="str">
        <f>IF(IFERROR(_xlfn.XLOOKUP(Tableau4849[[#This Row],[SL]],'[1]Tickets (2)'!J62:J856,'[1]Tickets (2)'!I65:I859),"")=0,"",IFERROR(_xlfn.XLOOKUP(Tableau4849[[#This Row],[SL]],'[1]Tickets (2)'!J62:J856,'[1]Tickets (2)'!I65:I859),""))</f>
        <v/>
      </c>
      <c r="K6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6" s="33">
        <v>44923.630886574072</v>
      </c>
      <c r="N66" s="3" t="str">
        <f>IF(Tableau4849[[#This Row],[T CLOSE]]&gt;[1]CONFIGURATION!$K$4,Tableau4849[[#This Row],[IDENTITE]],"")</f>
        <v/>
      </c>
      <c r="O66" s="26">
        <f>IFERROR(Tableau4849[[#This Row],[SL]]/(Tableau4849[[#This Row],[VOLUME]]/$I$5),0)</f>
        <v>0</v>
      </c>
      <c r="P66" s="26" t="str">
        <f>Tableau4849[[#This Row],[COMMAND]]</f>
        <v>SELL</v>
      </c>
      <c r="Q6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1.06393 M1M1</v>
      </c>
      <c r="R66" s="29">
        <v>-596</v>
      </c>
      <c r="S66" s="26" t="str">
        <f>IF(Tableau4849[[#This Row],[ETAT]]="LOSE",IF(IFERROR(ABS(SUBSTITUTE(Tableau4849[[#This Row],[PRICE]],".",",")-'[1]Deal ticket'!$B$16)*1000,"")&lt;=$S$5,"GO","WAIT"),"")</f>
        <v/>
      </c>
      <c r="T6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6" s="34" t="str">
        <f>IF(Tableau4849[[#This Row],[ETAT]]="LOSE",IF(IFERROR(ABS(SUBSTITUTE(Tableau4849[[#This Row],[PRICE]],".",",")-'[1]Deal ticket'!$B$16)*1000,"")&lt;=$U$5,"GO","WAIT"),"")</f>
        <v/>
      </c>
      <c r="V66" s="26">
        <f>IF(Tableau4849[[#This Row],[INDEX]]&lt;3,"",SUMIFS(Tableau4849[SL],Tableau4849[Colonne5],Tableau4849[[#This Row],[Colonne5]])+$S$4)</f>
        <v>1</v>
      </c>
      <c r="W66" s="34" t="str">
        <f>IF(Tableau4849[[#This Row],[ETAT]]="LOSE",IF(IFERROR(ABS(SUBSTITUTE(Tableau4849[[#This Row],[PRICE]],".",",")-'[1]Deal ticket'!$B$16)*1000,"")&lt;=$W$5,"GO","WAIT"),"")</f>
        <v/>
      </c>
      <c r="X6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6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66" s="26">
        <f>IF(AND(Tableau4849[[#This Row],[3,8]]=1),Tableau4849[[#This Row],[INDEX]],"")</f>
        <v>60</v>
      </c>
      <c r="AC66" s="26" t="str">
        <f ca="1">IF(IFERROR(_xlfn.XLOOKUP(Tableau4849[[#This Row],[IDENTITE]],[1]!Tableau47[GLOBUY],[1]!Tableau47[GLOBUY]),"")="","",1)</f>
        <v/>
      </c>
      <c r="AD66" s="26" t="str">
        <f>IF(IFERROR(_xlfn.XLOOKUP(Tableau4849[[#This Row],[IDENTITE]],[1]!Tableau47[GLOSELL],[1]!Tableau47[GLOSELL]),"")="","",1)</f>
        <v/>
      </c>
      <c r="AE66" s="26"/>
      <c r="AF66" s="26">
        <f>IF(Tableau4849[[#This Row],[INDEX]]&lt;3,"",IF(Tableau4849[[#This Row],[COMMAND]]="","",IF('[1]Bar history'!$AA$33=1,1,"")))</f>
        <v>1</v>
      </c>
      <c r="AG66" s="26"/>
      <c r="AH66" s="26" t="str">
        <f>IF(IFERROR(_xlfn.XLOOKUP(Tableau4849[[#This Row],[IDENTITE]],[1]!Tableau47[COMMENTAIRE],[1]!Tableau47[CLOTURE]),"")=[1]PARAMETRE!$BK$31,Tableau4849[[#This Row],[INDEX]],"")</f>
        <v/>
      </c>
      <c r="AI66" s="26"/>
      <c r="AJ66" s="35" t="str">
        <f>IF(AND(ISNUMBER(SEARCH("BUY",Tableau4849[[#This Row],[COMMAND]]))),"BUYSTOP",IF(AND(ISNUMBER(SEARCH("SELL",Tableau4849[[#This Row],[COMMAND]]))),"SELLSTOP",""))</f>
        <v>SELLSTOP</v>
      </c>
      <c r="AK66" s="35" t="str">
        <f>IFERROR(SUBSTITUTE(Tableau4849[[#This Row],[PRICE]],",","."),"")</f>
        <v>1.06303</v>
      </c>
      <c r="AL66" s="35" t="str">
        <f>IF(Tableau4849[[#This Row],[INDEX]]&lt;3,"",Tableau4849[[#This Row],[IDENTITE]])</f>
        <v>1 RSRS S 1.06393 M1M1</v>
      </c>
      <c r="AM66" s="35" t="str">
        <f>IF(Tableau4849[[#This Row],[INDEX]]&lt;3,"",Tableau4849[[#This Row],[DEVISE]])</f>
        <v>EURUSD</v>
      </c>
      <c r="AN66" s="35">
        <f>IFERROR(IF(Tableau4849[[#This Row],[INDEX]]&lt;3,"",Tableau4849[[#This Row],[ATTEINT]]),100000)</f>
        <v>100000</v>
      </c>
      <c r="AO66" s="35">
        <f>IF(Tableau4849[[#This Row],[INDEX]]&lt;3,"",Tableau4849[[#This Row],[COMPTE]])</f>
        <v>925832</v>
      </c>
      <c r="AP66" s="35" t="str">
        <f>IF(Tableau4849[[#This Row],[INDEX]]&lt;3,"","NON")</f>
        <v>NON</v>
      </c>
      <c r="AQ66" s="35" t="str">
        <f>IF(Tableau4849[[#This Row],[INDEX]]&lt;3,"",IF(Tableau4849[[#This Row],[0,5]]&lt;0,"NEGATIF",""))</f>
        <v>NEGATIF</v>
      </c>
    </row>
    <row r="67" spans="1:43" x14ac:dyDescent="0.25">
      <c r="A67" s="24">
        <v>61</v>
      </c>
      <c r="B67" s="32">
        <v>44923.320243055554</v>
      </c>
      <c r="C67" s="26">
        <v>925832</v>
      </c>
      <c r="D67" s="24" t="s">
        <v>0</v>
      </c>
      <c r="E67" s="24" t="s">
        <v>46</v>
      </c>
      <c r="F67" s="24">
        <v>1.0625599999999999</v>
      </c>
      <c r="G67" s="26">
        <v>23000</v>
      </c>
      <c r="H67" s="27" t="s">
        <v>213</v>
      </c>
      <c r="I67" s="28" t="str">
        <f>IF(IFERROR(_xlfn.XLOOKUP(Tableau4849[[#This Row],[SL]],'[1]Tickets (2)'!J63:J857,'[1]Tickets (2)'!I66:I860),"")=0,"",IFERROR(_xlfn.XLOOKUP(Tableau4849[[#This Row],[SL]],'[1]Tickets (2)'!J63:J857,'[1]Tickets (2)'!I66:I860),""))</f>
        <v/>
      </c>
      <c r="K6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7" s="33">
        <v>44923.630886574072</v>
      </c>
      <c r="N67" s="3" t="str">
        <f>IF(Tableau4849[[#This Row],[T CLOSE]]&gt;[1]CONFIGURATION!$K$4,Tableau4849[[#This Row],[IDENTITE]],"")</f>
        <v/>
      </c>
      <c r="O67" s="26">
        <f>IFERROR(Tableau4849[[#This Row],[SL]]/(Tableau4849[[#This Row],[VOLUME]]/$I$5),0)</f>
        <v>0</v>
      </c>
      <c r="P67" s="26" t="str">
        <f>Tableau4849[[#This Row],[COMMAND]]</f>
        <v>SELL</v>
      </c>
      <c r="Q6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1.06257 M1M1</v>
      </c>
      <c r="R67" s="29">
        <v>-606</v>
      </c>
      <c r="S67" s="26" t="str">
        <f>IF(Tableau4849[[#This Row],[ETAT]]="LOSE",IF(IFERROR(ABS(SUBSTITUTE(Tableau4849[[#This Row],[PRICE]],".",",")-'[1]Deal ticket'!$B$16)*1000,"")&lt;=$S$5,"GO","WAIT"),"")</f>
        <v/>
      </c>
      <c r="T6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7" s="34" t="str">
        <f>IF(Tableau4849[[#This Row],[ETAT]]="LOSE",IF(IFERROR(ABS(SUBSTITUTE(Tableau4849[[#This Row],[PRICE]],".",",")-'[1]Deal ticket'!$B$16)*1000,"")&lt;=$U$5,"GO","WAIT"),"")</f>
        <v/>
      </c>
      <c r="V67" s="26">
        <f>IF(Tableau4849[[#This Row],[INDEX]]&lt;3,"",SUMIFS(Tableau4849[SL],Tableau4849[Colonne5],Tableau4849[[#This Row],[Colonne5]])+$S$4)</f>
        <v>1</v>
      </c>
      <c r="W67" s="34" t="str">
        <f>IF(Tableau4849[[#This Row],[ETAT]]="LOSE",IF(IFERROR(ABS(SUBSTITUTE(Tableau4849[[#This Row],[PRICE]],".",",")-'[1]Deal ticket'!$B$16)*1000,"")&lt;=$W$5,"GO","WAIT"),"")</f>
        <v/>
      </c>
      <c r="X6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67" s="26">
        <f>IF(AND(Tableau4849[[#This Row],[3,8]]=1),Tableau4849[[#This Row],[INDEX]],"")</f>
        <v>61</v>
      </c>
      <c r="AC67" s="26" t="str">
        <f ca="1">IF(IFERROR(_xlfn.XLOOKUP(Tableau4849[[#This Row],[IDENTITE]],[1]!Tableau47[GLOBUY],[1]!Tableau47[GLOBUY]),"")="","",1)</f>
        <v/>
      </c>
      <c r="AD67" s="26" t="str">
        <f>IF(IFERROR(_xlfn.XLOOKUP(Tableau4849[[#This Row],[IDENTITE]],[1]!Tableau47[GLOSELL],[1]!Tableau47[GLOSELL]),"")="","",1)</f>
        <v/>
      </c>
      <c r="AE67" s="26"/>
      <c r="AF67" s="26">
        <f>IF(Tableau4849[[#This Row],[INDEX]]&lt;3,"",IF(Tableau4849[[#This Row],[COMMAND]]="","",IF('[1]Bar history'!$AA$33=1,1,"")))</f>
        <v>1</v>
      </c>
      <c r="AG67" s="26"/>
      <c r="AH67" s="26" t="str">
        <f>IF(IFERROR(_xlfn.XLOOKUP(Tableau4849[[#This Row],[IDENTITE]],[1]!Tableau47[COMMENTAIRE],[1]!Tableau47[CLOTURE]),"")=[1]PARAMETRE!$BK$31,Tableau4849[[#This Row],[INDEX]],"")</f>
        <v/>
      </c>
      <c r="AI67" s="26"/>
      <c r="AJ67" s="35" t="str">
        <f>IF(AND(ISNUMBER(SEARCH("BUY",Tableau4849[[#This Row],[COMMAND]]))),"BUYSTOP",IF(AND(ISNUMBER(SEARCH("SELL",Tableau4849[[#This Row],[COMMAND]]))),"SELLSTOP",""))</f>
        <v>SELLSTOP</v>
      </c>
      <c r="AK67" s="35" t="str">
        <f>IFERROR(SUBSTITUTE(Tableau4849[[#This Row],[PRICE]],",","."),"")</f>
        <v>1.06256</v>
      </c>
      <c r="AL67" s="35" t="str">
        <f>IF(Tableau4849[[#This Row],[INDEX]]&lt;3,"",Tableau4849[[#This Row],[IDENTITE]])</f>
        <v>1 RSRS S 1.06257 M1M1</v>
      </c>
      <c r="AM67" s="35" t="str">
        <f>IF(Tableau4849[[#This Row],[INDEX]]&lt;3,"",Tableau4849[[#This Row],[DEVISE]])</f>
        <v>EURUSD</v>
      </c>
      <c r="AN67" s="35">
        <f>IFERROR(IF(Tableau4849[[#This Row],[INDEX]]&lt;3,"",Tableau4849[[#This Row],[ATTEINT]]),100000)</f>
        <v>100000</v>
      </c>
      <c r="AO67" s="35">
        <f>IF(Tableau4849[[#This Row],[INDEX]]&lt;3,"",Tableau4849[[#This Row],[COMPTE]])</f>
        <v>925832</v>
      </c>
      <c r="AP67" s="35" t="str">
        <f>IF(Tableau4849[[#This Row],[INDEX]]&lt;3,"","NON")</f>
        <v>NON</v>
      </c>
      <c r="AQ67" s="35" t="str">
        <f>IF(Tableau4849[[#This Row],[INDEX]]&lt;3,"",IF(Tableau4849[[#This Row],[0,5]]&lt;0,"NEGATIF",""))</f>
        <v>NEGATIF</v>
      </c>
    </row>
    <row r="68" spans="1:43" x14ac:dyDescent="0.25">
      <c r="A68" s="24">
        <v>62</v>
      </c>
      <c r="B68" s="32">
        <v>44923.311168981483</v>
      </c>
      <c r="C68" s="26">
        <v>925832</v>
      </c>
      <c r="D68" s="24" t="s">
        <v>0</v>
      </c>
      <c r="E68" s="24" t="s">
        <v>46</v>
      </c>
      <c r="F68" s="24">
        <v>1.06413</v>
      </c>
      <c r="G68" s="26">
        <v>4000</v>
      </c>
      <c r="H68" s="27" t="s">
        <v>215</v>
      </c>
      <c r="I68" s="28" t="str">
        <f>IF(IFERROR(_xlfn.XLOOKUP(Tableau4849[[#This Row],[SL]],'[1]Tickets (2)'!J64:J858,'[1]Tickets (2)'!I67:I861),"")=0,"",IFERROR(_xlfn.XLOOKUP(Tableau4849[[#This Row],[SL]],'[1]Tickets (2)'!J64:J858,'[1]Tickets (2)'!I67:I861),""))</f>
        <v/>
      </c>
      <c r="K6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8" s="33">
        <v>44923.630886574072</v>
      </c>
      <c r="N68" s="3" t="str">
        <f>IF(Tableau4849[[#This Row],[T CLOSE]]&gt;[1]CONFIGURATION!$K$4,Tableau4849[[#This Row],[IDENTITE]],"")</f>
        <v/>
      </c>
      <c r="O68" s="26">
        <f>IFERROR(Tableau4849[[#This Row],[SL]]/(Tableau4849[[#This Row],[VOLUME]]/$I$5),0)</f>
        <v>0</v>
      </c>
      <c r="P68" s="26" t="str">
        <f>Tableau4849[[#This Row],[COMMAND]]</f>
        <v>SELL</v>
      </c>
      <c r="Q6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1.06416 M1M1</v>
      </c>
      <c r="R68" s="29">
        <v>-616</v>
      </c>
      <c r="S68" s="26" t="str">
        <f>IF(Tableau4849[[#This Row],[ETAT]]="LOSE",IF(IFERROR(ABS(SUBSTITUTE(Tableau4849[[#This Row],[PRICE]],".",",")-'[1]Deal ticket'!$B$16)*1000,"")&lt;=$S$5,"GO","WAIT"),"")</f>
        <v/>
      </c>
      <c r="T6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8" s="34" t="str">
        <f>IF(Tableau4849[[#This Row],[ETAT]]="LOSE",IF(IFERROR(ABS(SUBSTITUTE(Tableau4849[[#This Row],[PRICE]],".",",")-'[1]Deal ticket'!$B$16)*1000,"")&lt;=$U$5,"GO","WAIT"),"")</f>
        <v/>
      </c>
      <c r="V68" s="26">
        <f>IF(Tableau4849[[#This Row],[INDEX]]&lt;3,"",SUMIFS(Tableau4849[SL],Tableau4849[Colonne5],Tableau4849[[#This Row],[Colonne5]])+$S$4)</f>
        <v>1</v>
      </c>
      <c r="W68" s="34" t="str">
        <f>IF(Tableau4849[[#This Row],[ETAT]]="LOSE",IF(IFERROR(ABS(SUBSTITUTE(Tableau4849[[#This Row],[PRICE]],".",",")-'[1]Deal ticket'!$B$16)*1000,"")&lt;=$W$5,"GO","WAIT"),"")</f>
        <v/>
      </c>
      <c r="X6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68" s="26">
        <f>IF(AND(Tableau4849[[#This Row],[3,8]]=1),Tableau4849[[#This Row],[INDEX]],"")</f>
        <v>62</v>
      </c>
      <c r="AC68" s="26" t="str">
        <f ca="1">IF(IFERROR(_xlfn.XLOOKUP(Tableau4849[[#This Row],[IDENTITE]],[1]!Tableau47[GLOBUY],[1]!Tableau47[GLOBUY]),"")="","",1)</f>
        <v/>
      </c>
      <c r="AD68" s="26" t="str">
        <f>IF(IFERROR(_xlfn.XLOOKUP(Tableau4849[[#This Row],[IDENTITE]],[1]!Tableau47[GLOSELL],[1]!Tableau47[GLOSELL]),"")="","",1)</f>
        <v/>
      </c>
      <c r="AE68" s="26"/>
      <c r="AF68" s="26">
        <f>IF(Tableau4849[[#This Row],[INDEX]]&lt;3,"",IF(Tableau4849[[#This Row],[COMMAND]]="","",IF('[1]Bar history'!$AA$33=1,1,"")))</f>
        <v>1</v>
      </c>
      <c r="AG68" s="26"/>
      <c r="AH68" s="26" t="str">
        <f>IF(IFERROR(_xlfn.XLOOKUP(Tableau4849[[#This Row],[IDENTITE]],[1]!Tableau47[COMMENTAIRE],[1]!Tableau47[CLOTURE]),"")=[1]PARAMETRE!$BK$31,Tableau4849[[#This Row],[INDEX]],"")</f>
        <v/>
      </c>
      <c r="AI68" s="26"/>
      <c r="AJ68" s="35" t="str">
        <f>IF(AND(ISNUMBER(SEARCH("BUY",Tableau4849[[#This Row],[COMMAND]]))),"BUYSTOP",IF(AND(ISNUMBER(SEARCH("SELL",Tableau4849[[#This Row],[COMMAND]]))),"SELLSTOP",""))</f>
        <v>SELLSTOP</v>
      </c>
      <c r="AK68" s="35" t="str">
        <f>IFERROR(SUBSTITUTE(Tableau4849[[#This Row],[PRICE]],",","."),"")</f>
        <v>1.06413</v>
      </c>
      <c r="AL68" s="35" t="str">
        <f>IF(Tableau4849[[#This Row],[INDEX]]&lt;3,"",Tableau4849[[#This Row],[IDENTITE]])</f>
        <v>1 RSRS S 1.06416 M1M1</v>
      </c>
      <c r="AM68" s="35" t="str">
        <f>IF(Tableau4849[[#This Row],[INDEX]]&lt;3,"",Tableau4849[[#This Row],[DEVISE]])</f>
        <v>EURUSD</v>
      </c>
      <c r="AN68" s="35">
        <f>IFERROR(IF(Tableau4849[[#This Row],[INDEX]]&lt;3,"",Tableau4849[[#This Row],[ATTEINT]]),100000)</f>
        <v>100000</v>
      </c>
      <c r="AO68" s="35">
        <f>IF(Tableau4849[[#This Row],[INDEX]]&lt;3,"",Tableau4849[[#This Row],[COMPTE]])</f>
        <v>925832</v>
      </c>
      <c r="AP68" s="35" t="str">
        <f>IF(Tableau4849[[#This Row],[INDEX]]&lt;3,"","NON")</f>
        <v>NON</v>
      </c>
      <c r="AQ68" s="35" t="str">
        <f>IF(Tableau4849[[#This Row],[INDEX]]&lt;3,"",IF(Tableau4849[[#This Row],[0,5]]&lt;0,"NEGATIF",""))</f>
        <v>NEGATIF</v>
      </c>
    </row>
    <row r="69" spans="1:43" x14ac:dyDescent="0.25">
      <c r="A69" s="24">
        <v>63</v>
      </c>
      <c r="B69" s="32">
        <v>44923.310358796298</v>
      </c>
      <c r="C69" s="26">
        <v>925832</v>
      </c>
      <c r="D69" s="24" t="s">
        <v>0</v>
      </c>
      <c r="E69" s="24" t="s">
        <v>46</v>
      </c>
      <c r="F69" s="24">
        <v>1.0642100000000001</v>
      </c>
      <c r="G69" s="26">
        <v>4000</v>
      </c>
      <c r="H69" s="27" t="s">
        <v>217</v>
      </c>
      <c r="I69" s="28" t="str">
        <f>IF(IFERROR(_xlfn.XLOOKUP(Tableau4849[[#This Row],[SL]],'[1]Tickets (2)'!J65:J859,'[1]Tickets (2)'!I68:I862),"")=0,"",IFERROR(_xlfn.XLOOKUP(Tableau4849[[#This Row],[SL]],'[1]Tickets (2)'!J65:J859,'[1]Tickets (2)'!I68:I862),""))</f>
        <v/>
      </c>
      <c r="K6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69" s="33">
        <v>44923.630886574072</v>
      </c>
      <c r="N69" s="3" t="str">
        <f>IF(Tableau4849[[#This Row],[T CLOSE]]&gt;[1]CONFIGURATION!$K$4,Tableau4849[[#This Row],[IDENTITE]],"")</f>
        <v/>
      </c>
      <c r="O69" s="26">
        <f>IFERROR(Tableau4849[[#This Row],[SL]]/(Tableau4849[[#This Row],[VOLUME]]/$I$5),0)</f>
        <v>0</v>
      </c>
      <c r="P69" s="26" t="str">
        <f>Tableau4849[[#This Row],[COMMAND]]</f>
        <v>SELL</v>
      </c>
      <c r="Q6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1.06421 M1M1</v>
      </c>
      <c r="R69" s="29">
        <v>-626</v>
      </c>
      <c r="S69" s="26" t="str">
        <f>IF(Tableau4849[[#This Row],[ETAT]]="LOSE",IF(IFERROR(ABS(SUBSTITUTE(Tableau4849[[#This Row],[PRICE]],".",",")-'[1]Deal ticket'!$B$16)*1000,"")&lt;=$S$5,"GO","WAIT"),"")</f>
        <v/>
      </c>
      <c r="T6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69" s="34" t="str">
        <f>IF(Tableau4849[[#This Row],[ETAT]]="LOSE",IF(IFERROR(ABS(SUBSTITUTE(Tableau4849[[#This Row],[PRICE]],".",",")-'[1]Deal ticket'!$B$16)*1000,"")&lt;=$U$5,"GO","WAIT"),"")</f>
        <v/>
      </c>
      <c r="V69" s="26">
        <f>IF(Tableau4849[[#This Row],[INDEX]]&lt;3,"",SUMIFS(Tableau4849[SL],Tableau4849[Colonne5],Tableau4849[[#This Row],[Colonne5]])+$S$4)</f>
        <v>1</v>
      </c>
      <c r="W69" s="34" t="str">
        <f>IF(Tableau4849[[#This Row],[ETAT]]="LOSE",IF(IFERROR(ABS(SUBSTITUTE(Tableau4849[[#This Row],[PRICE]],".",",")-'[1]Deal ticket'!$B$16)*1000,"")&lt;=$W$5,"GO","WAIT"),"")</f>
        <v/>
      </c>
      <c r="X6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6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6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6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69" s="26">
        <f>IF(AND(Tableau4849[[#This Row],[3,8]]=1),Tableau4849[[#This Row],[INDEX]],"")</f>
        <v>63</v>
      </c>
      <c r="AC69" s="26" t="str">
        <f ca="1">IF(IFERROR(_xlfn.XLOOKUP(Tableau4849[[#This Row],[IDENTITE]],[1]!Tableau47[GLOBUY],[1]!Tableau47[GLOBUY]),"")="","",1)</f>
        <v/>
      </c>
      <c r="AD69" s="26" t="str">
        <f>IF(IFERROR(_xlfn.XLOOKUP(Tableau4849[[#This Row],[IDENTITE]],[1]!Tableau47[GLOSELL],[1]!Tableau47[GLOSELL]),"")="","",1)</f>
        <v/>
      </c>
      <c r="AE69" s="26"/>
      <c r="AF69" s="26">
        <f>IF(Tableau4849[[#This Row],[INDEX]]&lt;3,"",IF(Tableau4849[[#This Row],[COMMAND]]="","",IF('[1]Bar history'!$AA$33=1,1,"")))</f>
        <v>1</v>
      </c>
      <c r="AG69" s="26"/>
      <c r="AH69" s="26" t="str">
        <f>IF(IFERROR(_xlfn.XLOOKUP(Tableau4849[[#This Row],[IDENTITE]],[1]!Tableau47[COMMENTAIRE],[1]!Tableau47[CLOTURE]),"")=[1]PARAMETRE!$BK$31,Tableau4849[[#This Row],[INDEX]],"")</f>
        <v/>
      </c>
      <c r="AI69" s="26"/>
      <c r="AJ69" s="35" t="str">
        <f>IF(AND(ISNUMBER(SEARCH("BUY",Tableau4849[[#This Row],[COMMAND]]))),"BUYSTOP",IF(AND(ISNUMBER(SEARCH("SELL",Tableau4849[[#This Row],[COMMAND]]))),"SELLSTOP",""))</f>
        <v>SELLSTOP</v>
      </c>
      <c r="AK69" s="35" t="str">
        <f>IFERROR(SUBSTITUTE(Tableau4849[[#This Row],[PRICE]],",","."),"")</f>
        <v>1.06421</v>
      </c>
      <c r="AL69" s="35" t="str">
        <f>IF(Tableau4849[[#This Row],[INDEX]]&lt;3,"",Tableau4849[[#This Row],[IDENTITE]])</f>
        <v>1 RSRS S 1.06421 M1M1</v>
      </c>
      <c r="AM69" s="35" t="str">
        <f>IF(Tableau4849[[#This Row],[INDEX]]&lt;3,"",Tableau4849[[#This Row],[DEVISE]])</f>
        <v>EURUSD</v>
      </c>
      <c r="AN69" s="35">
        <f>IFERROR(IF(Tableau4849[[#This Row],[INDEX]]&lt;3,"",Tableau4849[[#This Row],[ATTEINT]]),100000)</f>
        <v>100000</v>
      </c>
      <c r="AO69" s="35">
        <f>IF(Tableau4849[[#This Row],[INDEX]]&lt;3,"",Tableau4849[[#This Row],[COMPTE]])</f>
        <v>925832</v>
      </c>
      <c r="AP69" s="35" t="str">
        <f>IF(Tableau4849[[#This Row],[INDEX]]&lt;3,"","NON")</f>
        <v>NON</v>
      </c>
      <c r="AQ69" s="35" t="str">
        <f>IF(Tableau4849[[#This Row],[INDEX]]&lt;3,"",IF(Tableau4849[[#This Row],[0,5]]&lt;0,"NEGATIF",""))</f>
        <v>NEGATIF</v>
      </c>
    </row>
    <row r="70" spans="1:43" x14ac:dyDescent="0.25">
      <c r="A70" s="24">
        <v>64</v>
      </c>
      <c r="B70" s="32">
        <v>44923.309629629628</v>
      </c>
      <c r="C70" s="26">
        <v>925832</v>
      </c>
      <c r="D70" s="24" t="s">
        <v>0</v>
      </c>
      <c r="E70" s="24" t="s">
        <v>46</v>
      </c>
      <c r="F70" s="24">
        <v>1.0640700000000001</v>
      </c>
      <c r="G70" s="26">
        <v>3000</v>
      </c>
      <c r="H70" s="27" t="s">
        <v>219</v>
      </c>
      <c r="I70" s="28" t="str">
        <f>IF(IFERROR(_xlfn.XLOOKUP(Tableau4849[[#This Row],[SL]],'[1]Tickets (2)'!J66:J860,'[1]Tickets (2)'!I69:I863),"")=0,"",IFERROR(_xlfn.XLOOKUP(Tableau4849[[#This Row],[SL]],'[1]Tickets (2)'!J66:J860,'[1]Tickets (2)'!I69:I863),""))</f>
        <v/>
      </c>
      <c r="K7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0" s="33">
        <v>44923.630886574072</v>
      </c>
      <c r="N70" s="3" t="str">
        <f>IF(Tableau4849[[#This Row],[T CLOSE]]&gt;[1]CONFIGURATION!$K$4,Tableau4849[[#This Row],[IDENTITE]],"")</f>
        <v/>
      </c>
      <c r="O70" s="26">
        <f>IFERROR(Tableau4849[[#This Row],[SL]]/(Tableau4849[[#This Row],[VOLUME]]/$I$5),0)</f>
        <v>0</v>
      </c>
      <c r="P70" s="26" t="str">
        <f>Tableau4849[[#This Row],[COMMAND]]</f>
        <v>SELL</v>
      </c>
      <c r="Q7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1.06413 M1M1</v>
      </c>
      <c r="R70" s="29">
        <v>-636</v>
      </c>
      <c r="S70" s="26" t="str">
        <f>IF(Tableau4849[[#This Row],[ETAT]]="LOSE",IF(IFERROR(ABS(SUBSTITUTE(Tableau4849[[#This Row],[PRICE]],".",",")-'[1]Deal ticket'!$B$16)*1000,"")&lt;=$S$5,"GO","WAIT"),"")</f>
        <v/>
      </c>
      <c r="T7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0" s="34" t="str">
        <f>IF(Tableau4849[[#This Row],[ETAT]]="LOSE",IF(IFERROR(ABS(SUBSTITUTE(Tableau4849[[#This Row],[PRICE]],".",",")-'[1]Deal ticket'!$B$16)*1000,"")&lt;=$U$5,"GO","WAIT"),"")</f>
        <v/>
      </c>
      <c r="V70" s="26">
        <f>IF(Tableau4849[[#This Row],[INDEX]]&lt;3,"",SUMIFS(Tableau4849[SL],Tableau4849[Colonne5],Tableau4849[[#This Row],[Colonne5]])+$S$4)</f>
        <v>1</v>
      </c>
      <c r="W70" s="34" t="str">
        <f>IF(Tableau4849[[#This Row],[ETAT]]="LOSE",IF(IFERROR(ABS(SUBSTITUTE(Tableau4849[[#This Row],[PRICE]],".",",")-'[1]Deal ticket'!$B$16)*1000,"")&lt;=$W$5,"GO","WAIT"),"")</f>
        <v/>
      </c>
      <c r="X7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0" s="26">
        <f>IF(AND(Tableau4849[[#This Row],[3,8]]=1),Tableau4849[[#This Row],[INDEX]],"")</f>
        <v>64</v>
      </c>
      <c r="AC70" s="26" t="str">
        <f ca="1">IF(IFERROR(_xlfn.XLOOKUP(Tableau4849[[#This Row],[IDENTITE]],[1]!Tableau47[GLOBUY],[1]!Tableau47[GLOBUY]),"")="","",1)</f>
        <v/>
      </c>
      <c r="AD70" s="26" t="str">
        <f>IF(IFERROR(_xlfn.XLOOKUP(Tableau4849[[#This Row],[IDENTITE]],[1]!Tableau47[GLOSELL],[1]!Tableau47[GLOSELL]),"")="","",1)</f>
        <v/>
      </c>
      <c r="AE70" s="26"/>
      <c r="AF70" s="26">
        <f>IF(Tableau4849[[#This Row],[INDEX]]&lt;3,"",IF(Tableau4849[[#This Row],[COMMAND]]="","",IF('[1]Bar history'!$AA$33=1,1,"")))</f>
        <v>1</v>
      </c>
      <c r="AG70" s="26"/>
      <c r="AH70" s="26" t="str">
        <f>IF(IFERROR(_xlfn.XLOOKUP(Tableau4849[[#This Row],[IDENTITE]],[1]!Tableau47[COMMENTAIRE],[1]!Tableau47[CLOTURE]),"")=[1]PARAMETRE!$BK$31,Tableau4849[[#This Row],[INDEX]],"")</f>
        <v/>
      </c>
      <c r="AI70" s="26"/>
      <c r="AJ70" s="35" t="str">
        <f>IF(AND(ISNUMBER(SEARCH("BUY",Tableau4849[[#This Row],[COMMAND]]))),"BUYSTOP",IF(AND(ISNUMBER(SEARCH("SELL",Tableau4849[[#This Row],[COMMAND]]))),"SELLSTOP",""))</f>
        <v>SELLSTOP</v>
      </c>
      <c r="AK70" s="35" t="str">
        <f>IFERROR(SUBSTITUTE(Tableau4849[[#This Row],[PRICE]],",","."),"")</f>
        <v>1.06407</v>
      </c>
      <c r="AL70" s="35" t="str">
        <f>IF(Tableau4849[[#This Row],[INDEX]]&lt;3,"",Tableau4849[[#This Row],[IDENTITE]])</f>
        <v>1 RSRS S 1.06413 M1M1</v>
      </c>
      <c r="AM70" s="35" t="str">
        <f>IF(Tableau4849[[#This Row],[INDEX]]&lt;3,"",Tableau4849[[#This Row],[DEVISE]])</f>
        <v>EURUSD</v>
      </c>
      <c r="AN70" s="35">
        <f>IFERROR(IF(Tableau4849[[#This Row],[INDEX]]&lt;3,"",Tableau4849[[#This Row],[ATTEINT]]),100000)</f>
        <v>100000</v>
      </c>
      <c r="AO70" s="35">
        <f>IF(Tableau4849[[#This Row],[INDEX]]&lt;3,"",Tableau4849[[#This Row],[COMPTE]])</f>
        <v>925832</v>
      </c>
      <c r="AP70" s="35" t="str">
        <f>IF(Tableau4849[[#This Row],[INDEX]]&lt;3,"","NON")</f>
        <v>NON</v>
      </c>
      <c r="AQ70" s="35" t="str">
        <f>IF(Tableau4849[[#This Row],[INDEX]]&lt;3,"",IF(Tableau4849[[#This Row],[0,5]]&lt;0,"NEGATIF",""))</f>
        <v>NEGATIF</v>
      </c>
    </row>
    <row r="71" spans="1:43" x14ac:dyDescent="0.25">
      <c r="A71" s="24">
        <v>65</v>
      </c>
      <c r="B71" s="32">
        <v>44923.30878472222</v>
      </c>
      <c r="C71" s="26">
        <v>925832</v>
      </c>
      <c r="D71" s="24" t="s">
        <v>0</v>
      </c>
      <c r="E71" s="24" t="s">
        <v>46</v>
      </c>
      <c r="F71" s="24">
        <v>1.0640400000000001</v>
      </c>
      <c r="G71" s="26">
        <v>4000</v>
      </c>
      <c r="H71" s="27" t="s">
        <v>221</v>
      </c>
      <c r="I71" s="28" t="str">
        <f>IF(IFERROR(_xlfn.XLOOKUP(Tableau4849[[#This Row],[SL]],'[1]Tickets (2)'!J67:J861,'[1]Tickets (2)'!I70:I864),"")=0,"",IFERROR(_xlfn.XLOOKUP(Tableau4849[[#This Row],[SL]],'[1]Tickets (2)'!J67:J861,'[1]Tickets (2)'!I70:I864),""))</f>
        <v/>
      </c>
      <c r="K7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1" s="33">
        <v>44923.630886574072</v>
      </c>
      <c r="N71" s="3" t="str">
        <f>IF(Tableau4849[[#This Row],[T CLOSE]]&gt;[1]CONFIGURATION!$K$4,Tableau4849[[#This Row],[IDENTITE]],"")</f>
        <v/>
      </c>
      <c r="O71" s="26">
        <f>IFERROR(Tableau4849[[#This Row],[SL]]/(Tableau4849[[#This Row],[VOLUME]]/$I$5),0)</f>
        <v>0</v>
      </c>
      <c r="P71" s="26" t="str">
        <f>Tableau4849[[#This Row],[COMMAND]]</f>
        <v>SELL</v>
      </c>
      <c r="Q7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1.06402 M1M1</v>
      </c>
      <c r="R71" s="29">
        <v>-646</v>
      </c>
      <c r="S71" s="26" t="str">
        <f>IF(Tableau4849[[#This Row],[ETAT]]="LOSE",IF(IFERROR(ABS(SUBSTITUTE(Tableau4849[[#This Row],[PRICE]],".",",")-'[1]Deal ticket'!$B$16)*1000,"")&lt;=$S$5,"GO","WAIT"),"")</f>
        <v/>
      </c>
      <c r="T7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1" s="34" t="str">
        <f>IF(Tableau4849[[#This Row],[ETAT]]="LOSE",IF(IFERROR(ABS(SUBSTITUTE(Tableau4849[[#This Row],[PRICE]],".",",")-'[1]Deal ticket'!$B$16)*1000,"")&lt;=$U$5,"GO","WAIT"),"")</f>
        <v/>
      </c>
      <c r="V71" s="26">
        <f>IF(Tableau4849[[#This Row],[INDEX]]&lt;3,"",SUMIFS(Tableau4849[SL],Tableau4849[Colonne5],Tableau4849[[#This Row],[Colonne5]])+$S$4)</f>
        <v>1</v>
      </c>
      <c r="W71" s="34" t="str">
        <f>IF(Tableau4849[[#This Row],[ETAT]]="LOSE",IF(IFERROR(ABS(SUBSTITUTE(Tableau4849[[#This Row],[PRICE]],".",",")-'[1]Deal ticket'!$B$16)*1000,"")&lt;=$W$5,"GO","WAIT"),"")</f>
        <v/>
      </c>
      <c r="X7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1" s="26">
        <f>IF(AND(Tableau4849[[#This Row],[3,8]]=1),Tableau4849[[#This Row],[INDEX]],"")</f>
        <v>65</v>
      </c>
      <c r="AC71" s="26" t="str">
        <f ca="1">IF(IFERROR(_xlfn.XLOOKUP(Tableau4849[[#This Row],[IDENTITE]],[1]!Tableau47[GLOBUY],[1]!Tableau47[GLOBUY]),"")="","",1)</f>
        <v/>
      </c>
      <c r="AD71" s="26" t="str">
        <f>IF(IFERROR(_xlfn.XLOOKUP(Tableau4849[[#This Row],[IDENTITE]],[1]!Tableau47[GLOSELL],[1]!Tableau47[GLOSELL]),"")="","",1)</f>
        <v/>
      </c>
      <c r="AE71" s="26"/>
      <c r="AF71" s="26">
        <f>IF(Tableau4849[[#This Row],[INDEX]]&lt;3,"",IF(Tableau4849[[#This Row],[COMMAND]]="","",IF('[1]Bar history'!$AA$33=1,1,"")))</f>
        <v>1</v>
      </c>
      <c r="AG71" s="26"/>
      <c r="AH71" s="26" t="str">
        <f>IF(IFERROR(_xlfn.XLOOKUP(Tableau4849[[#This Row],[IDENTITE]],[1]!Tableau47[COMMENTAIRE],[1]!Tableau47[CLOTURE]),"")=[1]PARAMETRE!$BK$31,Tableau4849[[#This Row],[INDEX]],"")</f>
        <v/>
      </c>
      <c r="AI71" s="26"/>
      <c r="AJ71" s="35" t="str">
        <f>IF(AND(ISNUMBER(SEARCH("BUY",Tableau4849[[#This Row],[COMMAND]]))),"BUYSTOP",IF(AND(ISNUMBER(SEARCH("SELL",Tableau4849[[#This Row],[COMMAND]]))),"SELLSTOP",""))</f>
        <v>SELLSTOP</v>
      </c>
      <c r="AK71" s="35" t="str">
        <f>IFERROR(SUBSTITUTE(Tableau4849[[#This Row],[PRICE]],",","."),"")</f>
        <v>1.06404</v>
      </c>
      <c r="AL71" s="35" t="str">
        <f>IF(Tableau4849[[#This Row],[INDEX]]&lt;3,"",Tableau4849[[#This Row],[IDENTITE]])</f>
        <v>1 RSRS S 1.06402 M1M1</v>
      </c>
      <c r="AM71" s="35" t="str">
        <f>IF(Tableau4849[[#This Row],[INDEX]]&lt;3,"",Tableau4849[[#This Row],[DEVISE]])</f>
        <v>EURUSD</v>
      </c>
      <c r="AN71" s="35">
        <f>IFERROR(IF(Tableau4849[[#This Row],[INDEX]]&lt;3,"",Tableau4849[[#This Row],[ATTEINT]]),100000)</f>
        <v>100000</v>
      </c>
      <c r="AO71" s="35">
        <f>IF(Tableau4849[[#This Row],[INDEX]]&lt;3,"",Tableau4849[[#This Row],[COMPTE]])</f>
        <v>925832</v>
      </c>
      <c r="AP71" s="35" t="str">
        <f>IF(Tableau4849[[#This Row],[INDEX]]&lt;3,"","NON")</f>
        <v>NON</v>
      </c>
      <c r="AQ71" s="35" t="str">
        <f>IF(Tableau4849[[#This Row],[INDEX]]&lt;3,"",IF(Tableau4849[[#This Row],[0,5]]&lt;0,"NEGATIF",""))</f>
        <v>NEGATIF</v>
      </c>
    </row>
    <row r="72" spans="1:43" x14ac:dyDescent="0.25">
      <c r="A72" s="24">
        <v>66</v>
      </c>
      <c r="B72" s="32">
        <v>44923.308495370373</v>
      </c>
      <c r="C72" s="26">
        <v>925832</v>
      </c>
      <c r="D72" s="24" t="s">
        <v>0</v>
      </c>
      <c r="E72" s="24" t="s">
        <v>46</v>
      </c>
      <c r="F72" s="24">
        <v>1.0640700000000001</v>
      </c>
      <c r="G72" s="26">
        <v>4000</v>
      </c>
      <c r="H72" s="27" t="s">
        <v>222</v>
      </c>
      <c r="I72" s="28" t="str">
        <f>IF(IFERROR(_xlfn.XLOOKUP(Tableau4849[[#This Row],[SL]],'[1]Tickets (2)'!J68:J862,'[1]Tickets (2)'!I71:I865),"")=0,"",IFERROR(_xlfn.XLOOKUP(Tableau4849[[#This Row],[SL]],'[1]Tickets (2)'!J68:J862,'[1]Tickets (2)'!I71:I865),""))</f>
        <v/>
      </c>
      <c r="K7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2" s="33">
        <v>44923.630886574072</v>
      </c>
      <c r="N72" s="3" t="str">
        <f>IF(Tableau4849[[#This Row],[T CLOSE]]&gt;[1]CONFIGURATION!$K$4,Tableau4849[[#This Row],[IDENTITE]],"")</f>
        <v/>
      </c>
      <c r="O72" s="26">
        <f>IFERROR(Tableau4849[[#This Row],[SL]]/(Tableau4849[[#This Row],[VOLUME]]/$I$5),0)</f>
        <v>0</v>
      </c>
      <c r="P72" s="26" t="str">
        <f>Tableau4849[[#This Row],[COMMAND]]</f>
        <v>SELL</v>
      </c>
      <c r="Q7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1.06404 M1M1</v>
      </c>
      <c r="R72" s="29">
        <v>-656</v>
      </c>
      <c r="S72" s="26" t="str">
        <f>IF(Tableau4849[[#This Row],[ETAT]]="LOSE",IF(IFERROR(ABS(SUBSTITUTE(Tableau4849[[#This Row],[PRICE]],".",",")-'[1]Deal ticket'!$B$16)*1000,"")&lt;=$S$5,"GO","WAIT"),"")</f>
        <v/>
      </c>
      <c r="T7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2" s="34" t="str">
        <f>IF(Tableau4849[[#This Row],[ETAT]]="LOSE",IF(IFERROR(ABS(SUBSTITUTE(Tableau4849[[#This Row],[PRICE]],".",",")-'[1]Deal ticket'!$B$16)*1000,"")&lt;=$U$5,"GO","WAIT"),"")</f>
        <v/>
      </c>
      <c r="V72" s="26">
        <f>IF(Tableau4849[[#This Row],[INDEX]]&lt;3,"",SUMIFS(Tableau4849[SL],Tableau4849[Colonne5],Tableau4849[[#This Row],[Colonne5]])+$S$4)</f>
        <v>1</v>
      </c>
      <c r="W72" s="34" t="str">
        <f>IF(Tableau4849[[#This Row],[ETAT]]="LOSE",IF(IFERROR(ABS(SUBSTITUTE(Tableau4849[[#This Row],[PRICE]],".",",")-'[1]Deal ticket'!$B$16)*1000,"")&lt;=$W$5,"GO","WAIT"),"")</f>
        <v/>
      </c>
      <c r="X7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2" s="26">
        <f>IF(AND(Tableau4849[[#This Row],[3,8]]=1),Tableau4849[[#This Row],[INDEX]],"")</f>
        <v>66</v>
      </c>
      <c r="AC72" s="26" t="str">
        <f ca="1">IF(IFERROR(_xlfn.XLOOKUP(Tableau4849[[#This Row],[IDENTITE]],[1]!Tableau47[GLOBUY],[1]!Tableau47[GLOBUY]),"")="","",1)</f>
        <v/>
      </c>
      <c r="AD72" s="26" t="str">
        <f>IF(IFERROR(_xlfn.XLOOKUP(Tableau4849[[#This Row],[IDENTITE]],[1]!Tableau47[GLOSELL],[1]!Tableau47[GLOSELL]),"")="","",1)</f>
        <v/>
      </c>
      <c r="AE72" s="26"/>
      <c r="AF72" s="26">
        <f>IF(Tableau4849[[#This Row],[INDEX]]&lt;3,"",IF(Tableau4849[[#This Row],[COMMAND]]="","",IF('[1]Bar history'!$AA$33=1,1,"")))</f>
        <v>1</v>
      </c>
      <c r="AG72" s="26"/>
      <c r="AH72" s="26" t="str">
        <f>IF(IFERROR(_xlfn.XLOOKUP(Tableau4849[[#This Row],[IDENTITE]],[1]!Tableau47[COMMENTAIRE],[1]!Tableau47[CLOTURE]),"")=[1]PARAMETRE!$BK$31,Tableau4849[[#This Row],[INDEX]],"")</f>
        <v/>
      </c>
      <c r="AI72" s="26"/>
      <c r="AJ72" s="35" t="str">
        <f>IF(AND(ISNUMBER(SEARCH("BUY",Tableau4849[[#This Row],[COMMAND]]))),"BUYSTOP",IF(AND(ISNUMBER(SEARCH("SELL",Tableau4849[[#This Row],[COMMAND]]))),"SELLSTOP",""))</f>
        <v>SELLSTOP</v>
      </c>
      <c r="AK72" s="35" t="str">
        <f>IFERROR(SUBSTITUTE(Tableau4849[[#This Row],[PRICE]],",","."),"")</f>
        <v>1.06407</v>
      </c>
      <c r="AL72" s="35" t="str">
        <f>IF(Tableau4849[[#This Row],[INDEX]]&lt;3,"",Tableau4849[[#This Row],[IDENTITE]])</f>
        <v>1 RSRS S 1.06404 M1M1</v>
      </c>
      <c r="AM72" s="35" t="str">
        <f>IF(Tableau4849[[#This Row],[INDEX]]&lt;3,"",Tableau4849[[#This Row],[DEVISE]])</f>
        <v>EURUSD</v>
      </c>
      <c r="AN72" s="35">
        <f>IFERROR(IF(Tableau4849[[#This Row],[INDEX]]&lt;3,"",Tableau4849[[#This Row],[ATTEINT]]),100000)</f>
        <v>100000</v>
      </c>
      <c r="AO72" s="35">
        <f>IF(Tableau4849[[#This Row],[INDEX]]&lt;3,"",Tableau4849[[#This Row],[COMPTE]])</f>
        <v>925832</v>
      </c>
      <c r="AP72" s="35" t="str">
        <f>IF(Tableau4849[[#This Row],[INDEX]]&lt;3,"","NON")</f>
        <v>NON</v>
      </c>
      <c r="AQ72" s="35" t="str">
        <f>IF(Tableau4849[[#This Row],[INDEX]]&lt;3,"",IF(Tableau4849[[#This Row],[0,5]]&lt;0,"NEGATIF",""))</f>
        <v>NEGATIF</v>
      </c>
    </row>
    <row r="73" spans="1:43" x14ac:dyDescent="0.25">
      <c r="A73" s="24">
        <v>67</v>
      </c>
      <c r="B73" s="32">
        <v>44923.308229166665</v>
      </c>
      <c r="C73" s="26">
        <v>925832</v>
      </c>
      <c r="D73" s="24" t="s">
        <v>0</v>
      </c>
      <c r="E73" s="24" t="s">
        <v>46</v>
      </c>
      <c r="F73" s="24">
        <v>1.06406</v>
      </c>
      <c r="G73" s="26">
        <v>4000</v>
      </c>
      <c r="H73" s="27" t="s">
        <v>224</v>
      </c>
      <c r="I73" s="28" t="str">
        <f>IF(IFERROR(_xlfn.XLOOKUP(Tableau4849[[#This Row],[SL]],'[1]Tickets (2)'!J69:J863,'[1]Tickets (2)'!I72:I866),"")=0,"",IFERROR(_xlfn.XLOOKUP(Tableau4849[[#This Row],[SL]],'[1]Tickets (2)'!J69:J863,'[1]Tickets (2)'!I72:I866),""))</f>
        <v/>
      </c>
      <c r="K7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3" s="33">
        <v>44923.630886574072</v>
      </c>
      <c r="N73" s="3" t="str">
        <f>IF(Tableau4849[[#This Row],[T CLOSE]]&gt;[1]CONFIGURATION!$K$4,Tableau4849[[#This Row],[IDENTITE]],"")</f>
        <v/>
      </c>
      <c r="O73" s="26">
        <f>IFERROR(Tableau4849[[#This Row],[SL]]/(Tableau4849[[#This Row],[VOLUME]]/$I$5),0)</f>
        <v>0</v>
      </c>
      <c r="P73" s="26" t="str">
        <f>Tableau4849[[#This Row],[COMMAND]]</f>
        <v>SELL</v>
      </c>
      <c r="Q7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1.06407 M1M1</v>
      </c>
      <c r="R73" s="29">
        <v>-666</v>
      </c>
      <c r="S73" s="26" t="str">
        <f>IF(Tableau4849[[#This Row],[ETAT]]="LOSE",IF(IFERROR(ABS(SUBSTITUTE(Tableau4849[[#This Row],[PRICE]],".",",")-'[1]Deal ticket'!$B$16)*1000,"")&lt;=$S$5,"GO","WAIT"),"")</f>
        <v/>
      </c>
      <c r="T7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3" s="34" t="str">
        <f>IF(Tableau4849[[#This Row],[ETAT]]="LOSE",IF(IFERROR(ABS(SUBSTITUTE(Tableau4849[[#This Row],[PRICE]],".",",")-'[1]Deal ticket'!$B$16)*1000,"")&lt;=$U$5,"GO","WAIT"),"")</f>
        <v/>
      </c>
      <c r="V73" s="26">
        <f>IF(Tableau4849[[#This Row],[INDEX]]&lt;3,"",SUMIFS(Tableau4849[SL],Tableau4849[Colonne5],Tableau4849[[#This Row],[Colonne5]])+$S$4)</f>
        <v>1</v>
      </c>
      <c r="W73" s="34" t="str">
        <f>IF(Tableau4849[[#This Row],[ETAT]]="LOSE",IF(IFERROR(ABS(SUBSTITUTE(Tableau4849[[#This Row],[PRICE]],".",",")-'[1]Deal ticket'!$B$16)*1000,"")&lt;=$W$5,"GO","WAIT"),"")</f>
        <v/>
      </c>
      <c r="X7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3" s="26">
        <f>IF(AND(Tableau4849[[#This Row],[3,8]]=1),Tableau4849[[#This Row],[INDEX]],"")</f>
        <v>67</v>
      </c>
      <c r="AC73" s="26" t="str">
        <f ca="1">IF(IFERROR(_xlfn.XLOOKUP(Tableau4849[[#This Row],[IDENTITE]],[1]!Tableau47[GLOBUY],[1]!Tableau47[GLOBUY]),"")="","",1)</f>
        <v/>
      </c>
      <c r="AD73" s="26" t="str">
        <f>IF(IFERROR(_xlfn.XLOOKUP(Tableau4849[[#This Row],[IDENTITE]],[1]!Tableau47[GLOSELL],[1]!Tableau47[GLOSELL]),"")="","",1)</f>
        <v/>
      </c>
      <c r="AE73" s="26"/>
      <c r="AF73" s="26">
        <f>IF(Tableau4849[[#This Row],[INDEX]]&lt;3,"",IF(Tableau4849[[#This Row],[COMMAND]]="","",IF('[1]Bar history'!$AA$33=1,1,"")))</f>
        <v>1</v>
      </c>
      <c r="AG73" s="26"/>
      <c r="AH73" s="26" t="str">
        <f>IF(IFERROR(_xlfn.XLOOKUP(Tableau4849[[#This Row],[IDENTITE]],[1]!Tableau47[COMMENTAIRE],[1]!Tableau47[CLOTURE]),"")=[1]PARAMETRE!$BK$31,Tableau4849[[#This Row],[INDEX]],"")</f>
        <v/>
      </c>
      <c r="AI73" s="26"/>
      <c r="AJ73" s="35" t="str">
        <f>IF(AND(ISNUMBER(SEARCH("BUY",Tableau4849[[#This Row],[COMMAND]]))),"BUYSTOP",IF(AND(ISNUMBER(SEARCH("SELL",Tableau4849[[#This Row],[COMMAND]]))),"SELLSTOP",""))</f>
        <v>SELLSTOP</v>
      </c>
      <c r="AK73" s="35" t="str">
        <f>IFERROR(SUBSTITUTE(Tableau4849[[#This Row],[PRICE]],",","."),"")</f>
        <v>1.06406</v>
      </c>
      <c r="AL73" s="35" t="str">
        <f>IF(Tableau4849[[#This Row],[INDEX]]&lt;3,"",Tableau4849[[#This Row],[IDENTITE]])</f>
        <v>1 RSRS S 1.06407 M1M1</v>
      </c>
      <c r="AM73" s="35" t="str">
        <f>IF(Tableau4849[[#This Row],[INDEX]]&lt;3,"",Tableau4849[[#This Row],[DEVISE]])</f>
        <v>EURUSD</v>
      </c>
      <c r="AN73" s="35">
        <f>IFERROR(IF(Tableau4849[[#This Row],[INDEX]]&lt;3,"",Tableau4849[[#This Row],[ATTEINT]]),100000)</f>
        <v>100000</v>
      </c>
      <c r="AO73" s="35">
        <f>IF(Tableau4849[[#This Row],[INDEX]]&lt;3,"",Tableau4849[[#This Row],[COMPTE]])</f>
        <v>925832</v>
      </c>
      <c r="AP73" s="35" t="str">
        <f>IF(Tableau4849[[#This Row],[INDEX]]&lt;3,"","NON")</f>
        <v>NON</v>
      </c>
      <c r="AQ73" s="35" t="str">
        <f>IF(Tableau4849[[#This Row],[INDEX]]&lt;3,"",IF(Tableau4849[[#This Row],[0,5]]&lt;0,"NEGATIF",""))</f>
        <v>NEGATIF</v>
      </c>
    </row>
    <row r="74" spans="1:43" x14ac:dyDescent="0.25">
      <c r="A74" s="24">
        <v>68</v>
      </c>
      <c r="B74" s="32">
        <v>44923.307847222219</v>
      </c>
      <c r="C74" s="26">
        <v>925832</v>
      </c>
      <c r="D74" s="24" t="s">
        <v>0</v>
      </c>
      <c r="E74" s="24" t="s">
        <v>46</v>
      </c>
      <c r="F74" s="24">
        <v>1.06416</v>
      </c>
      <c r="G74" s="26">
        <v>4000</v>
      </c>
      <c r="H74" s="27" t="s">
        <v>226</v>
      </c>
      <c r="I74" s="28" t="str">
        <f>IF(IFERROR(_xlfn.XLOOKUP(Tableau4849[[#This Row],[SL]],'[1]Tickets (2)'!J70:J864,'[1]Tickets (2)'!I73:I867),"")=0,"",IFERROR(_xlfn.XLOOKUP(Tableau4849[[#This Row],[SL]],'[1]Tickets (2)'!J70:J864,'[1]Tickets (2)'!I73:I867),""))</f>
        <v/>
      </c>
      <c r="K7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4" s="33">
        <v>44923.630886574072</v>
      </c>
      <c r="N74" s="3" t="str">
        <f>IF(Tableau4849[[#This Row],[T CLOSE]]&gt;[1]CONFIGURATION!$K$4,Tableau4849[[#This Row],[IDENTITE]],"")</f>
        <v/>
      </c>
      <c r="O74" s="26">
        <f>IFERROR(Tableau4849[[#This Row],[SL]]/(Tableau4849[[#This Row],[VOLUME]]/$I$5),0)</f>
        <v>0</v>
      </c>
      <c r="P74" s="26" t="str">
        <f>Tableau4849[[#This Row],[COMMAND]]</f>
        <v>SELL</v>
      </c>
      <c r="Q7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1.06419 M1M1</v>
      </c>
      <c r="R74" s="29">
        <v>-676</v>
      </c>
      <c r="S74" s="26" t="str">
        <f>IF(Tableau4849[[#This Row],[ETAT]]="LOSE",IF(IFERROR(ABS(SUBSTITUTE(Tableau4849[[#This Row],[PRICE]],".",",")-'[1]Deal ticket'!$B$16)*1000,"")&lt;=$S$5,"GO","WAIT"),"")</f>
        <v/>
      </c>
      <c r="T7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4" s="34" t="str">
        <f>IF(Tableau4849[[#This Row],[ETAT]]="LOSE",IF(IFERROR(ABS(SUBSTITUTE(Tableau4849[[#This Row],[PRICE]],".",",")-'[1]Deal ticket'!$B$16)*1000,"")&lt;=$U$5,"GO","WAIT"),"")</f>
        <v/>
      </c>
      <c r="V74" s="26">
        <f>IF(Tableau4849[[#This Row],[INDEX]]&lt;3,"",SUMIFS(Tableau4849[SL],Tableau4849[Colonne5],Tableau4849[[#This Row],[Colonne5]])+$S$4)</f>
        <v>1</v>
      </c>
      <c r="W74" s="34" t="str">
        <f>IF(Tableau4849[[#This Row],[ETAT]]="LOSE",IF(IFERROR(ABS(SUBSTITUTE(Tableau4849[[#This Row],[PRICE]],".",",")-'[1]Deal ticket'!$B$16)*1000,"")&lt;=$W$5,"GO","WAIT"),"")</f>
        <v/>
      </c>
      <c r="X7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4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4" s="26">
        <f>IF(AND(Tableau4849[[#This Row],[3,8]]=1),Tableau4849[[#This Row],[INDEX]],"")</f>
        <v>68</v>
      </c>
      <c r="AC74" s="26" t="str">
        <f ca="1">IF(IFERROR(_xlfn.XLOOKUP(Tableau4849[[#This Row],[IDENTITE]],[1]!Tableau47[GLOBUY],[1]!Tableau47[GLOBUY]),"")="","",1)</f>
        <v/>
      </c>
      <c r="AD74" s="26" t="str">
        <f>IF(IFERROR(_xlfn.XLOOKUP(Tableau4849[[#This Row],[IDENTITE]],[1]!Tableau47[GLOSELL],[1]!Tableau47[GLOSELL]),"")="","",1)</f>
        <v/>
      </c>
      <c r="AE74" s="26"/>
      <c r="AF74" s="26">
        <f>IF(Tableau4849[[#This Row],[INDEX]]&lt;3,"",IF(Tableau4849[[#This Row],[COMMAND]]="","",IF('[1]Bar history'!$AA$33=1,1,"")))</f>
        <v>1</v>
      </c>
      <c r="AG74" s="26"/>
      <c r="AH74" s="26" t="str">
        <f>IF(IFERROR(_xlfn.XLOOKUP(Tableau4849[[#This Row],[IDENTITE]],[1]!Tableau47[COMMENTAIRE],[1]!Tableau47[CLOTURE]),"")=[1]PARAMETRE!$BK$31,Tableau4849[[#This Row],[INDEX]],"")</f>
        <v/>
      </c>
      <c r="AI74" s="26"/>
      <c r="AJ74" s="35" t="str">
        <f>IF(AND(ISNUMBER(SEARCH("BUY",Tableau4849[[#This Row],[COMMAND]]))),"BUYSTOP",IF(AND(ISNUMBER(SEARCH("SELL",Tableau4849[[#This Row],[COMMAND]]))),"SELLSTOP",""))</f>
        <v>SELLSTOP</v>
      </c>
      <c r="AK74" s="35" t="str">
        <f>IFERROR(SUBSTITUTE(Tableau4849[[#This Row],[PRICE]],",","."),"")</f>
        <v>1.06416</v>
      </c>
      <c r="AL74" s="35" t="str">
        <f>IF(Tableau4849[[#This Row],[INDEX]]&lt;3,"",Tableau4849[[#This Row],[IDENTITE]])</f>
        <v>1 RSRS S 1.06419 M1M1</v>
      </c>
      <c r="AM74" s="35" t="str">
        <f>IF(Tableau4849[[#This Row],[INDEX]]&lt;3,"",Tableau4849[[#This Row],[DEVISE]])</f>
        <v>EURUSD</v>
      </c>
      <c r="AN74" s="35">
        <f>IFERROR(IF(Tableau4849[[#This Row],[INDEX]]&lt;3,"",Tableau4849[[#This Row],[ATTEINT]]),100000)</f>
        <v>100000</v>
      </c>
      <c r="AO74" s="35">
        <f>IF(Tableau4849[[#This Row],[INDEX]]&lt;3,"",Tableau4849[[#This Row],[COMPTE]])</f>
        <v>925832</v>
      </c>
      <c r="AP74" s="35" t="str">
        <f>IF(Tableau4849[[#This Row],[INDEX]]&lt;3,"","NON")</f>
        <v>NON</v>
      </c>
      <c r="AQ74" s="35" t="str">
        <f>IF(Tableau4849[[#This Row],[INDEX]]&lt;3,"",IF(Tableau4849[[#This Row],[0,5]]&lt;0,"NEGATIF",""))</f>
        <v>NEGATIF</v>
      </c>
    </row>
    <row r="75" spans="1:43" x14ac:dyDescent="0.25">
      <c r="A75" s="24">
        <v>69</v>
      </c>
      <c r="B75" s="32">
        <v>44923.305590277778</v>
      </c>
      <c r="C75" s="26">
        <v>925832</v>
      </c>
      <c r="D75" s="24" t="s">
        <v>0</v>
      </c>
      <c r="E75" s="24" t="s">
        <v>46</v>
      </c>
      <c r="F75" s="24">
        <v>1.06396</v>
      </c>
      <c r="G75" s="26">
        <v>4000</v>
      </c>
      <c r="H75" s="27" t="s">
        <v>227</v>
      </c>
      <c r="I75" s="28" t="str">
        <f>IF(IFERROR(_xlfn.XLOOKUP(Tableau4849[[#This Row],[SL]],'[1]Tickets (2)'!J71:J865,'[1]Tickets (2)'!I74:I868),"")=0,"",IFERROR(_xlfn.XLOOKUP(Tableau4849[[#This Row],[SL]],'[1]Tickets (2)'!J71:J865,'[1]Tickets (2)'!I74:I868),""))</f>
        <v/>
      </c>
      <c r="K7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5" s="33">
        <v>44923.630886574072</v>
      </c>
      <c r="N75" s="3" t="str">
        <f>IF(Tableau4849[[#This Row],[T CLOSE]]&gt;[1]CONFIGURATION!$K$4,Tableau4849[[#This Row],[IDENTITE]],"")</f>
        <v/>
      </c>
      <c r="O75" s="26">
        <f>IFERROR(Tableau4849[[#This Row],[SL]]/(Tableau4849[[#This Row],[VOLUME]]/$I$5),0)</f>
        <v>0</v>
      </c>
      <c r="P75" s="26" t="str">
        <f>Tableau4849[[#This Row],[COMMAND]]</f>
        <v>SELL</v>
      </c>
      <c r="Q7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1.06397 M1M1</v>
      </c>
      <c r="R75" s="29">
        <v>-686</v>
      </c>
      <c r="S75" s="26" t="str">
        <f>IF(Tableau4849[[#This Row],[ETAT]]="LOSE",IF(IFERROR(ABS(SUBSTITUTE(Tableau4849[[#This Row],[PRICE]],".",",")-'[1]Deal ticket'!$B$16)*1000,"")&lt;=$S$5,"GO","WAIT"),"")</f>
        <v/>
      </c>
      <c r="T7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5" s="34" t="str">
        <f>IF(Tableau4849[[#This Row],[ETAT]]="LOSE",IF(IFERROR(ABS(SUBSTITUTE(Tableau4849[[#This Row],[PRICE]],".",",")-'[1]Deal ticket'!$B$16)*1000,"")&lt;=$U$5,"GO","WAIT"),"")</f>
        <v/>
      </c>
      <c r="V75" s="26">
        <f>IF(Tableau4849[[#This Row],[INDEX]]&lt;3,"",SUMIFS(Tableau4849[SL],Tableau4849[Colonne5],Tableau4849[[#This Row],[Colonne5]])+$S$4)</f>
        <v>1</v>
      </c>
      <c r="W75" s="34" t="str">
        <f>IF(Tableau4849[[#This Row],[ETAT]]="LOSE",IF(IFERROR(ABS(SUBSTITUTE(Tableau4849[[#This Row],[PRICE]],".",",")-'[1]Deal ticket'!$B$16)*1000,"")&lt;=$W$5,"GO","WAIT"),"")</f>
        <v/>
      </c>
      <c r="X7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5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5" s="26">
        <f>IF(AND(Tableau4849[[#This Row],[3,8]]=1),Tableau4849[[#This Row],[INDEX]],"")</f>
        <v>69</v>
      </c>
      <c r="AC75" s="26" t="str">
        <f ca="1">IF(IFERROR(_xlfn.XLOOKUP(Tableau4849[[#This Row],[IDENTITE]],[1]!Tableau47[GLOBUY],[1]!Tableau47[GLOBUY]),"")="","",1)</f>
        <v/>
      </c>
      <c r="AD75" s="26" t="str">
        <f>IF(IFERROR(_xlfn.XLOOKUP(Tableau4849[[#This Row],[IDENTITE]],[1]!Tableau47[GLOSELL],[1]!Tableau47[GLOSELL]),"")="","",1)</f>
        <v/>
      </c>
      <c r="AE75" s="26"/>
      <c r="AF75" s="26">
        <f>IF(Tableau4849[[#This Row],[INDEX]]&lt;3,"",IF(Tableau4849[[#This Row],[COMMAND]]="","",IF('[1]Bar history'!$AA$33=1,1,"")))</f>
        <v>1</v>
      </c>
      <c r="AG75" s="26"/>
      <c r="AH75" s="26" t="str">
        <f>IF(IFERROR(_xlfn.XLOOKUP(Tableau4849[[#This Row],[IDENTITE]],[1]!Tableau47[COMMENTAIRE],[1]!Tableau47[CLOTURE]),"")=[1]PARAMETRE!$BK$31,Tableau4849[[#This Row],[INDEX]],"")</f>
        <v/>
      </c>
      <c r="AI75" s="26"/>
      <c r="AJ75" s="35" t="str">
        <f>IF(AND(ISNUMBER(SEARCH("BUY",Tableau4849[[#This Row],[COMMAND]]))),"BUYSTOP",IF(AND(ISNUMBER(SEARCH("SELL",Tableau4849[[#This Row],[COMMAND]]))),"SELLSTOP",""))</f>
        <v>SELLSTOP</v>
      </c>
      <c r="AK75" s="35" t="str">
        <f>IFERROR(SUBSTITUTE(Tableau4849[[#This Row],[PRICE]],",","."),"")</f>
        <v>1.06396</v>
      </c>
      <c r="AL75" s="35" t="str">
        <f>IF(Tableau4849[[#This Row],[INDEX]]&lt;3,"",Tableau4849[[#This Row],[IDENTITE]])</f>
        <v>1 RSRS S 1.06397 M1M1</v>
      </c>
      <c r="AM75" s="35" t="str">
        <f>IF(Tableau4849[[#This Row],[INDEX]]&lt;3,"",Tableau4849[[#This Row],[DEVISE]])</f>
        <v>EURUSD</v>
      </c>
      <c r="AN75" s="35">
        <f>IFERROR(IF(Tableau4849[[#This Row],[INDEX]]&lt;3,"",Tableau4849[[#This Row],[ATTEINT]]),100000)</f>
        <v>100000</v>
      </c>
      <c r="AO75" s="35">
        <f>IF(Tableau4849[[#This Row],[INDEX]]&lt;3,"",Tableau4849[[#This Row],[COMPTE]])</f>
        <v>925832</v>
      </c>
      <c r="AP75" s="35" t="str">
        <f>IF(Tableau4849[[#This Row],[INDEX]]&lt;3,"","NON")</f>
        <v>NON</v>
      </c>
      <c r="AQ75" s="35" t="str">
        <f>IF(Tableau4849[[#This Row],[INDEX]]&lt;3,"",IF(Tableau4849[[#This Row],[0,5]]&lt;0,"NEGATIF",""))</f>
        <v>NEGATIF</v>
      </c>
    </row>
    <row r="76" spans="1:43" x14ac:dyDescent="0.25">
      <c r="A76" s="24">
        <v>70</v>
      </c>
      <c r="B76" s="32">
        <v>44923.303611111114</v>
      </c>
      <c r="C76" s="26">
        <v>925832</v>
      </c>
      <c r="D76" s="24" t="s">
        <v>0</v>
      </c>
      <c r="E76" s="24" t="s">
        <v>46</v>
      </c>
      <c r="F76" s="24">
        <v>1.06389</v>
      </c>
      <c r="G76" s="26">
        <v>3000</v>
      </c>
      <c r="H76" s="27" t="s">
        <v>229</v>
      </c>
      <c r="I76" s="28" t="str">
        <f>IF(IFERROR(_xlfn.XLOOKUP(Tableau4849[[#This Row],[SL]],'[1]Tickets (2)'!J72:J866,'[1]Tickets (2)'!I75:I869),"")=0,"",IFERROR(_xlfn.XLOOKUP(Tableau4849[[#This Row],[SL]],'[1]Tickets (2)'!J72:J866,'[1]Tickets (2)'!I75:I869),""))</f>
        <v/>
      </c>
      <c r="K7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6" s="33">
        <v>44923.630886574072</v>
      </c>
      <c r="N76" s="3" t="str">
        <f>IF(Tableau4849[[#This Row],[T CLOSE]]&gt;[1]CONFIGURATION!$K$4,Tableau4849[[#This Row],[IDENTITE]],"")</f>
        <v/>
      </c>
      <c r="O76" s="26">
        <f>IFERROR(Tableau4849[[#This Row],[SL]]/(Tableau4849[[#This Row],[VOLUME]]/$I$5),0)</f>
        <v>0</v>
      </c>
      <c r="P76" s="26" t="str">
        <f>Tableau4849[[#This Row],[COMMAND]]</f>
        <v>SELL</v>
      </c>
      <c r="Q7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1.06389 M1M1</v>
      </c>
      <c r="R76" s="29">
        <v>-696</v>
      </c>
      <c r="S76" s="26" t="str">
        <f>IF(Tableau4849[[#This Row],[ETAT]]="LOSE",IF(IFERROR(ABS(SUBSTITUTE(Tableau4849[[#This Row],[PRICE]],".",",")-'[1]Deal ticket'!$B$16)*1000,"")&lt;=$S$5,"GO","WAIT"),"")</f>
        <v/>
      </c>
      <c r="T7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6" s="34" t="str">
        <f>IF(Tableau4849[[#This Row],[ETAT]]="LOSE",IF(IFERROR(ABS(SUBSTITUTE(Tableau4849[[#This Row],[PRICE]],".",",")-'[1]Deal ticket'!$B$16)*1000,"")&lt;=$U$5,"GO","WAIT"),"")</f>
        <v/>
      </c>
      <c r="V76" s="26">
        <f>IF(Tableau4849[[#This Row],[INDEX]]&lt;3,"",SUMIFS(Tableau4849[SL],Tableau4849[Colonne5],Tableau4849[[#This Row],[Colonne5]])+$S$4)</f>
        <v>1</v>
      </c>
      <c r="W76" s="34" t="str">
        <f>IF(Tableau4849[[#This Row],[ETAT]]="LOSE",IF(IFERROR(ABS(SUBSTITUTE(Tableau4849[[#This Row],[PRICE]],".",",")-'[1]Deal ticket'!$B$16)*1000,"")&lt;=$W$5,"GO","WAIT"),"")</f>
        <v/>
      </c>
      <c r="X7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6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6" s="26">
        <f>IF(AND(Tableau4849[[#This Row],[3,8]]=1),Tableau4849[[#This Row],[INDEX]],"")</f>
        <v>70</v>
      </c>
      <c r="AC76" s="26" t="str">
        <f ca="1">IF(IFERROR(_xlfn.XLOOKUP(Tableau4849[[#This Row],[IDENTITE]],[1]!Tableau47[GLOBUY],[1]!Tableau47[GLOBUY]),"")="","",1)</f>
        <v/>
      </c>
      <c r="AD76" s="26" t="str">
        <f>IF(IFERROR(_xlfn.XLOOKUP(Tableau4849[[#This Row],[IDENTITE]],[1]!Tableau47[GLOSELL],[1]!Tableau47[GLOSELL]),"")="","",1)</f>
        <v/>
      </c>
      <c r="AE76" s="26"/>
      <c r="AF76" s="26">
        <f>IF(Tableau4849[[#This Row],[INDEX]]&lt;3,"",IF(Tableau4849[[#This Row],[COMMAND]]="","",IF('[1]Bar history'!$AA$33=1,1,"")))</f>
        <v>1</v>
      </c>
      <c r="AG76" s="26"/>
      <c r="AH76" s="26" t="str">
        <f>IF(IFERROR(_xlfn.XLOOKUP(Tableau4849[[#This Row],[IDENTITE]],[1]!Tableau47[COMMENTAIRE],[1]!Tableau47[CLOTURE]),"")=[1]PARAMETRE!$BK$31,Tableau4849[[#This Row],[INDEX]],"")</f>
        <v/>
      </c>
      <c r="AI76" s="26"/>
      <c r="AJ76" s="35" t="str">
        <f>IF(AND(ISNUMBER(SEARCH("BUY",Tableau4849[[#This Row],[COMMAND]]))),"BUYSTOP",IF(AND(ISNUMBER(SEARCH("SELL",Tableau4849[[#This Row],[COMMAND]]))),"SELLSTOP",""))</f>
        <v>SELLSTOP</v>
      </c>
      <c r="AK76" s="35" t="str">
        <f>IFERROR(SUBSTITUTE(Tableau4849[[#This Row],[PRICE]],",","."),"")</f>
        <v>1.06389</v>
      </c>
      <c r="AL76" s="35" t="str">
        <f>IF(Tableau4849[[#This Row],[INDEX]]&lt;3,"",Tableau4849[[#This Row],[IDENTITE]])</f>
        <v>1 RSRS S 1.06389 M1M1</v>
      </c>
      <c r="AM76" s="35" t="str">
        <f>IF(Tableau4849[[#This Row],[INDEX]]&lt;3,"",Tableau4849[[#This Row],[DEVISE]])</f>
        <v>EURUSD</v>
      </c>
      <c r="AN76" s="35">
        <f>IFERROR(IF(Tableau4849[[#This Row],[INDEX]]&lt;3,"",Tableau4849[[#This Row],[ATTEINT]]),100000)</f>
        <v>100000</v>
      </c>
      <c r="AO76" s="35">
        <f>IF(Tableau4849[[#This Row],[INDEX]]&lt;3,"",Tableau4849[[#This Row],[COMPTE]])</f>
        <v>925832</v>
      </c>
      <c r="AP76" s="35" t="str">
        <f>IF(Tableau4849[[#This Row],[INDEX]]&lt;3,"","NON")</f>
        <v>NON</v>
      </c>
      <c r="AQ76" s="35" t="str">
        <f>IF(Tableau4849[[#This Row],[INDEX]]&lt;3,"",IF(Tableau4849[[#This Row],[0,5]]&lt;0,"NEGATIF",""))</f>
        <v>NEGATIF</v>
      </c>
    </row>
    <row r="77" spans="1:43" x14ac:dyDescent="0.25">
      <c r="A77" s="24">
        <v>71</v>
      </c>
      <c r="B77" s="32">
        <v>44923.303333333337</v>
      </c>
      <c r="C77" s="26">
        <v>925832</v>
      </c>
      <c r="D77" s="24" t="s">
        <v>0</v>
      </c>
      <c r="E77" s="24" t="s">
        <v>46</v>
      </c>
      <c r="F77" s="24">
        <v>1.0638399999999999</v>
      </c>
      <c r="G77" s="26">
        <v>3000</v>
      </c>
      <c r="H77" s="27" t="s">
        <v>231</v>
      </c>
      <c r="I77" s="28" t="str">
        <f>IF(IFERROR(_xlfn.XLOOKUP(Tableau4849[[#This Row],[SL]],'[1]Tickets (2)'!J73:J867,'[1]Tickets (2)'!I76:I870),"")=0,"",IFERROR(_xlfn.XLOOKUP(Tableau4849[[#This Row],[SL]],'[1]Tickets (2)'!J73:J867,'[1]Tickets (2)'!I76:I870),""))</f>
        <v/>
      </c>
      <c r="K7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7" s="33">
        <v>44923.630886574072</v>
      </c>
      <c r="N77" s="3" t="str">
        <f>IF(Tableau4849[[#This Row],[T CLOSE]]&gt;[1]CONFIGURATION!$K$4,Tableau4849[[#This Row],[IDENTITE]],"")</f>
        <v/>
      </c>
      <c r="O77" s="26">
        <f>IFERROR(Tableau4849[[#This Row],[SL]]/(Tableau4849[[#This Row],[VOLUME]]/$I$5),0)</f>
        <v>0</v>
      </c>
      <c r="P77" s="26" t="str">
        <f>Tableau4849[[#This Row],[COMMAND]]</f>
        <v>SELL</v>
      </c>
      <c r="Q7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1.06386 M1M1</v>
      </c>
      <c r="R77" s="29">
        <v>-706</v>
      </c>
      <c r="S77" s="26" t="str">
        <f>IF(Tableau4849[[#This Row],[ETAT]]="LOSE",IF(IFERROR(ABS(SUBSTITUTE(Tableau4849[[#This Row],[PRICE]],".",",")-'[1]Deal ticket'!$B$16)*1000,"")&lt;=$S$5,"GO","WAIT"),"")</f>
        <v/>
      </c>
      <c r="T7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7" s="34" t="str">
        <f>IF(Tableau4849[[#This Row],[ETAT]]="LOSE",IF(IFERROR(ABS(SUBSTITUTE(Tableau4849[[#This Row],[PRICE]],".",",")-'[1]Deal ticket'!$B$16)*1000,"")&lt;=$U$5,"GO","WAIT"),"")</f>
        <v/>
      </c>
      <c r="V77" s="26">
        <f>IF(Tableau4849[[#This Row],[INDEX]]&lt;3,"",SUMIFS(Tableau4849[SL],Tableau4849[Colonne5],Tableau4849[[#This Row],[Colonne5]])+$S$4)</f>
        <v>1</v>
      </c>
      <c r="W77" s="34" t="str">
        <f>IF(Tableau4849[[#This Row],[ETAT]]="LOSE",IF(IFERROR(ABS(SUBSTITUTE(Tableau4849[[#This Row],[PRICE]],".",",")-'[1]Deal ticket'!$B$16)*1000,"")&lt;=$W$5,"GO","WAIT"),"")</f>
        <v/>
      </c>
      <c r="X7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7" s="26">
        <f>IF(AND(Tableau4849[[#This Row],[3,8]]=1),Tableau4849[[#This Row],[INDEX]],"")</f>
        <v>71</v>
      </c>
      <c r="AC77" s="26" t="str">
        <f ca="1">IF(IFERROR(_xlfn.XLOOKUP(Tableau4849[[#This Row],[IDENTITE]],[1]!Tableau47[GLOBUY],[1]!Tableau47[GLOBUY]),"")="","",1)</f>
        <v/>
      </c>
      <c r="AD77" s="26" t="str">
        <f>IF(IFERROR(_xlfn.XLOOKUP(Tableau4849[[#This Row],[IDENTITE]],[1]!Tableau47[GLOSELL],[1]!Tableau47[GLOSELL]),"")="","",1)</f>
        <v/>
      </c>
      <c r="AE77" s="26"/>
      <c r="AF77" s="26">
        <f>IF(Tableau4849[[#This Row],[INDEX]]&lt;3,"",IF(Tableau4849[[#This Row],[COMMAND]]="","",IF('[1]Bar history'!$AA$33=1,1,"")))</f>
        <v>1</v>
      </c>
      <c r="AG77" s="26"/>
      <c r="AH77" s="26" t="str">
        <f>IF(IFERROR(_xlfn.XLOOKUP(Tableau4849[[#This Row],[IDENTITE]],[1]!Tableau47[COMMENTAIRE],[1]!Tableau47[CLOTURE]),"")=[1]PARAMETRE!$BK$31,Tableau4849[[#This Row],[INDEX]],"")</f>
        <v/>
      </c>
      <c r="AI77" s="26"/>
      <c r="AJ77" s="35" t="str">
        <f>IF(AND(ISNUMBER(SEARCH("BUY",Tableau4849[[#This Row],[COMMAND]]))),"BUYSTOP",IF(AND(ISNUMBER(SEARCH("SELL",Tableau4849[[#This Row],[COMMAND]]))),"SELLSTOP",""))</f>
        <v>SELLSTOP</v>
      </c>
      <c r="AK77" s="35" t="str">
        <f>IFERROR(SUBSTITUTE(Tableau4849[[#This Row],[PRICE]],",","."),"")</f>
        <v>1.06384</v>
      </c>
      <c r="AL77" s="35" t="str">
        <f>IF(Tableau4849[[#This Row],[INDEX]]&lt;3,"",Tableau4849[[#This Row],[IDENTITE]])</f>
        <v>1 RSRS S 1.06386 M1M1</v>
      </c>
      <c r="AM77" s="35" t="str">
        <f>IF(Tableau4849[[#This Row],[INDEX]]&lt;3,"",Tableau4849[[#This Row],[DEVISE]])</f>
        <v>EURUSD</v>
      </c>
      <c r="AN77" s="35">
        <f>IFERROR(IF(Tableau4849[[#This Row],[INDEX]]&lt;3,"",Tableau4849[[#This Row],[ATTEINT]]),100000)</f>
        <v>100000</v>
      </c>
      <c r="AO77" s="35">
        <f>IF(Tableau4849[[#This Row],[INDEX]]&lt;3,"",Tableau4849[[#This Row],[COMPTE]])</f>
        <v>925832</v>
      </c>
      <c r="AP77" s="35" t="str">
        <f>IF(Tableau4849[[#This Row],[INDEX]]&lt;3,"","NON")</f>
        <v>NON</v>
      </c>
      <c r="AQ77" s="35" t="str">
        <f>IF(Tableau4849[[#This Row],[INDEX]]&lt;3,"",IF(Tableau4849[[#This Row],[0,5]]&lt;0,"NEGATIF",""))</f>
        <v>NEGATIF</v>
      </c>
    </row>
    <row r="78" spans="1:43" x14ac:dyDescent="0.25">
      <c r="A78" s="24">
        <v>72</v>
      </c>
      <c r="B78" s="32">
        <v>44923.303090277775</v>
      </c>
      <c r="C78" s="26">
        <v>925832</v>
      </c>
      <c r="D78" s="24" t="s">
        <v>0</v>
      </c>
      <c r="E78" s="24" t="s">
        <v>46</v>
      </c>
      <c r="F78" s="24">
        <v>1.0638099999999999</v>
      </c>
      <c r="G78" s="26">
        <v>4000</v>
      </c>
      <c r="H78" s="27" t="s">
        <v>233</v>
      </c>
      <c r="I78" s="28" t="str">
        <f>IF(IFERROR(_xlfn.XLOOKUP(Tableau4849[[#This Row],[SL]],'[1]Tickets (2)'!J74:J868,'[1]Tickets (2)'!I77:I871),"")=0,"",IFERROR(_xlfn.XLOOKUP(Tableau4849[[#This Row],[SL]],'[1]Tickets (2)'!J74:J868,'[1]Tickets (2)'!I77:I871),""))</f>
        <v/>
      </c>
      <c r="K7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8" s="33">
        <v>44923.630886574072</v>
      </c>
      <c r="N78" s="3" t="str">
        <f>IF(Tableau4849[[#This Row],[T CLOSE]]&gt;[1]CONFIGURATION!$K$4,Tableau4849[[#This Row],[IDENTITE]],"")</f>
        <v/>
      </c>
      <c r="O78" s="26">
        <f>IFERROR(Tableau4849[[#This Row],[SL]]/(Tableau4849[[#This Row],[VOLUME]]/$I$5),0)</f>
        <v>0</v>
      </c>
      <c r="P78" s="26" t="str">
        <f>Tableau4849[[#This Row],[COMMAND]]</f>
        <v>SELL</v>
      </c>
      <c r="Q7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1.06382 M1M1</v>
      </c>
      <c r="R78" s="29">
        <v>-716</v>
      </c>
      <c r="S78" s="26" t="str">
        <f>IF(Tableau4849[[#This Row],[ETAT]]="LOSE",IF(IFERROR(ABS(SUBSTITUTE(Tableau4849[[#This Row],[PRICE]],".",",")-'[1]Deal ticket'!$B$16)*1000,"")&lt;=$S$5,"GO","WAIT"),"")</f>
        <v/>
      </c>
      <c r="T7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8" s="34" t="str">
        <f>IF(Tableau4849[[#This Row],[ETAT]]="LOSE",IF(IFERROR(ABS(SUBSTITUTE(Tableau4849[[#This Row],[PRICE]],".",",")-'[1]Deal ticket'!$B$16)*1000,"")&lt;=$U$5,"GO","WAIT"),"")</f>
        <v/>
      </c>
      <c r="V78" s="26">
        <f>IF(Tableau4849[[#This Row],[INDEX]]&lt;3,"",SUMIFS(Tableau4849[SL],Tableau4849[Colonne5],Tableau4849[[#This Row],[Colonne5]])+$S$4)</f>
        <v>1</v>
      </c>
      <c r="W78" s="34" t="str">
        <f>IF(Tableau4849[[#This Row],[ETAT]]="LOSE",IF(IFERROR(ABS(SUBSTITUTE(Tableau4849[[#This Row],[PRICE]],".",",")-'[1]Deal ticket'!$B$16)*1000,"")&lt;=$W$5,"GO","WAIT"),"")</f>
        <v/>
      </c>
      <c r="X7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8" s="26">
        <f>IF(AND(Tableau4849[[#This Row],[3,8]]=1),Tableau4849[[#This Row],[INDEX]],"")</f>
        <v>72</v>
      </c>
      <c r="AC78" s="26" t="str">
        <f ca="1">IF(IFERROR(_xlfn.XLOOKUP(Tableau4849[[#This Row],[IDENTITE]],[1]!Tableau47[GLOBUY],[1]!Tableau47[GLOBUY]),"")="","",1)</f>
        <v/>
      </c>
      <c r="AD78" s="26" t="str">
        <f>IF(IFERROR(_xlfn.XLOOKUP(Tableau4849[[#This Row],[IDENTITE]],[1]!Tableau47[GLOSELL],[1]!Tableau47[GLOSELL]),"")="","",1)</f>
        <v/>
      </c>
      <c r="AE78" s="26"/>
      <c r="AF78" s="26">
        <f>IF(Tableau4849[[#This Row],[INDEX]]&lt;3,"",IF(Tableau4849[[#This Row],[COMMAND]]="","",IF('[1]Bar history'!$AA$33=1,1,"")))</f>
        <v>1</v>
      </c>
      <c r="AG78" s="26"/>
      <c r="AH78" s="26" t="str">
        <f>IF(IFERROR(_xlfn.XLOOKUP(Tableau4849[[#This Row],[IDENTITE]],[1]!Tableau47[COMMENTAIRE],[1]!Tableau47[CLOTURE]),"")=[1]PARAMETRE!$BK$31,Tableau4849[[#This Row],[INDEX]],"")</f>
        <v/>
      </c>
      <c r="AI78" s="26"/>
      <c r="AJ78" s="35" t="str">
        <f>IF(AND(ISNUMBER(SEARCH("BUY",Tableau4849[[#This Row],[COMMAND]]))),"BUYSTOP",IF(AND(ISNUMBER(SEARCH("SELL",Tableau4849[[#This Row],[COMMAND]]))),"SELLSTOP",""))</f>
        <v>SELLSTOP</v>
      </c>
      <c r="AK78" s="35" t="str">
        <f>IFERROR(SUBSTITUTE(Tableau4849[[#This Row],[PRICE]],",","."),"")</f>
        <v>1.06381</v>
      </c>
      <c r="AL78" s="35" t="str">
        <f>IF(Tableau4849[[#This Row],[INDEX]]&lt;3,"",Tableau4849[[#This Row],[IDENTITE]])</f>
        <v>1 RSRS S 1.06382 M1M1</v>
      </c>
      <c r="AM78" s="35" t="str">
        <f>IF(Tableau4849[[#This Row],[INDEX]]&lt;3,"",Tableau4849[[#This Row],[DEVISE]])</f>
        <v>EURUSD</v>
      </c>
      <c r="AN78" s="35">
        <f>IFERROR(IF(Tableau4849[[#This Row],[INDEX]]&lt;3,"",Tableau4849[[#This Row],[ATTEINT]]),100000)</f>
        <v>100000</v>
      </c>
      <c r="AO78" s="35">
        <f>IF(Tableau4849[[#This Row],[INDEX]]&lt;3,"",Tableau4849[[#This Row],[COMPTE]])</f>
        <v>925832</v>
      </c>
      <c r="AP78" s="35" t="str">
        <f>IF(Tableau4849[[#This Row],[INDEX]]&lt;3,"","NON")</f>
        <v>NON</v>
      </c>
      <c r="AQ78" s="35" t="str">
        <f>IF(Tableau4849[[#This Row],[INDEX]]&lt;3,"",IF(Tableau4849[[#This Row],[0,5]]&lt;0,"NEGATIF",""))</f>
        <v>NEGATIF</v>
      </c>
    </row>
    <row r="79" spans="1:43" x14ac:dyDescent="0.25">
      <c r="A79" s="24">
        <v>73</v>
      </c>
      <c r="B79" s="32">
        <v>44923.302627314813</v>
      </c>
      <c r="C79" s="26">
        <v>925832</v>
      </c>
      <c r="D79" s="24" t="s">
        <v>0</v>
      </c>
      <c r="E79" s="24" t="s">
        <v>46</v>
      </c>
      <c r="F79" s="24">
        <v>1.0639099999999999</v>
      </c>
      <c r="G79" s="26">
        <v>3000</v>
      </c>
      <c r="H79" s="27" t="s">
        <v>235</v>
      </c>
      <c r="I79" s="28" t="str">
        <f>IF(IFERROR(_xlfn.XLOOKUP(Tableau4849[[#This Row],[SL]],'[1]Tickets (2)'!J75:J869,'[1]Tickets (2)'!I78:I872),"")=0,"",IFERROR(_xlfn.XLOOKUP(Tableau4849[[#This Row],[SL]],'[1]Tickets (2)'!J75:J869,'[1]Tickets (2)'!I78:I872),""))</f>
        <v/>
      </c>
      <c r="K7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79" s="33">
        <v>44923.630886574072</v>
      </c>
      <c r="N79" s="3" t="str">
        <f>IF(Tableau4849[[#This Row],[T CLOSE]]&gt;[1]CONFIGURATION!$K$4,Tableau4849[[#This Row],[IDENTITE]],"")</f>
        <v/>
      </c>
      <c r="O79" s="26">
        <f>IFERROR(Tableau4849[[#This Row],[SL]]/(Tableau4849[[#This Row],[VOLUME]]/$I$5),0)</f>
        <v>0</v>
      </c>
      <c r="P79" s="26" t="str">
        <f>Tableau4849[[#This Row],[COMMAND]]</f>
        <v>SELL</v>
      </c>
      <c r="Q7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1.06391 M1M1</v>
      </c>
      <c r="R79" s="29">
        <v>-726</v>
      </c>
      <c r="S79" s="26" t="str">
        <f>IF(Tableau4849[[#This Row],[ETAT]]="LOSE",IF(IFERROR(ABS(SUBSTITUTE(Tableau4849[[#This Row],[PRICE]],".",",")-'[1]Deal ticket'!$B$16)*1000,"")&lt;=$S$5,"GO","WAIT"),"")</f>
        <v/>
      </c>
      <c r="T7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79" s="34" t="str">
        <f>IF(Tableau4849[[#This Row],[ETAT]]="LOSE",IF(IFERROR(ABS(SUBSTITUTE(Tableau4849[[#This Row],[PRICE]],".",",")-'[1]Deal ticket'!$B$16)*1000,"")&lt;=$U$5,"GO","WAIT"),"")</f>
        <v/>
      </c>
      <c r="V79" s="26">
        <f>IF(Tableau4849[[#This Row],[INDEX]]&lt;3,"",SUMIFS(Tableau4849[SL],Tableau4849[Colonne5],Tableau4849[[#This Row],[Colonne5]])+$S$4)</f>
        <v>1</v>
      </c>
      <c r="W79" s="34" t="str">
        <f>IF(Tableau4849[[#This Row],[ETAT]]="LOSE",IF(IFERROR(ABS(SUBSTITUTE(Tableau4849[[#This Row],[PRICE]],".",",")-'[1]Deal ticket'!$B$16)*1000,"")&lt;=$W$5,"GO","WAIT"),"")</f>
        <v/>
      </c>
      <c r="X7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7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7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7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79" s="26">
        <f>IF(AND(Tableau4849[[#This Row],[3,8]]=1),Tableau4849[[#This Row],[INDEX]],"")</f>
        <v>73</v>
      </c>
      <c r="AC79" s="26" t="str">
        <f ca="1">IF(IFERROR(_xlfn.XLOOKUP(Tableau4849[[#This Row],[IDENTITE]],[1]!Tableau47[GLOBUY],[1]!Tableau47[GLOBUY]),"")="","",1)</f>
        <v/>
      </c>
      <c r="AD79" s="26" t="str">
        <f>IF(IFERROR(_xlfn.XLOOKUP(Tableau4849[[#This Row],[IDENTITE]],[1]!Tableau47[GLOSELL],[1]!Tableau47[GLOSELL]),"")="","",1)</f>
        <v/>
      </c>
      <c r="AE79" s="26"/>
      <c r="AF79" s="26">
        <f>IF(Tableau4849[[#This Row],[INDEX]]&lt;3,"",IF(Tableau4849[[#This Row],[COMMAND]]="","",IF('[1]Bar history'!$AA$33=1,1,"")))</f>
        <v>1</v>
      </c>
      <c r="AG79" s="26"/>
      <c r="AH79" s="26" t="str">
        <f>IF(IFERROR(_xlfn.XLOOKUP(Tableau4849[[#This Row],[IDENTITE]],[1]!Tableau47[COMMENTAIRE],[1]!Tableau47[CLOTURE]),"")=[1]PARAMETRE!$BK$31,Tableau4849[[#This Row],[INDEX]],"")</f>
        <v/>
      </c>
      <c r="AI79" s="26"/>
      <c r="AJ79" s="35" t="str">
        <f>IF(AND(ISNUMBER(SEARCH("BUY",Tableau4849[[#This Row],[COMMAND]]))),"BUYSTOP",IF(AND(ISNUMBER(SEARCH("SELL",Tableau4849[[#This Row],[COMMAND]]))),"SELLSTOP",""))</f>
        <v>SELLSTOP</v>
      </c>
      <c r="AK79" s="35" t="str">
        <f>IFERROR(SUBSTITUTE(Tableau4849[[#This Row],[PRICE]],",","."),"")</f>
        <v>1.06391</v>
      </c>
      <c r="AL79" s="35" t="str">
        <f>IF(Tableau4849[[#This Row],[INDEX]]&lt;3,"",Tableau4849[[#This Row],[IDENTITE]])</f>
        <v>1 RSRS S 1.06391 M1M1</v>
      </c>
      <c r="AM79" s="35" t="str">
        <f>IF(Tableau4849[[#This Row],[INDEX]]&lt;3,"",Tableau4849[[#This Row],[DEVISE]])</f>
        <v>EURUSD</v>
      </c>
      <c r="AN79" s="35">
        <f>IFERROR(IF(Tableau4849[[#This Row],[INDEX]]&lt;3,"",Tableau4849[[#This Row],[ATTEINT]]),100000)</f>
        <v>100000</v>
      </c>
      <c r="AO79" s="35">
        <f>IF(Tableau4849[[#This Row],[INDEX]]&lt;3,"",Tableau4849[[#This Row],[COMPTE]])</f>
        <v>925832</v>
      </c>
      <c r="AP79" s="35" t="str">
        <f>IF(Tableau4849[[#This Row],[INDEX]]&lt;3,"","NON")</f>
        <v>NON</v>
      </c>
      <c r="AQ79" s="35" t="str">
        <f>IF(Tableau4849[[#This Row],[INDEX]]&lt;3,"",IF(Tableau4849[[#This Row],[0,5]]&lt;0,"NEGATIF",""))</f>
        <v>NEGATIF</v>
      </c>
    </row>
    <row r="80" spans="1:43" x14ac:dyDescent="0.25">
      <c r="A80" s="24">
        <v>74</v>
      </c>
      <c r="B80" s="32">
        <v>44923.127349537041</v>
      </c>
      <c r="C80" s="26">
        <v>925832</v>
      </c>
      <c r="D80" s="24" t="s">
        <v>0</v>
      </c>
      <c r="E80" s="24" t="s">
        <v>46</v>
      </c>
      <c r="F80" s="24">
        <v>1.06271</v>
      </c>
      <c r="G80" s="26">
        <v>4000</v>
      </c>
      <c r="H80" s="27" t="s">
        <v>236</v>
      </c>
      <c r="I80" s="28" t="str">
        <f>IF(IFERROR(_xlfn.XLOOKUP(Tableau4849[[#This Row],[SL]],'[1]Tickets (2)'!J76:J870,'[1]Tickets (2)'!I79:I873),"")=0,"",IFERROR(_xlfn.XLOOKUP(Tableau4849[[#This Row],[SL]],'[1]Tickets (2)'!J76:J870,'[1]Tickets (2)'!I79:I873),""))</f>
        <v/>
      </c>
      <c r="K8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0" s="33">
        <v>44923.630886574072</v>
      </c>
      <c r="N80" s="3" t="str">
        <f>IF(Tableau4849[[#This Row],[T CLOSE]]&gt;[1]CONFIGURATION!$K$4,Tableau4849[[#This Row],[IDENTITE]],"")</f>
        <v/>
      </c>
      <c r="O80" s="26">
        <f>IFERROR(Tableau4849[[#This Row],[SL]]/(Tableau4849[[#This Row],[VOLUME]]/$I$5),0)</f>
        <v>0</v>
      </c>
      <c r="P80" s="26" t="str">
        <f>Tableau4849[[#This Row],[COMMAND]]</f>
        <v>SELL</v>
      </c>
      <c r="Q8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1.06271 M1M1</v>
      </c>
      <c r="R80" s="29">
        <v>-736</v>
      </c>
      <c r="S80" s="26" t="str">
        <f>IF(Tableau4849[[#This Row],[ETAT]]="LOSE",IF(IFERROR(ABS(SUBSTITUTE(Tableau4849[[#This Row],[PRICE]],".",",")-'[1]Deal ticket'!$B$16)*1000,"")&lt;=$S$5,"GO","WAIT"),"")</f>
        <v/>
      </c>
      <c r="T8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0" s="34" t="str">
        <f>IF(Tableau4849[[#This Row],[ETAT]]="LOSE",IF(IFERROR(ABS(SUBSTITUTE(Tableau4849[[#This Row],[PRICE]],".",",")-'[1]Deal ticket'!$B$16)*1000,"")&lt;=$U$5,"GO","WAIT"),"")</f>
        <v/>
      </c>
      <c r="V80" s="26">
        <f>IF(Tableau4849[[#This Row],[INDEX]]&lt;3,"",SUMIFS(Tableau4849[SL],Tableau4849[Colonne5],Tableau4849[[#This Row],[Colonne5]])+$S$4)</f>
        <v>1</v>
      </c>
      <c r="W80" s="34" t="str">
        <f>IF(Tableau4849[[#This Row],[ETAT]]="LOSE",IF(IFERROR(ABS(SUBSTITUTE(Tableau4849[[#This Row],[PRICE]],".",",")-'[1]Deal ticket'!$B$16)*1000,"")&lt;=$W$5,"GO","WAIT"),"")</f>
        <v/>
      </c>
      <c r="X8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0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80" s="26" t="str">
        <f>IF(AND(Tableau4849[[#This Row],[3,8]]=1),Tableau4849[[#This Row],[INDEX]],"")</f>
        <v/>
      </c>
      <c r="AC80" s="26" t="str">
        <f ca="1">IF(IFERROR(_xlfn.XLOOKUP(Tableau4849[[#This Row],[IDENTITE]],[1]!Tableau47[GLOBUY],[1]!Tableau47[GLOBUY]),"")="","",1)</f>
        <v/>
      </c>
      <c r="AD80" s="26" t="str">
        <f>IF(IFERROR(_xlfn.XLOOKUP(Tableau4849[[#This Row],[IDENTITE]],[1]!Tableau47[GLOSELL],[1]!Tableau47[GLOSELL]),"")="","",1)</f>
        <v/>
      </c>
      <c r="AE80" s="26"/>
      <c r="AF80" s="26">
        <f>IF(Tableau4849[[#This Row],[INDEX]]&lt;3,"",IF(Tableau4849[[#This Row],[COMMAND]]="","",IF('[1]Bar history'!$AA$33=1,1,"")))</f>
        <v>1</v>
      </c>
      <c r="AG80" s="26"/>
      <c r="AH80" s="26" t="str">
        <f>IF(IFERROR(_xlfn.XLOOKUP(Tableau4849[[#This Row],[IDENTITE]],[1]!Tableau47[COMMENTAIRE],[1]!Tableau47[CLOTURE]),"")=[1]PARAMETRE!$BK$31,Tableau4849[[#This Row],[INDEX]],"")</f>
        <v/>
      </c>
      <c r="AI80" s="26"/>
      <c r="AJ80" s="35" t="str">
        <f>IF(AND(ISNUMBER(SEARCH("BUY",Tableau4849[[#This Row],[COMMAND]]))),"BUYSTOP",IF(AND(ISNUMBER(SEARCH("SELL",Tableau4849[[#This Row],[COMMAND]]))),"SELLSTOP",""))</f>
        <v>SELLSTOP</v>
      </c>
      <c r="AK80" s="35" t="str">
        <f>IFERROR(SUBSTITUTE(Tableau4849[[#This Row],[PRICE]],",","."),"")</f>
        <v>1.06271</v>
      </c>
      <c r="AL80" s="35" t="str">
        <f>IF(Tableau4849[[#This Row],[INDEX]]&lt;3,"",Tableau4849[[#This Row],[IDENTITE]])</f>
        <v>1 RSRS S 1.06271 M1M1</v>
      </c>
      <c r="AM80" s="35" t="str">
        <f>IF(Tableau4849[[#This Row],[INDEX]]&lt;3,"",Tableau4849[[#This Row],[DEVISE]])</f>
        <v>EURUSD</v>
      </c>
      <c r="AN80" s="35">
        <f>IFERROR(IF(Tableau4849[[#This Row],[INDEX]]&lt;3,"",Tableau4849[[#This Row],[ATTEINT]]),100000)</f>
        <v>100000</v>
      </c>
      <c r="AO80" s="35">
        <f>IF(Tableau4849[[#This Row],[INDEX]]&lt;3,"",Tableau4849[[#This Row],[COMPTE]])</f>
        <v>925832</v>
      </c>
      <c r="AP80" s="35" t="str">
        <f>IF(Tableau4849[[#This Row],[INDEX]]&lt;3,"","NON")</f>
        <v>NON</v>
      </c>
      <c r="AQ80" s="35" t="str">
        <f>IF(Tableau4849[[#This Row],[INDEX]]&lt;3,"",IF(Tableau4849[[#This Row],[0,5]]&lt;0,"NEGATIF",""))</f>
        <v>NEGATIF</v>
      </c>
    </row>
    <row r="81" spans="1:43" x14ac:dyDescent="0.25">
      <c r="A81" s="24">
        <v>75</v>
      </c>
      <c r="B81" s="32">
        <v>44923.127118055556</v>
      </c>
      <c r="C81" s="26">
        <v>925832</v>
      </c>
      <c r="D81" s="24" t="s">
        <v>0</v>
      </c>
      <c r="E81" s="24" t="s">
        <v>46</v>
      </c>
      <c r="F81" s="24">
        <v>1.06271</v>
      </c>
      <c r="G81" s="26">
        <v>4000</v>
      </c>
      <c r="H81" s="27" t="s">
        <v>237</v>
      </c>
      <c r="I81" s="28" t="str">
        <f>IF(IFERROR(_xlfn.XLOOKUP(Tableau4849[[#This Row],[SL]],'[1]Tickets (2)'!J77:J871,'[1]Tickets (2)'!I80:I874),"")=0,"",IFERROR(_xlfn.XLOOKUP(Tableau4849[[#This Row],[SL]],'[1]Tickets (2)'!J77:J871,'[1]Tickets (2)'!I80:I874),""))</f>
        <v/>
      </c>
      <c r="K8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1" s="33">
        <v>44923.630886574072</v>
      </c>
      <c r="N81" s="3" t="str">
        <f>IF(Tableau4849[[#This Row],[T CLOSE]]&gt;[1]CONFIGURATION!$K$4,Tableau4849[[#This Row],[IDENTITE]],"")</f>
        <v/>
      </c>
      <c r="O81" s="26">
        <f>IFERROR(Tableau4849[[#This Row],[SL]]/(Tableau4849[[#This Row],[VOLUME]]/$I$5),0)</f>
        <v>0</v>
      </c>
      <c r="P81" s="26" t="str">
        <f>Tableau4849[[#This Row],[COMMAND]]</f>
        <v>SELL</v>
      </c>
      <c r="Q8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1.06269 M1M1</v>
      </c>
      <c r="R81" s="29">
        <v>-746</v>
      </c>
      <c r="S81" s="26" t="str">
        <f>IF(Tableau4849[[#This Row],[ETAT]]="LOSE",IF(IFERROR(ABS(SUBSTITUTE(Tableau4849[[#This Row],[PRICE]],".",",")-'[1]Deal ticket'!$B$16)*1000,"")&lt;=$S$5,"GO","WAIT"),"")</f>
        <v/>
      </c>
      <c r="T8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1" s="34" t="str">
        <f>IF(Tableau4849[[#This Row],[ETAT]]="LOSE",IF(IFERROR(ABS(SUBSTITUTE(Tableau4849[[#This Row],[PRICE]],".",",")-'[1]Deal ticket'!$B$16)*1000,"")&lt;=$U$5,"GO","WAIT"),"")</f>
        <v/>
      </c>
      <c r="V81" s="26">
        <f>IF(Tableau4849[[#This Row],[INDEX]]&lt;3,"",SUMIFS(Tableau4849[SL],Tableau4849[Colonne5],Tableau4849[[#This Row],[Colonne5]])+$S$4)</f>
        <v>1</v>
      </c>
      <c r="W81" s="34" t="str">
        <f>IF(Tableau4849[[#This Row],[ETAT]]="LOSE",IF(IFERROR(ABS(SUBSTITUTE(Tableau4849[[#This Row],[PRICE]],".",",")-'[1]Deal ticket'!$B$16)*1000,"")&lt;=$W$5,"GO","WAIT"),"")</f>
        <v/>
      </c>
      <c r="X8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1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81" s="26" t="str">
        <f>IF(AND(Tableau4849[[#This Row],[3,8]]=1),Tableau4849[[#This Row],[INDEX]],"")</f>
        <v/>
      </c>
      <c r="AC81" s="26" t="str">
        <f ca="1">IF(IFERROR(_xlfn.XLOOKUP(Tableau4849[[#This Row],[IDENTITE]],[1]!Tableau47[GLOBUY],[1]!Tableau47[GLOBUY]),"")="","",1)</f>
        <v/>
      </c>
      <c r="AD81" s="26" t="str">
        <f>IF(IFERROR(_xlfn.XLOOKUP(Tableau4849[[#This Row],[IDENTITE]],[1]!Tableau47[GLOSELL],[1]!Tableau47[GLOSELL]),"")="","",1)</f>
        <v/>
      </c>
      <c r="AE81" s="26"/>
      <c r="AF81" s="26">
        <f>IF(Tableau4849[[#This Row],[INDEX]]&lt;3,"",IF(Tableau4849[[#This Row],[COMMAND]]="","",IF('[1]Bar history'!$AA$33=1,1,"")))</f>
        <v>1</v>
      </c>
      <c r="AG81" s="26"/>
      <c r="AH81" s="26" t="str">
        <f>IF(IFERROR(_xlfn.XLOOKUP(Tableau4849[[#This Row],[IDENTITE]],[1]!Tableau47[COMMENTAIRE],[1]!Tableau47[CLOTURE]),"")=[1]PARAMETRE!$BK$31,Tableau4849[[#This Row],[INDEX]],"")</f>
        <v/>
      </c>
      <c r="AI81" s="26"/>
      <c r="AJ81" s="35" t="str">
        <f>IF(AND(ISNUMBER(SEARCH("BUY",Tableau4849[[#This Row],[COMMAND]]))),"BUYSTOP",IF(AND(ISNUMBER(SEARCH("SELL",Tableau4849[[#This Row],[COMMAND]]))),"SELLSTOP",""))</f>
        <v>SELLSTOP</v>
      </c>
      <c r="AK81" s="35" t="str">
        <f>IFERROR(SUBSTITUTE(Tableau4849[[#This Row],[PRICE]],",","."),"")</f>
        <v>1.06271</v>
      </c>
      <c r="AL81" s="35" t="str">
        <f>IF(Tableau4849[[#This Row],[INDEX]]&lt;3,"",Tableau4849[[#This Row],[IDENTITE]])</f>
        <v>1 RSRS S 1.06269 M1M1</v>
      </c>
      <c r="AM81" s="35" t="str">
        <f>IF(Tableau4849[[#This Row],[INDEX]]&lt;3,"",Tableau4849[[#This Row],[DEVISE]])</f>
        <v>EURUSD</v>
      </c>
      <c r="AN81" s="35">
        <f>IFERROR(IF(Tableau4849[[#This Row],[INDEX]]&lt;3,"",Tableau4849[[#This Row],[ATTEINT]]),100000)</f>
        <v>100000</v>
      </c>
      <c r="AO81" s="35">
        <f>IF(Tableau4849[[#This Row],[INDEX]]&lt;3,"",Tableau4849[[#This Row],[COMPTE]])</f>
        <v>925832</v>
      </c>
      <c r="AP81" s="35" t="str">
        <f>IF(Tableau4849[[#This Row],[INDEX]]&lt;3,"","NON")</f>
        <v>NON</v>
      </c>
      <c r="AQ81" s="35" t="str">
        <f>IF(Tableau4849[[#This Row],[INDEX]]&lt;3,"",IF(Tableau4849[[#This Row],[0,5]]&lt;0,"NEGATIF",""))</f>
        <v>NEGATIF</v>
      </c>
    </row>
    <row r="82" spans="1:43" x14ac:dyDescent="0.25">
      <c r="A82" s="24">
        <v>76</v>
      </c>
      <c r="B82" s="32">
        <v>44923.126898148148</v>
      </c>
      <c r="C82" s="26">
        <v>925832</v>
      </c>
      <c r="D82" s="24" t="s">
        <v>0</v>
      </c>
      <c r="E82" s="24" t="s">
        <v>46</v>
      </c>
      <c r="F82" s="24">
        <v>1.0626800000000001</v>
      </c>
      <c r="G82" s="26">
        <v>4000</v>
      </c>
      <c r="H82" s="27" t="s">
        <v>239</v>
      </c>
      <c r="I82" s="28" t="str">
        <f>IF(IFERROR(_xlfn.XLOOKUP(Tableau4849[[#This Row],[SL]],'[1]Tickets (2)'!J78:J872,'[1]Tickets (2)'!I81:I875),"")=0,"",IFERROR(_xlfn.XLOOKUP(Tableau4849[[#This Row],[SL]],'[1]Tickets (2)'!J78:J872,'[1]Tickets (2)'!I81:I875),""))</f>
        <v/>
      </c>
      <c r="K8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2" s="33">
        <v>44923.630886574072</v>
      </c>
      <c r="N82" s="3" t="str">
        <f>IF(Tableau4849[[#This Row],[T CLOSE]]&gt;[1]CONFIGURATION!$K$4,Tableau4849[[#This Row],[IDENTITE]],"")</f>
        <v/>
      </c>
      <c r="O82" s="26">
        <f>IFERROR(Tableau4849[[#This Row],[SL]]/(Tableau4849[[#This Row],[VOLUME]]/$I$5),0)</f>
        <v>0</v>
      </c>
      <c r="P82" s="26" t="str">
        <f>Tableau4849[[#This Row],[COMMAND]]</f>
        <v>SELL</v>
      </c>
      <c r="Q8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1.06268 M1M1</v>
      </c>
      <c r="R82" s="29">
        <v>-756</v>
      </c>
      <c r="S82" s="26" t="str">
        <f>IF(Tableau4849[[#This Row],[ETAT]]="LOSE",IF(IFERROR(ABS(SUBSTITUTE(Tableau4849[[#This Row],[PRICE]],".",",")-'[1]Deal ticket'!$B$16)*1000,"")&lt;=$S$5,"GO","WAIT"),"")</f>
        <v/>
      </c>
      <c r="T8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2" s="34" t="str">
        <f>IF(Tableau4849[[#This Row],[ETAT]]="LOSE",IF(IFERROR(ABS(SUBSTITUTE(Tableau4849[[#This Row],[PRICE]],".",",")-'[1]Deal ticket'!$B$16)*1000,"")&lt;=$U$5,"GO","WAIT"),"")</f>
        <v/>
      </c>
      <c r="V82" s="26">
        <f>IF(Tableau4849[[#This Row],[INDEX]]&lt;3,"",SUMIFS(Tableau4849[SL],Tableau4849[Colonne5],Tableau4849[[#This Row],[Colonne5]])+$S$4)</f>
        <v>1</v>
      </c>
      <c r="W82" s="34" t="str">
        <f>IF(Tableau4849[[#This Row],[ETAT]]="LOSE",IF(IFERROR(ABS(SUBSTITUTE(Tableau4849[[#This Row],[PRICE]],".",",")-'[1]Deal ticket'!$B$16)*1000,"")&lt;=$W$5,"GO","WAIT"),"")</f>
        <v/>
      </c>
      <c r="X8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82" s="26">
        <f>IF(AND(Tableau4849[[#This Row],[3,8]]=1),Tableau4849[[#This Row],[INDEX]],"")</f>
        <v>76</v>
      </c>
      <c r="AC82" s="26" t="str">
        <f ca="1">IF(IFERROR(_xlfn.XLOOKUP(Tableau4849[[#This Row],[IDENTITE]],[1]!Tableau47[GLOBUY],[1]!Tableau47[GLOBUY]),"")="","",1)</f>
        <v/>
      </c>
      <c r="AD82" s="26" t="str">
        <f>IF(IFERROR(_xlfn.XLOOKUP(Tableau4849[[#This Row],[IDENTITE]],[1]!Tableau47[GLOSELL],[1]!Tableau47[GLOSELL]),"")="","",1)</f>
        <v/>
      </c>
      <c r="AE82" s="26"/>
      <c r="AF82" s="26">
        <f>IF(Tableau4849[[#This Row],[INDEX]]&lt;3,"",IF(Tableau4849[[#This Row],[COMMAND]]="","",IF('[1]Bar history'!$AA$33=1,1,"")))</f>
        <v>1</v>
      </c>
      <c r="AG82" s="26"/>
      <c r="AH82" s="26" t="str">
        <f>IF(IFERROR(_xlfn.XLOOKUP(Tableau4849[[#This Row],[IDENTITE]],[1]!Tableau47[COMMENTAIRE],[1]!Tableau47[CLOTURE]),"")=[1]PARAMETRE!$BK$31,Tableau4849[[#This Row],[INDEX]],"")</f>
        <v/>
      </c>
      <c r="AI82" s="26"/>
      <c r="AJ82" s="35" t="str">
        <f>IF(AND(ISNUMBER(SEARCH("BUY",Tableau4849[[#This Row],[COMMAND]]))),"BUYSTOP",IF(AND(ISNUMBER(SEARCH("SELL",Tableau4849[[#This Row],[COMMAND]]))),"SELLSTOP",""))</f>
        <v>SELLSTOP</v>
      </c>
      <c r="AK82" s="35" t="str">
        <f>IFERROR(SUBSTITUTE(Tableau4849[[#This Row],[PRICE]],",","."),"")</f>
        <v>1.06268</v>
      </c>
      <c r="AL82" s="35" t="str">
        <f>IF(Tableau4849[[#This Row],[INDEX]]&lt;3,"",Tableau4849[[#This Row],[IDENTITE]])</f>
        <v>1 RSRS S 1.06268 M1M1</v>
      </c>
      <c r="AM82" s="35" t="str">
        <f>IF(Tableau4849[[#This Row],[INDEX]]&lt;3,"",Tableau4849[[#This Row],[DEVISE]])</f>
        <v>EURUSD</v>
      </c>
      <c r="AN82" s="35">
        <f>IFERROR(IF(Tableau4849[[#This Row],[INDEX]]&lt;3,"",Tableau4849[[#This Row],[ATTEINT]]),100000)</f>
        <v>100000</v>
      </c>
      <c r="AO82" s="35">
        <f>IF(Tableau4849[[#This Row],[INDEX]]&lt;3,"",Tableau4849[[#This Row],[COMPTE]])</f>
        <v>925832</v>
      </c>
      <c r="AP82" s="35" t="str">
        <f>IF(Tableau4849[[#This Row],[INDEX]]&lt;3,"","NON")</f>
        <v>NON</v>
      </c>
      <c r="AQ82" s="35" t="str">
        <f>IF(Tableau4849[[#This Row],[INDEX]]&lt;3,"",IF(Tableau4849[[#This Row],[0,5]]&lt;0,"NEGATIF",""))</f>
        <v>NEGATIF</v>
      </c>
    </row>
    <row r="83" spans="1:43" x14ac:dyDescent="0.25">
      <c r="A83" s="24">
        <v>77</v>
      </c>
      <c r="B83" s="32">
        <v>44923.126655092594</v>
      </c>
      <c r="C83" s="26">
        <v>925832</v>
      </c>
      <c r="D83" s="24" t="s">
        <v>0</v>
      </c>
      <c r="E83" s="24" t="s">
        <v>46</v>
      </c>
      <c r="F83" s="24">
        <v>1.0626599999999999</v>
      </c>
      <c r="G83" s="26">
        <v>4000</v>
      </c>
      <c r="H83" s="27" t="s">
        <v>241</v>
      </c>
      <c r="I83" s="28" t="str">
        <f>IF(IFERROR(_xlfn.XLOOKUP(Tableau4849[[#This Row],[SL]],'[1]Tickets (2)'!J79:J873,'[1]Tickets (2)'!I82:I876),"")=0,"",IFERROR(_xlfn.XLOOKUP(Tableau4849[[#This Row],[SL]],'[1]Tickets (2)'!J79:J873,'[1]Tickets (2)'!I82:I876),""))</f>
        <v/>
      </c>
      <c r="K8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3" s="33">
        <v>44923.630886574072</v>
      </c>
      <c r="N83" s="3" t="str">
        <f>IF(Tableau4849[[#This Row],[T CLOSE]]&gt;[1]CONFIGURATION!$K$4,Tableau4849[[#This Row],[IDENTITE]],"")</f>
        <v/>
      </c>
      <c r="O83" s="26">
        <f>IFERROR(Tableau4849[[#This Row],[SL]]/(Tableau4849[[#This Row],[VOLUME]]/$I$5),0)</f>
        <v>0</v>
      </c>
      <c r="P83" s="26" t="str">
        <f>Tableau4849[[#This Row],[COMMAND]]</f>
        <v>SELL</v>
      </c>
      <c r="Q8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1.06266 M1M1</v>
      </c>
      <c r="R83" s="29">
        <v>-766</v>
      </c>
      <c r="S83" s="26" t="str">
        <f>IF(Tableau4849[[#This Row],[ETAT]]="LOSE",IF(IFERROR(ABS(SUBSTITUTE(Tableau4849[[#This Row],[PRICE]],".",",")-'[1]Deal ticket'!$B$16)*1000,"")&lt;=$S$5,"GO","WAIT"),"")</f>
        <v/>
      </c>
      <c r="T8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3" s="34" t="str">
        <f>IF(Tableau4849[[#This Row],[ETAT]]="LOSE",IF(IFERROR(ABS(SUBSTITUTE(Tableau4849[[#This Row],[PRICE]],".",",")-'[1]Deal ticket'!$B$16)*1000,"")&lt;=$U$5,"GO","WAIT"),"")</f>
        <v/>
      </c>
      <c r="V83" s="26">
        <f>IF(Tableau4849[[#This Row],[INDEX]]&lt;3,"",SUMIFS(Tableau4849[SL],Tableau4849[Colonne5],Tableau4849[[#This Row],[Colonne5]])+$S$4)</f>
        <v>1</v>
      </c>
      <c r="W83" s="34" t="str">
        <f>IF(Tableau4849[[#This Row],[ETAT]]="LOSE",IF(IFERROR(ABS(SUBSTITUTE(Tableau4849[[#This Row],[PRICE]],".",",")-'[1]Deal ticket'!$B$16)*1000,"")&lt;=$W$5,"GO","WAIT"),"")</f>
        <v/>
      </c>
      <c r="X8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83" s="26">
        <f>IF(AND(Tableau4849[[#This Row],[3,8]]=1),Tableau4849[[#This Row],[INDEX]],"")</f>
        <v>77</v>
      </c>
      <c r="AC83" s="26" t="str">
        <f ca="1">IF(IFERROR(_xlfn.XLOOKUP(Tableau4849[[#This Row],[IDENTITE]],[1]!Tableau47[GLOBUY],[1]!Tableau47[GLOBUY]),"")="","",1)</f>
        <v/>
      </c>
      <c r="AD83" s="26" t="str">
        <f>IF(IFERROR(_xlfn.XLOOKUP(Tableau4849[[#This Row],[IDENTITE]],[1]!Tableau47[GLOSELL],[1]!Tableau47[GLOSELL]),"")="","",1)</f>
        <v/>
      </c>
      <c r="AE83" s="26"/>
      <c r="AF83" s="26">
        <f>IF(Tableau4849[[#This Row],[INDEX]]&lt;3,"",IF(Tableau4849[[#This Row],[COMMAND]]="","",IF('[1]Bar history'!$AA$33=1,1,"")))</f>
        <v>1</v>
      </c>
      <c r="AG83" s="26"/>
      <c r="AH83" s="26" t="str">
        <f>IF(IFERROR(_xlfn.XLOOKUP(Tableau4849[[#This Row],[IDENTITE]],[1]!Tableau47[COMMENTAIRE],[1]!Tableau47[CLOTURE]),"")=[1]PARAMETRE!$BK$31,Tableau4849[[#This Row],[INDEX]],"")</f>
        <v/>
      </c>
      <c r="AI83" s="26"/>
      <c r="AJ83" s="35" t="str">
        <f>IF(AND(ISNUMBER(SEARCH("BUY",Tableau4849[[#This Row],[COMMAND]]))),"BUYSTOP",IF(AND(ISNUMBER(SEARCH("SELL",Tableau4849[[#This Row],[COMMAND]]))),"SELLSTOP",""))</f>
        <v>SELLSTOP</v>
      </c>
      <c r="AK83" s="35" t="str">
        <f>IFERROR(SUBSTITUTE(Tableau4849[[#This Row],[PRICE]],",","."),"")</f>
        <v>1.06266</v>
      </c>
      <c r="AL83" s="35" t="str">
        <f>IF(Tableau4849[[#This Row],[INDEX]]&lt;3,"",Tableau4849[[#This Row],[IDENTITE]])</f>
        <v>1 RSRS S 1.06266 M1M1</v>
      </c>
      <c r="AM83" s="35" t="str">
        <f>IF(Tableau4849[[#This Row],[INDEX]]&lt;3,"",Tableau4849[[#This Row],[DEVISE]])</f>
        <v>EURUSD</v>
      </c>
      <c r="AN83" s="35">
        <f>IFERROR(IF(Tableau4849[[#This Row],[INDEX]]&lt;3,"",Tableau4849[[#This Row],[ATTEINT]]),100000)</f>
        <v>100000</v>
      </c>
      <c r="AO83" s="35">
        <f>IF(Tableau4849[[#This Row],[INDEX]]&lt;3,"",Tableau4849[[#This Row],[COMPTE]])</f>
        <v>925832</v>
      </c>
      <c r="AP83" s="35" t="str">
        <f>IF(Tableau4849[[#This Row],[INDEX]]&lt;3,"","NON")</f>
        <v>NON</v>
      </c>
      <c r="AQ83" s="35" t="str">
        <f>IF(Tableau4849[[#This Row],[INDEX]]&lt;3,"",IF(Tableau4849[[#This Row],[0,5]]&lt;0,"NEGATIF",""))</f>
        <v>NEGATIF</v>
      </c>
    </row>
    <row r="84" spans="1:43" x14ac:dyDescent="0.25">
      <c r="A84" s="24">
        <v>78</v>
      </c>
      <c r="B84" s="32">
        <v>44923.12641203704</v>
      </c>
      <c r="C84" s="26">
        <v>925832</v>
      </c>
      <c r="D84" s="24" t="s">
        <v>0</v>
      </c>
      <c r="E84" s="24" t="s">
        <v>46</v>
      </c>
      <c r="F84" s="24">
        <v>1.0626599999999999</v>
      </c>
      <c r="G84" s="26">
        <v>4000</v>
      </c>
      <c r="H84" s="27" t="s">
        <v>242</v>
      </c>
      <c r="I84" s="28" t="str">
        <f>IF(IFERROR(_xlfn.XLOOKUP(Tableau4849[[#This Row],[SL]],'[1]Tickets (2)'!J80:J874,'[1]Tickets (2)'!I83:I877),"")=0,"",IFERROR(_xlfn.XLOOKUP(Tableau4849[[#This Row],[SL]],'[1]Tickets (2)'!J80:J874,'[1]Tickets (2)'!I83:I877),""))</f>
        <v/>
      </c>
      <c r="K8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4" s="33">
        <v>44923.630886574072</v>
      </c>
      <c r="N84" s="3" t="str">
        <f>IF(Tableau4849[[#This Row],[T CLOSE]]&gt;[1]CONFIGURATION!$K$4,Tableau4849[[#This Row],[IDENTITE]],"")</f>
        <v/>
      </c>
      <c r="O84" s="26">
        <f>IFERROR(Tableau4849[[#This Row],[SL]]/(Tableau4849[[#This Row],[VOLUME]]/$I$5),0)</f>
        <v>0</v>
      </c>
      <c r="P84" s="26" t="str">
        <f>Tableau4849[[#This Row],[COMMAND]]</f>
        <v>SELL</v>
      </c>
      <c r="Q8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1.06264 M1M1</v>
      </c>
      <c r="R84" s="29">
        <v>-776</v>
      </c>
      <c r="S84" s="26" t="str">
        <f>IF(Tableau4849[[#This Row],[ETAT]]="LOSE",IF(IFERROR(ABS(SUBSTITUTE(Tableau4849[[#This Row],[PRICE]],".",",")-'[1]Deal ticket'!$B$16)*1000,"")&lt;=$S$5,"GO","WAIT"),"")</f>
        <v/>
      </c>
      <c r="T8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4" s="34" t="str">
        <f>IF(Tableau4849[[#This Row],[ETAT]]="LOSE",IF(IFERROR(ABS(SUBSTITUTE(Tableau4849[[#This Row],[PRICE]],".",",")-'[1]Deal ticket'!$B$16)*1000,"")&lt;=$U$5,"GO","WAIT"),"")</f>
        <v/>
      </c>
      <c r="V84" s="26">
        <f>IF(Tableau4849[[#This Row],[INDEX]]&lt;3,"",SUMIFS(Tableau4849[SL],Tableau4849[Colonne5],Tableau4849[[#This Row],[Colonne5]])+$S$4)</f>
        <v>1</v>
      </c>
      <c r="W84" s="34" t="str">
        <f>IF(Tableau4849[[#This Row],[ETAT]]="LOSE",IF(IFERROR(ABS(SUBSTITUTE(Tableau4849[[#This Row],[PRICE]],".",",")-'[1]Deal ticket'!$B$16)*1000,"")&lt;=$W$5,"GO","WAIT"),"")</f>
        <v/>
      </c>
      <c r="X8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4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84" s="26">
        <f>IF(AND(Tableau4849[[#This Row],[3,8]]=1),Tableau4849[[#This Row],[INDEX]],"")</f>
        <v>78</v>
      </c>
      <c r="AC84" s="26" t="str">
        <f ca="1">IF(IFERROR(_xlfn.XLOOKUP(Tableau4849[[#This Row],[IDENTITE]],[1]!Tableau47[GLOBUY],[1]!Tableau47[GLOBUY]),"")="","",1)</f>
        <v/>
      </c>
      <c r="AD84" s="26" t="str">
        <f>IF(IFERROR(_xlfn.XLOOKUP(Tableau4849[[#This Row],[IDENTITE]],[1]!Tableau47[GLOSELL],[1]!Tableau47[GLOSELL]),"")="","",1)</f>
        <v/>
      </c>
      <c r="AE84" s="26"/>
      <c r="AF84" s="26">
        <f>IF(Tableau4849[[#This Row],[INDEX]]&lt;3,"",IF(Tableau4849[[#This Row],[COMMAND]]="","",IF('[1]Bar history'!$AA$33=1,1,"")))</f>
        <v>1</v>
      </c>
      <c r="AG84" s="26"/>
      <c r="AH84" s="26" t="str">
        <f>IF(IFERROR(_xlfn.XLOOKUP(Tableau4849[[#This Row],[IDENTITE]],[1]!Tableau47[COMMENTAIRE],[1]!Tableau47[CLOTURE]),"")=[1]PARAMETRE!$BK$31,Tableau4849[[#This Row],[INDEX]],"")</f>
        <v/>
      </c>
      <c r="AI84" s="26"/>
      <c r="AJ84" s="35" t="str">
        <f>IF(AND(ISNUMBER(SEARCH("BUY",Tableau4849[[#This Row],[COMMAND]]))),"BUYSTOP",IF(AND(ISNUMBER(SEARCH("SELL",Tableau4849[[#This Row],[COMMAND]]))),"SELLSTOP",""))</f>
        <v>SELLSTOP</v>
      </c>
      <c r="AK84" s="35" t="str">
        <f>IFERROR(SUBSTITUTE(Tableau4849[[#This Row],[PRICE]],",","."),"")</f>
        <v>1.06266</v>
      </c>
      <c r="AL84" s="35" t="str">
        <f>IF(Tableau4849[[#This Row],[INDEX]]&lt;3,"",Tableau4849[[#This Row],[IDENTITE]])</f>
        <v>1 RSRS S 1.06264 M1M1</v>
      </c>
      <c r="AM84" s="35" t="str">
        <f>IF(Tableau4849[[#This Row],[INDEX]]&lt;3,"",Tableau4849[[#This Row],[DEVISE]])</f>
        <v>EURUSD</v>
      </c>
      <c r="AN84" s="35">
        <f>IFERROR(IF(Tableau4849[[#This Row],[INDEX]]&lt;3,"",Tableau4849[[#This Row],[ATTEINT]]),100000)</f>
        <v>100000</v>
      </c>
      <c r="AO84" s="35">
        <f>IF(Tableau4849[[#This Row],[INDEX]]&lt;3,"",Tableau4849[[#This Row],[COMPTE]])</f>
        <v>925832</v>
      </c>
      <c r="AP84" s="35" t="str">
        <f>IF(Tableau4849[[#This Row],[INDEX]]&lt;3,"","NON")</f>
        <v>NON</v>
      </c>
      <c r="AQ84" s="35" t="str">
        <f>IF(Tableau4849[[#This Row],[INDEX]]&lt;3,"",IF(Tableau4849[[#This Row],[0,5]]&lt;0,"NEGATIF",""))</f>
        <v>NEGATIF</v>
      </c>
    </row>
    <row r="85" spans="1:43" x14ac:dyDescent="0.25">
      <c r="A85" s="24">
        <v>79</v>
      </c>
      <c r="B85" s="32">
        <v>44923.126168981478</v>
      </c>
      <c r="C85" s="26">
        <v>925832</v>
      </c>
      <c r="D85" s="24" t="s">
        <v>0</v>
      </c>
      <c r="E85" s="24" t="s">
        <v>46</v>
      </c>
      <c r="F85" s="24">
        <v>1.0626500000000001</v>
      </c>
      <c r="G85" s="26">
        <v>4000</v>
      </c>
      <c r="H85" s="27" t="s">
        <v>244</v>
      </c>
      <c r="I85" s="28" t="str">
        <f>IF(IFERROR(_xlfn.XLOOKUP(Tableau4849[[#This Row],[SL]],'[1]Tickets (2)'!J81:J875,'[1]Tickets (2)'!I84:I878),"")=0,"",IFERROR(_xlfn.XLOOKUP(Tableau4849[[#This Row],[SL]],'[1]Tickets (2)'!J81:J875,'[1]Tickets (2)'!I84:I878),""))</f>
        <v/>
      </c>
      <c r="K8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5" s="33">
        <v>44923.630886574072</v>
      </c>
      <c r="N85" s="3" t="str">
        <f>IF(Tableau4849[[#This Row],[T CLOSE]]&gt;[1]CONFIGURATION!$K$4,Tableau4849[[#This Row],[IDENTITE]],"")</f>
        <v/>
      </c>
      <c r="O85" s="26">
        <f>IFERROR(Tableau4849[[#This Row],[SL]]/(Tableau4849[[#This Row],[VOLUME]]/$I$5),0)</f>
        <v>0</v>
      </c>
      <c r="P85" s="26" t="str">
        <f>Tableau4849[[#This Row],[COMMAND]]</f>
        <v>SELL</v>
      </c>
      <c r="Q8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 M1M1</v>
      </c>
      <c r="R85" s="29">
        <v>-786</v>
      </c>
      <c r="S85" s="26" t="str">
        <f>IF(Tableau4849[[#This Row],[ETAT]]="LOSE",IF(IFERROR(ABS(SUBSTITUTE(Tableau4849[[#This Row],[PRICE]],".",",")-'[1]Deal ticket'!$B$16)*1000,"")&lt;=$S$5,"GO","WAIT"),"")</f>
        <v/>
      </c>
      <c r="T8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5" s="34" t="str">
        <f>IF(Tableau4849[[#This Row],[ETAT]]="LOSE",IF(IFERROR(ABS(SUBSTITUTE(Tableau4849[[#This Row],[PRICE]],".",",")-'[1]Deal ticket'!$B$16)*1000,"")&lt;=$U$5,"GO","WAIT"),"")</f>
        <v/>
      </c>
      <c r="V85" s="26">
        <f>IF(Tableau4849[[#This Row],[INDEX]]&lt;3,"",SUMIFS(Tableau4849[SL],Tableau4849[Colonne5],Tableau4849[[#This Row],[Colonne5]])+$S$4)</f>
        <v>1</v>
      </c>
      <c r="W85" s="34" t="str">
        <f>IF(Tableau4849[[#This Row],[ETAT]]="LOSE",IF(IFERROR(ABS(SUBSTITUTE(Tableau4849[[#This Row],[PRICE]],".",",")-'[1]Deal ticket'!$B$16)*1000,"")&lt;=$W$5,"GO","WAIT"),"")</f>
        <v/>
      </c>
      <c r="X8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5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85" s="26">
        <f>IF(AND(Tableau4849[[#This Row],[3,8]]=1),Tableau4849[[#This Row],[INDEX]],"")</f>
        <v>79</v>
      </c>
      <c r="AC85" s="26" t="str">
        <f ca="1">IF(IFERROR(_xlfn.XLOOKUP(Tableau4849[[#This Row],[IDENTITE]],[1]!Tableau47[GLOBUY],[1]!Tableau47[GLOBUY]),"")="","",1)</f>
        <v/>
      </c>
      <c r="AD85" s="26" t="str">
        <f>IF(IFERROR(_xlfn.XLOOKUP(Tableau4849[[#This Row],[IDENTITE]],[1]!Tableau47[GLOSELL],[1]!Tableau47[GLOSELL]),"")="","",1)</f>
        <v/>
      </c>
      <c r="AE85" s="26"/>
      <c r="AF85" s="26">
        <f>IF(Tableau4849[[#This Row],[INDEX]]&lt;3,"",IF(Tableau4849[[#This Row],[COMMAND]]="","",IF('[1]Bar history'!$AA$33=1,1,"")))</f>
        <v>1</v>
      </c>
      <c r="AG85" s="26"/>
      <c r="AH85" s="26" t="str">
        <f>IF(IFERROR(_xlfn.XLOOKUP(Tableau4849[[#This Row],[IDENTITE]],[1]!Tableau47[COMMENTAIRE],[1]!Tableau47[CLOTURE]),"")=[1]PARAMETRE!$BK$31,Tableau4849[[#This Row],[INDEX]],"")</f>
        <v/>
      </c>
      <c r="AI85" s="26"/>
      <c r="AJ85" s="35" t="str">
        <f>IF(AND(ISNUMBER(SEARCH("BUY",Tableau4849[[#This Row],[COMMAND]]))),"BUYSTOP",IF(AND(ISNUMBER(SEARCH("SELL",Tableau4849[[#This Row],[COMMAND]]))),"SELLSTOP",""))</f>
        <v>SELLSTOP</v>
      </c>
      <c r="AK85" s="35" t="str">
        <f>IFERROR(SUBSTITUTE(Tableau4849[[#This Row],[PRICE]],",","."),"")</f>
        <v>1.06265</v>
      </c>
      <c r="AL85" s="35" t="str">
        <f>IF(Tableau4849[[#This Row],[INDEX]]&lt;3,"",Tableau4849[[#This Row],[IDENTITE]])</f>
        <v>1 RSRS S 1.0626 M1M1</v>
      </c>
      <c r="AM85" s="35" t="str">
        <f>IF(Tableau4849[[#This Row],[INDEX]]&lt;3,"",Tableau4849[[#This Row],[DEVISE]])</f>
        <v>EURUSD</v>
      </c>
      <c r="AN85" s="35">
        <f>IFERROR(IF(Tableau4849[[#This Row],[INDEX]]&lt;3,"",Tableau4849[[#This Row],[ATTEINT]]),100000)</f>
        <v>100000</v>
      </c>
      <c r="AO85" s="35">
        <f>IF(Tableau4849[[#This Row],[INDEX]]&lt;3,"",Tableau4849[[#This Row],[COMPTE]])</f>
        <v>925832</v>
      </c>
      <c r="AP85" s="35" t="str">
        <f>IF(Tableau4849[[#This Row],[INDEX]]&lt;3,"","NON")</f>
        <v>NON</v>
      </c>
      <c r="AQ85" s="35" t="str">
        <f>IF(Tableau4849[[#This Row],[INDEX]]&lt;3,"",IF(Tableau4849[[#This Row],[0,5]]&lt;0,"NEGATIF",""))</f>
        <v>NEGATIF</v>
      </c>
    </row>
    <row r="86" spans="1:43" x14ac:dyDescent="0.25">
      <c r="A86" s="24">
        <v>80</v>
      </c>
      <c r="B86" s="32">
        <v>44923.125902777778</v>
      </c>
      <c r="C86" s="26">
        <v>925832</v>
      </c>
      <c r="D86" s="24" t="s">
        <v>0</v>
      </c>
      <c r="E86" s="24" t="s">
        <v>46</v>
      </c>
      <c r="F86" s="24">
        <v>1.0626599999999999</v>
      </c>
      <c r="G86" s="26">
        <v>4000</v>
      </c>
      <c r="H86" s="27" t="s">
        <v>245</v>
      </c>
      <c r="I86" s="28" t="str">
        <f>IF(IFERROR(_xlfn.XLOOKUP(Tableau4849[[#This Row],[SL]],'[1]Tickets (2)'!J82:J876,'[1]Tickets (2)'!I85:I879),"")=0,"",IFERROR(_xlfn.XLOOKUP(Tableau4849[[#This Row],[SL]],'[1]Tickets (2)'!J82:J876,'[1]Tickets (2)'!I85:I879),""))</f>
        <v/>
      </c>
      <c r="K8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6" s="33">
        <v>44923.630886574072</v>
      </c>
      <c r="N86" s="3" t="str">
        <f>IF(Tableau4849[[#This Row],[T CLOSE]]&gt;[1]CONFIGURATION!$K$4,Tableau4849[[#This Row],[IDENTITE]],"")</f>
        <v/>
      </c>
      <c r="O86" s="26">
        <f>IFERROR(Tableau4849[[#This Row],[SL]]/(Tableau4849[[#This Row],[VOLUME]]/$I$5),0)</f>
        <v>0</v>
      </c>
      <c r="P86" s="26" t="str">
        <f>Tableau4849[[#This Row],[COMMAND]]</f>
        <v>SELL</v>
      </c>
      <c r="Q8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1.06267 M1M1</v>
      </c>
      <c r="R86" s="29">
        <v>-346</v>
      </c>
      <c r="S86" s="26" t="str">
        <f>IF(Tableau4849[[#This Row],[ETAT]]="LOSE",IF(IFERROR(ABS(SUBSTITUTE(Tableau4849[[#This Row],[PRICE]],".",",")-'[1]Deal ticket'!$B$16)*1000,"")&lt;=$S$5,"GO","WAIT"),"")</f>
        <v/>
      </c>
      <c r="T8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6" s="34" t="str">
        <f>IF(Tableau4849[[#This Row],[ETAT]]="LOSE",IF(IFERROR(ABS(SUBSTITUTE(Tableau4849[[#This Row],[PRICE]],".",",")-'[1]Deal ticket'!$B$16)*1000,"")&lt;=$U$5,"GO","WAIT"),"")</f>
        <v/>
      </c>
      <c r="V86" s="26">
        <f>IF(Tableau4849[[#This Row],[INDEX]]&lt;3,"",SUMIFS(Tableau4849[SL],Tableau4849[Colonne5],Tableau4849[[#This Row],[Colonne5]])+$S$4)</f>
        <v>1</v>
      </c>
      <c r="W86" s="34" t="str">
        <f>IF(Tableau4849[[#This Row],[ETAT]]="LOSE",IF(IFERROR(ABS(SUBSTITUTE(Tableau4849[[#This Row],[PRICE]],".",",")-'[1]Deal ticket'!$B$16)*1000,"")&lt;=$W$5,"GO","WAIT"),"")</f>
        <v/>
      </c>
      <c r="X8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6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86" s="26" t="str">
        <f>IF(AND(Tableau4849[[#This Row],[3,8]]=1),Tableau4849[[#This Row],[INDEX]],"")</f>
        <v/>
      </c>
      <c r="AC86" s="26" t="str">
        <f ca="1">IF(IFERROR(_xlfn.XLOOKUP(Tableau4849[[#This Row],[IDENTITE]],[1]!Tableau47[GLOBUY],[1]!Tableau47[GLOBUY]),"")="","",1)</f>
        <v/>
      </c>
      <c r="AD86" s="26" t="str">
        <f>IF(IFERROR(_xlfn.XLOOKUP(Tableau4849[[#This Row],[IDENTITE]],[1]!Tableau47[GLOSELL],[1]!Tableau47[GLOSELL]),"")="","",1)</f>
        <v/>
      </c>
      <c r="AE86" s="26"/>
      <c r="AF86" s="26">
        <f>IF(Tableau4849[[#This Row],[INDEX]]&lt;3,"",IF(Tableau4849[[#This Row],[COMMAND]]="","",IF('[1]Bar history'!$AA$33=1,1,"")))</f>
        <v>1</v>
      </c>
      <c r="AG86" s="26"/>
      <c r="AH86" s="26" t="str">
        <f>IF(IFERROR(_xlfn.XLOOKUP(Tableau4849[[#This Row],[IDENTITE]],[1]!Tableau47[COMMENTAIRE],[1]!Tableau47[CLOTURE]),"")=[1]PARAMETRE!$BK$31,Tableau4849[[#This Row],[INDEX]],"")</f>
        <v/>
      </c>
      <c r="AI86" s="26"/>
      <c r="AJ86" s="35" t="str">
        <f>IF(AND(ISNUMBER(SEARCH("BUY",Tableau4849[[#This Row],[COMMAND]]))),"BUYSTOP",IF(AND(ISNUMBER(SEARCH("SELL",Tableau4849[[#This Row],[COMMAND]]))),"SELLSTOP",""))</f>
        <v>SELLSTOP</v>
      </c>
      <c r="AK86" s="35" t="str">
        <f>IFERROR(SUBSTITUTE(Tableau4849[[#This Row],[PRICE]],",","."),"")</f>
        <v>1.06266</v>
      </c>
      <c r="AL86" s="35" t="str">
        <f>IF(Tableau4849[[#This Row],[INDEX]]&lt;3,"",Tableau4849[[#This Row],[IDENTITE]])</f>
        <v>1 RSRS S 1.06267 M1M1</v>
      </c>
      <c r="AM86" s="35" t="str">
        <f>IF(Tableau4849[[#This Row],[INDEX]]&lt;3,"",Tableau4849[[#This Row],[DEVISE]])</f>
        <v>EURUSD</v>
      </c>
      <c r="AN86" s="35">
        <f>IFERROR(IF(Tableau4849[[#This Row],[INDEX]]&lt;3,"",Tableau4849[[#This Row],[ATTEINT]]),100000)</f>
        <v>100000</v>
      </c>
      <c r="AO86" s="35">
        <f>IF(Tableau4849[[#This Row],[INDEX]]&lt;3,"",Tableau4849[[#This Row],[COMPTE]])</f>
        <v>925832</v>
      </c>
      <c r="AP86" s="35" t="str">
        <f>IF(Tableau4849[[#This Row],[INDEX]]&lt;3,"","NON")</f>
        <v>NON</v>
      </c>
      <c r="AQ86" s="35" t="str">
        <f>IF(Tableau4849[[#This Row],[INDEX]]&lt;3,"",IF(Tableau4849[[#This Row],[0,5]]&lt;0,"NEGATIF",""))</f>
        <v>NEGATIF</v>
      </c>
    </row>
    <row r="87" spans="1:43" x14ac:dyDescent="0.25">
      <c r="A87" s="24">
        <v>81</v>
      </c>
      <c r="B87" s="32">
        <v>44923.100312499999</v>
      </c>
      <c r="C87" s="26">
        <v>925832</v>
      </c>
      <c r="D87" s="24" t="s">
        <v>0</v>
      </c>
      <c r="E87" s="24" t="s">
        <v>46</v>
      </c>
      <c r="F87" s="24">
        <v>1.06253</v>
      </c>
      <c r="G87" s="26">
        <v>4000</v>
      </c>
      <c r="H87" s="27" t="s">
        <v>247</v>
      </c>
      <c r="I87" s="28" t="str">
        <f>IF(IFERROR(_xlfn.XLOOKUP(Tableau4849[[#This Row],[SL]],'[1]Tickets (2)'!J83:J877,'[1]Tickets (2)'!I86:I880),"")=0,"",IFERROR(_xlfn.XLOOKUP(Tableau4849[[#This Row],[SL]],'[1]Tickets (2)'!J83:J877,'[1]Tickets (2)'!I86:I880),""))</f>
        <v/>
      </c>
      <c r="K8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7" s="33">
        <v>44923.630886574072</v>
      </c>
      <c r="N87" s="3" t="str">
        <f>IF(Tableau4849[[#This Row],[T CLOSE]]&gt;[1]CONFIGURATION!$K$4,Tableau4849[[#This Row],[IDENTITE]],"")</f>
        <v/>
      </c>
      <c r="O87" s="26">
        <f>IFERROR(Tableau4849[[#This Row],[SL]]/(Tableau4849[[#This Row],[VOLUME]]/$I$5),0)</f>
        <v>0</v>
      </c>
      <c r="P87" s="26" t="str">
        <f>Tableau4849[[#This Row],[COMMAND]]</f>
        <v>SELL</v>
      </c>
      <c r="Q8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1.06255 M1M1</v>
      </c>
      <c r="R87" s="29">
        <v>-356</v>
      </c>
      <c r="S87" s="26" t="str">
        <f>IF(Tableau4849[[#This Row],[ETAT]]="LOSE",IF(IFERROR(ABS(SUBSTITUTE(Tableau4849[[#This Row],[PRICE]],".",",")-'[1]Deal ticket'!$B$16)*1000,"")&lt;=$S$5,"GO","WAIT"),"")</f>
        <v/>
      </c>
      <c r="T8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7" s="34" t="str">
        <f>IF(Tableau4849[[#This Row],[ETAT]]="LOSE",IF(IFERROR(ABS(SUBSTITUTE(Tableau4849[[#This Row],[PRICE]],".",",")-'[1]Deal ticket'!$B$16)*1000,"")&lt;=$U$5,"GO","WAIT"),"")</f>
        <v/>
      </c>
      <c r="V87" s="26">
        <f>IF(Tableau4849[[#This Row],[INDEX]]&lt;3,"",SUMIFS(Tableau4849[SL],Tableau4849[Colonne5],Tableau4849[[#This Row],[Colonne5]])+$S$4)</f>
        <v>1</v>
      </c>
      <c r="W87" s="34" t="str">
        <f>IF(Tableau4849[[#This Row],[ETAT]]="LOSE",IF(IFERROR(ABS(SUBSTITUTE(Tableau4849[[#This Row],[PRICE]],".",",")-'[1]Deal ticket'!$B$16)*1000,"")&lt;=$W$5,"GO","WAIT"),"")</f>
        <v/>
      </c>
      <c r="X8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87" s="26">
        <f>IF(AND(Tableau4849[[#This Row],[3,8]]=1),Tableau4849[[#This Row],[INDEX]],"")</f>
        <v>81</v>
      </c>
      <c r="AC87" s="26" t="str">
        <f ca="1">IF(IFERROR(_xlfn.XLOOKUP(Tableau4849[[#This Row],[IDENTITE]],[1]!Tableau47[GLOBUY],[1]!Tableau47[GLOBUY]),"")="","",1)</f>
        <v/>
      </c>
      <c r="AD87" s="26" t="str">
        <f>IF(IFERROR(_xlfn.XLOOKUP(Tableau4849[[#This Row],[IDENTITE]],[1]!Tableau47[GLOSELL],[1]!Tableau47[GLOSELL]),"")="","",1)</f>
        <v/>
      </c>
      <c r="AE87" s="26"/>
      <c r="AF87" s="26">
        <f>IF(Tableau4849[[#This Row],[INDEX]]&lt;3,"",IF(Tableau4849[[#This Row],[COMMAND]]="","",IF('[1]Bar history'!$AA$33=1,1,"")))</f>
        <v>1</v>
      </c>
      <c r="AG87" s="26"/>
      <c r="AH87" s="26" t="str">
        <f>IF(IFERROR(_xlfn.XLOOKUP(Tableau4849[[#This Row],[IDENTITE]],[1]!Tableau47[COMMENTAIRE],[1]!Tableau47[CLOTURE]),"")=[1]PARAMETRE!$BK$31,Tableau4849[[#This Row],[INDEX]],"")</f>
        <v/>
      </c>
      <c r="AI87" s="26"/>
      <c r="AJ87" s="35" t="str">
        <f>IF(AND(ISNUMBER(SEARCH("BUY",Tableau4849[[#This Row],[COMMAND]]))),"BUYSTOP",IF(AND(ISNUMBER(SEARCH("SELL",Tableau4849[[#This Row],[COMMAND]]))),"SELLSTOP",""))</f>
        <v>SELLSTOP</v>
      </c>
      <c r="AK87" s="35" t="str">
        <f>IFERROR(SUBSTITUTE(Tableau4849[[#This Row],[PRICE]],",","."),"")</f>
        <v>1.06253</v>
      </c>
      <c r="AL87" s="35" t="str">
        <f>IF(Tableau4849[[#This Row],[INDEX]]&lt;3,"",Tableau4849[[#This Row],[IDENTITE]])</f>
        <v>1 RSRS S 1.06255 M1M1</v>
      </c>
      <c r="AM87" s="35" t="str">
        <f>IF(Tableau4849[[#This Row],[INDEX]]&lt;3,"",Tableau4849[[#This Row],[DEVISE]])</f>
        <v>EURUSD</v>
      </c>
      <c r="AN87" s="35">
        <f>IFERROR(IF(Tableau4849[[#This Row],[INDEX]]&lt;3,"",Tableau4849[[#This Row],[ATTEINT]]),100000)</f>
        <v>100000</v>
      </c>
      <c r="AO87" s="35">
        <f>IF(Tableau4849[[#This Row],[INDEX]]&lt;3,"",Tableau4849[[#This Row],[COMPTE]])</f>
        <v>925832</v>
      </c>
      <c r="AP87" s="35" t="str">
        <f>IF(Tableau4849[[#This Row],[INDEX]]&lt;3,"","NON")</f>
        <v>NON</v>
      </c>
      <c r="AQ87" s="35" t="str">
        <f>IF(Tableau4849[[#This Row],[INDEX]]&lt;3,"",IF(Tableau4849[[#This Row],[0,5]]&lt;0,"NEGATIF",""))</f>
        <v>NEGATIF</v>
      </c>
    </row>
    <row r="88" spans="1:43" x14ac:dyDescent="0.25">
      <c r="A88" s="24">
        <v>82</v>
      </c>
      <c r="B88" s="32">
        <v>44923.100081018521</v>
      </c>
      <c r="C88" s="26">
        <v>925832</v>
      </c>
      <c r="D88" s="24" t="s">
        <v>0</v>
      </c>
      <c r="E88" s="24" t="s">
        <v>46</v>
      </c>
      <c r="F88" s="24">
        <v>1.0626</v>
      </c>
      <c r="G88" s="26">
        <v>3000</v>
      </c>
      <c r="H88" s="27" t="s">
        <v>2</v>
      </c>
      <c r="I88" s="28" t="str">
        <f>IF(IFERROR(_xlfn.XLOOKUP(Tableau4849[[#This Row],[SL]],'[1]Tickets (2)'!J84:J878,'[1]Tickets (2)'!I87:I881),"")=0,"",IFERROR(_xlfn.XLOOKUP(Tableau4849[[#This Row],[SL]],'[1]Tickets (2)'!J84:J878,'[1]Tickets (2)'!I87:I881),""))</f>
        <v/>
      </c>
      <c r="K8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8" s="33">
        <v>44923.630886574072</v>
      </c>
      <c r="N88" s="3" t="str">
        <f>IF(Tableau4849[[#This Row],[T CLOSE]]&gt;[1]CONFIGURATION!$K$4,Tableau4849[[#This Row],[IDENTITE]],"")</f>
        <v/>
      </c>
      <c r="O88" s="26">
        <f>IFERROR(Tableau4849[[#This Row],[SL]]/(Tableau4849[[#This Row],[VOLUME]]/$I$5),0)</f>
        <v>0</v>
      </c>
      <c r="P88" s="26" t="str">
        <f>Tableau4849[[#This Row],[COMMAND]]</f>
        <v>SELL</v>
      </c>
      <c r="Q8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1.06246 M1M1</v>
      </c>
      <c r="R88" s="29">
        <v>-366</v>
      </c>
      <c r="S88" s="26" t="str">
        <f>IF(Tableau4849[[#This Row],[ETAT]]="LOSE",IF(IFERROR(ABS(SUBSTITUTE(Tableau4849[[#This Row],[PRICE]],".",",")-'[1]Deal ticket'!$B$16)*1000,"")&lt;=$S$5,"GO","WAIT"),"")</f>
        <v/>
      </c>
      <c r="T8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8" s="34" t="str">
        <f>IF(Tableau4849[[#This Row],[ETAT]]="LOSE",IF(IFERROR(ABS(SUBSTITUTE(Tableau4849[[#This Row],[PRICE]],".",",")-'[1]Deal ticket'!$B$16)*1000,"")&lt;=$U$5,"GO","WAIT"),"")</f>
        <v/>
      </c>
      <c r="V88" s="26">
        <f>IF(Tableau4849[[#This Row],[INDEX]]&lt;3,"",SUMIFS(Tableau4849[SL],Tableau4849[Colonne5],Tableau4849[[#This Row],[Colonne5]])+$S$4)</f>
        <v>1</v>
      </c>
      <c r="W88" s="34" t="str">
        <f>IF(Tableau4849[[#This Row],[ETAT]]="LOSE",IF(IFERROR(ABS(SUBSTITUTE(Tableau4849[[#This Row],[PRICE]],".",",")-'[1]Deal ticket'!$B$16)*1000,"")&lt;=$W$5,"GO","WAIT"),"")</f>
        <v/>
      </c>
      <c r="X8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8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88" s="26" t="str">
        <f>IF(AND(Tableau4849[[#This Row],[3,8]]=1),Tableau4849[[#This Row],[INDEX]],"")</f>
        <v/>
      </c>
      <c r="AC88" s="26" t="str">
        <f ca="1">IF(IFERROR(_xlfn.XLOOKUP(Tableau4849[[#This Row],[IDENTITE]],[1]!Tableau47[GLOBUY],[1]!Tableau47[GLOBUY]),"")="","",1)</f>
        <v/>
      </c>
      <c r="AD88" s="26" t="str">
        <f>IF(IFERROR(_xlfn.XLOOKUP(Tableau4849[[#This Row],[IDENTITE]],[1]!Tableau47[GLOSELL],[1]!Tableau47[GLOSELL]),"")="","",1)</f>
        <v/>
      </c>
      <c r="AE88" s="26"/>
      <c r="AF88" s="26">
        <f>IF(Tableau4849[[#This Row],[INDEX]]&lt;3,"",IF(Tableau4849[[#This Row],[COMMAND]]="","",IF('[1]Bar history'!$AA$33=1,1,"")))</f>
        <v>1</v>
      </c>
      <c r="AG88" s="26"/>
      <c r="AH88" s="26" t="str">
        <f>IF(IFERROR(_xlfn.XLOOKUP(Tableau4849[[#This Row],[IDENTITE]],[1]!Tableau47[COMMENTAIRE],[1]!Tableau47[CLOTURE]),"")=[1]PARAMETRE!$BK$31,Tableau4849[[#This Row],[INDEX]],"")</f>
        <v/>
      </c>
      <c r="AI88" s="26"/>
      <c r="AJ88" s="35" t="str">
        <f>IF(AND(ISNUMBER(SEARCH("BUY",Tableau4849[[#This Row],[COMMAND]]))),"BUYSTOP",IF(AND(ISNUMBER(SEARCH("SELL",Tableau4849[[#This Row],[COMMAND]]))),"SELLSTOP",""))</f>
        <v>SELLSTOP</v>
      </c>
      <c r="AK88" s="35" t="str">
        <f>IFERROR(SUBSTITUTE(Tableau4849[[#This Row],[PRICE]],",","."),"")</f>
        <v>1.0626</v>
      </c>
      <c r="AL88" s="35" t="str">
        <f>IF(Tableau4849[[#This Row],[INDEX]]&lt;3,"",Tableau4849[[#This Row],[IDENTITE]])</f>
        <v>1 RSRS S 1.06246 M1M1</v>
      </c>
      <c r="AM88" s="35" t="str">
        <f>IF(Tableau4849[[#This Row],[INDEX]]&lt;3,"",Tableau4849[[#This Row],[DEVISE]])</f>
        <v>EURUSD</v>
      </c>
      <c r="AN88" s="35">
        <f>IFERROR(IF(Tableau4849[[#This Row],[INDEX]]&lt;3,"",Tableau4849[[#This Row],[ATTEINT]]),100000)</f>
        <v>100000</v>
      </c>
      <c r="AO88" s="35">
        <f>IF(Tableau4849[[#This Row],[INDEX]]&lt;3,"",Tableau4849[[#This Row],[COMPTE]])</f>
        <v>925832</v>
      </c>
      <c r="AP88" s="35" t="str">
        <f>IF(Tableau4849[[#This Row],[INDEX]]&lt;3,"","NON")</f>
        <v>NON</v>
      </c>
      <c r="AQ88" s="35" t="str">
        <f>IF(Tableau4849[[#This Row],[INDEX]]&lt;3,"",IF(Tableau4849[[#This Row],[0,5]]&lt;0,"NEGATIF",""))</f>
        <v>NEGATIF</v>
      </c>
    </row>
    <row r="89" spans="1:43" x14ac:dyDescent="0.25">
      <c r="A89" s="24">
        <v>83</v>
      </c>
      <c r="B89" s="32">
        <v>44923.055474537039</v>
      </c>
      <c r="C89" s="26">
        <v>925832</v>
      </c>
      <c r="D89" s="24" t="s">
        <v>0</v>
      </c>
      <c r="E89" s="24" t="s">
        <v>47</v>
      </c>
      <c r="F89" s="24">
        <v>1.0655300000000001</v>
      </c>
      <c r="G89" s="26">
        <v>21000</v>
      </c>
      <c r="H89" s="27" t="s">
        <v>249</v>
      </c>
      <c r="I89" s="28" t="str">
        <f>IF(IFERROR(_xlfn.XLOOKUP(Tableau4849[[#This Row],[SL]],'[1]Tickets (2)'!J85:J879,'[1]Tickets (2)'!I88:I882),"")=0,"",IFERROR(_xlfn.XLOOKUP(Tableau4849[[#This Row],[SL]],'[1]Tickets (2)'!J85:J879,'[1]Tickets (2)'!I88:I882),""))</f>
        <v/>
      </c>
      <c r="K8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89" s="33">
        <v>44923.630886574072</v>
      </c>
      <c r="N89" s="3" t="str">
        <f>IF(Tableau4849[[#This Row],[T CLOSE]]&gt;[1]CONFIGURATION!$K$4,Tableau4849[[#This Row],[IDENTITE]],"")</f>
        <v/>
      </c>
      <c r="O89" s="26">
        <f>IFERROR(Tableau4849[[#This Row],[SL]]/(Tableau4849[[#This Row],[VOLUME]]/$I$5),0)</f>
        <v>0</v>
      </c>
      <c r="P89" s="26" t="str">
        <f>Tableau4849[[#This Row],[COMMAND]]</f>
        <v>BUY</v>
      </c>
      <c r="Q8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1.06414 M1M1</v>
      </c>
      <c r="R89" s="29">
        <v>-376</v>
      </c>
      <c r="S89" s="26" t="str">
        <f>IF(Tableau4849[[#This Row],[ETAT]]="LOSE",IF(IFERROR(ABS(SUBSTITUTE(Tableau4849[[#This Row],[PRICE]],".",",")-'[1]Deal ticket'!$B$16)*1000,"")&lt;=$S$5,"GO","WAIT"),"")</f>
        <v/>
      </c>
      <c r="T8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89" s="34" t="str">
        <f>IF(Tableau4849[[#This Row],[ETAT]]="LOSE",IF(IFERROR(ABS(SUBSTITUTE(Tableau4849[[#This Row],[PRICE]],".",",")-'[1]Deal ticket'!$B$16)*1000,"")&lt;=$U$5,"GO","WAIT"),"")</f>
        <v/>
      </c>
      <c r="V89" s="26">
        <f>IF(Tableau4849[[#This Row],[INDEX]]&lt;3,"",SUMIFS(Tableau4849[SL],Tableau4849[Colonne5],Tableau4849[[#This Row],[Colonne5]])+$S$4)</f>
        <v>1</v>
      </c>
      <c r="W89" s="34" t="str">
        <f>IF(Tableau4849[[#This Row],[ETAT]]="LOSE",IF(IFERROR(ABS(SUBSTITUTE(Tableau4849[[#This Row],[PRICE]],".",",")-'[1]Deal ticket'!$B$16)*1000,"")&lt;=$W$5,"GO","WAIT"),"")</f>
        <v/>
      </c>
      <c r="X8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8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8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8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89" s="26">
        <f>IF(AND(Tableau4849[[#This Row],[3,8]]=1),Tableau4849[[#This Row],[INDEX]],"")</f>
        <v>83</v>
      </c>
      <c r="AC89" s="26" t="str">
        <f ca="1">IF(IFERROR(_xlfn.XLOOKUP(Tableau4849[[#This Row],[IDENTITE]],[1]!Tableau47[GLOBUY],[1]!Tableau47[GLOBUY]),"")="","",1)</f>
        <v/>
      </c>
      <c r="AD89" s="26" t="str">
        <f>IF(IFERROR(_xlfn.XLOOKUP(Tableau4849[[#This Row],[IDENTITE]],[1]!Tableau47[GLOSELL],[1]!Tableau47[GLOSELL]),"")="","",1)</f>
        <v/>
      </c>
      <c r="AE89" s="26"/>
      <c r="AF89" s="26">
        <f>IF(Tableau4849[[#This Row],[INDEX]]&lt;3,"",IF(Tableau4849[[#This Row],[COMMAND]]="","",IF('[1]Bar history'!$AA$33=1,1,"")))</f>
        <v>1</v>
      </c>
      <c r="AG89" s="26"/>
      <c r="AH89" s="26" t="str">
        <f>IF(IFERROR(_xlfn.XLOOKUP(Tableau4849[[#This Row],[IDENTITE]],[1]!Tableau47[COMMENTAIRE],[1]!Tableau47[CLOTURE]),"")=[1]PARAMETRE!$BK$31,Tableau4849[[#This Row],[INDEX]],"")</f>
        <v/>
      </c>
      <c r="AI89" s="26"/>
      <c r="AJ89" s="35" t="str">
        <f>IF(AND(ISNUMBER(SEARCH("BUY",Tableau4849[[#This Row],[COMMAND]]))),"BUYSTOP",IF(AND(ISNUMBER(SEARCH("SELL",Tableau4849[[#This Row],[COMMAND]]))),"SELLSTOP",""))</f>
        <v>BUYSTOP</v>
      </c>
      <c r="AK89" s="35" t="str">
        <f>IFERROR(SUBSTITUTE(Tableau4849[[#This Row],[PRICE]],",","."),"")</f>
        <v>1.06553</v>
      </c>
      <c r="AL89" s="35" t="str">
        <f>IF(Tableau4849[[#This Row],[INDEX]]&lt;3,"",Tableau4849[[#This Row],[IDENTITE]])</f>
        <v>1 RBRB B 1.06414 M1M1</v>
      </c>
      <c r="AM89" s="35" t="str">
        <f>IF(Tableau4849[[#This Row],[INDEX]]&lt;3,"",Tableau4849[[#This Row],[DEVISE]])</f>
        <v>EURUSD</v>
      </c>
      <c r="AN89" s="35">
        <f>IFERROR(IF(Tableau4849[[#This Row],[INDEX]]&lt;3,"",Tableau4849[[#This Row],[ATTEINT]]),100000)</f>
        <v>100000</v>
      </c>
      <c r="AO89" s="35">
        <f>IF(Tableau4849[[#This Row],[INDEX]]&lt;3,"",Tableau4849[[#This Row],[COMPTE]])</f>
        <v>925832</v>
      </c>
      <c r="AP89" s="35" t="str">
        <f>IF(Tableau4849[[#This Row],[INDEX]]&lt;3,"","NON")</f>
        <v>NON</v>
      </c>
      <c r="AQ89" s="35" t="str">
        <f>IF(Tableau4849[[#This Row],[INDEX]]&lt;3,"",IF(Tableau4849[[#This Row],[0,5]]&lt;0,"NEGATIF",""))</f>
        <v>NEGATIF</v>
      </c>
    </row>
    <row r="90" spans="1:43" x14ac:dyDescent="0.25">
      <c r="A90" s="24">
        <v>84</v>
      </c>
      <c r="B90" s="32">
        <v>44923.036446759259</v>
      </c>
      <c r="C90" s="26">
        <v>925832</v>
      </c>
      <c r="D90" s="24" t="s">
        <v>0</v>
      </c>
      <c r="E90" s="24" t="s">
        <v>47</v>
      </c>
      <c r="F90" s="24">
        <v>1.06565</v>
      </c>
      <c r="G90" s="26">
        <v>41000</v>
      </c>
      <c r="H90" s="27" t="s">
        <v>250</v>
      </c>
      <c r="I90" s="28" t="str">
        <f>IF(IFERROR(_xlfn.XLOOKUP(Tableau4849[[#This Row],[SL]],'[1]Tickets (2)'!J86:J880,'[1]Tickets (2)'!I89:I883),"")=0,"",IFERROR(_xlfn.XLOOKUP(Tableau4849[[#This Row],[SL]],'[1]Tickets (2)'!J86:J880,'[1]Tickets (2)'!I89:I883),""))</f>
        <v/>
      </c>
      <c r="K9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90" s="33">
        <v>44923.630891203706</v>
      </c>
      <c r="N90" s="3" t="str">
        <f>IF(Tableau4849[[#This Row],[T CLOSE]]&gt;[1]CONFIGURATION!$K$4,Tableau4849[[#This Row],[IDENTITE]],"")</f>
        <v/>
      </c>
      <c r="O90" s="26">
        <f>IFERROR(Tableau4849[[#This Row],[SL]]/(Tableau4849[[#This Row],[VOLUME]]/$I$5),0)</f>
        <v>0</v>
      </c>
      <c r="P90" s="26" t="str">
        <f>Tableau4849[[#This Row],[COMMAND]]</f>
        <v>BUY</v>
      </c>
      <c r="Q9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1.20221 M1M1</v>
      </c>
      <c r="R90" s="29">
        <v>-386</v>
      </c>
      <c r="S90" s="26" t="str">
        <f>IF(Tableau4849[[#This Row],[ETAT]]="LOSE",IF(IFERROR(ABS(SUBSTITUTE(Tableau4849[[#This Row],[PRICE]],".",",")-'[1]Deal ticket'!$B$16)*1000,"")&lt;=$S$5,"GO","WAIT"),"")</f>
        <v/>
      </c>
      <c r="T9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0" s="34" t="str">
        <f>IF(Tableau4849[[#This Row],[ETAT]]="LOSE",IF(IFERROR(ABS(SUBSTITUTE(Tableau4849[[#This Row],[PRICE]],".",",")-'[1]Deal ticket'!$B$16)*1000,"")&lt;=$U$5,"GO","WAIT"),"")</f>
        <v/>
      </c>
      <c r="V90" s="26">
        <f>IF(Tableau4849[[#This Row],[INDEX]]&lt;3,"",SUMIFS(Tableau4849[SL],Tableau4849[Colonne5],Tableau4849[[#This Row],[Colonne5]])+$S$4)</f>
        <v>1</v>
      </c>
      <c r="W90" s="34" t="str">
        <f>IF(Tableau4849[[#This Row],[ETAT]]="LOSE",IF(IFERROR(ABS(SUBSTITUTE(Tableau4849[[#This Row],[PRICE]],".",",")-'[1]Deal ticket'!$B$16)*1000,"")&lt;=$W$5,"GO","WAIT"),"")</f>
        <v/>
      </c>
      <c r="X9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90" s="26">
        <f>IF(AND(Tableau4849[[#This Row],[3,8]]=1),Tableau4849[[#This Row],[INDEX]],"")</f>
        <v>84</v>
      </c>
      <c r="AC90" s="26" t="str">
        <f ca="1">IF(IFERROR(_xlfn.XLOOKUP(Tableau4849[[#This Row],[IDENTITE]],[1]!Tableau47[GLOBUY],[1]!Tableau47[GLOBUY]),"")="","",1)</f>
        <v/>
      </c>
      <c r="AD90" s="26" t="str">
        <f>IF(IFERROR(_xlfn.XLOOKUP(Tableau4849[[#This Row],[IDENTITE]],[1]!Tableau47[GLOSELL],[1]!Tableau47[GLOSELL]),"")="","",1)</f>
        <v/>
      </c>
      <c r="AE90" s="26"/>
      <c r="AF90" s="26">
        <f>IF(Tableau4849[[#This Row],[INDEX]]&lt;3,"",IF(Tableau4849[[#This Row],[COMMAND]]="","",IF('[1]Bar history'!$AA$33=1,1,"")))</f>
        <v>1</v>
      </c>
      <c r="AG90" s="26"/>
      <c r="AH90" s="26" t="str">
        <f>IF(IFERROR(_xlfn.XLOOKUP(Tableau4849[[#This Row],[IDENTITE]],[1]!Tableau47[COMMENTAIRE],[1]!Tableau47[CLOTURE]),"")=[1]PARAMETRE!$BK$31,Tableau4849[[#This Row],[INDEX]],"")</f>
        <v/>
      </c>
      <c r="AI90" s="26"/>
      <c r="AJ90" s="35" t="str">
        <f>IF(AND(ISNUMBER(SEARCH("BUY",Tableau4849[[#This Row],[COMMAND]]))),"BUYSTOP",IF(AND(ISNUMBER(SEARCH("SELL",Tableau4849[[#This Row],[COMMAND]]))),"SELLSTOP",""))</f>
        <v>BUYSTOP</v>
      </c>
      <c r="AK90" s="35" t="str">
        <f>IFERROR(SUBSTITUTE(Tableau4849[[#This Row],[PRICE]],",","."),"")</f>
        <v>1.06565</v>
      </c>
      <c r="AL90" s="35" t="str">
        <f>IF(Tableau4849[[#This Row],[INDEX]]&lt;3,"",Tableau4849[[#This Row],[IDENTITE]])</f>
        <v>1 RBRB B 1.20221 M1M1</v>
      </c>
      <c r="AM90" s="35" t="str">
        <f>IF(Tableau4849[[#This Row],[INDEX]]&lt;3,"",Tableau4849[[#This Row],[DEVISE]])</f>
        <v>EURUSD</v>
      </c>
      <c r="AN90" s="35">
        <f>IFERROR(IF(Tableau4849[[#This Row],[INDEX]]&lt;3,"",Tableau4849[[#This Row],[ATTEINT]]),100000)</f>
        <v>100000</v>
      </c>
      <c r="AO90" s="35">
        <f>IF(Tableau4849[[#This Row],[INDEX]]&lt;3,"",Tableau4849[[#This Row],[COMPTE]])</f>
        <v>925832</v>
      </c>
      <c r="AP90" s="35" t="str">
        <f>IF(Tableau4849[[#This Row],[INDEX]]&lt;3,"","NON")</f>
        <v>NON</v>
      </c>
      <c r="AQ90" s="35" t="str">
        <f>IF(Tableau4849[[#This Row],[INDEX]]&lt;3,"",IF(Tableau4849[[#This Row],[0,5]]&lt;0,"NEGATIF",""))</f>
        <v>NEGATIF</v>
      </c>
    </row>
    <row r="91" spans="1:43" x14ac:dyDescent="0.25">
      <c r="A91" s="24">
        <v>85</v>
      </c>
      <c r="B91" s="32">
        <v>44923.036249999997</v>
      </c>
      <c r="C91" s="26">
        <v>925832</v>
      </c>
      <c r="D91" s="24" t="s">
        <v>0</v>
      </c>
      <c r="E91" s="24" t="s">
        <v>47</v>
      </c>
      <c r="F91" s="24">
        <v>1.06559</v>
      </c>
      <c r="G91" s="26">
        <v>40000</v>
      </c>
      <c r="H91" s="27" t="s">
        <v>252</v>
      </c>
      <c r="I91" s="28" t="str">
        <f>IF(IFERROR(_xlfn.XLOOKUP(Tableau4849[[#This Row],[SL]],'[1]Tickets (2)'!J87:J881,'[1]Tickets (2)'!I90:I884),"")=0,"",IFERROR(_xlfn.XLOOKUP(Tableau4849[[#This Row],[SL]],'[1]Tickets (2)'!J87:J881,'[1]Tickets (2)'!I90:I884),""))</f>
        <v/>
      </c>
      <c r="K9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91" s="33">
        <v>44923.630891203706</v>
      </c>
      <c r="N91" s="3" t="str">
        <f>IF(Tableau4849[[#This Row],[T CLOSE]]&gt;[1]CONFIGURATION!$K$4,Tableau4849[[#This Row],[IDENTITE]],"")</f>
        <v/>
      </c>
      <c r="O91" s="26">
        <f>IFERROR(Tableau4849[[#This Row],[SL]]/(Tableau4849[[#This Row],[VOLUME]]/$I$5),0)</f>
        <v>0</v>
      </c>
      <c r="P91" s="26" t="str">
        <f>Tableau4849[[#This Row],[COMMAND]]</f>
        <v>BUY</v>
      </c>
      <c r="Q9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1.2015 M1M1</v>
      </c>
      <c r="R91" s="29">
        <v>-396</v>
      </c>
      <c r="S91" s="26" t="str">
        <f>IF(Tableau4849[[#This Row],[ETAT]]="LOSE",IF(IFERROR(ABS(SUBSTITUTE(Tableau4849[[#This Row],[PRICE]],".",",")-'[1]Deal ticket'!$B$16)*1000,"")&lt;=$S$5,"GO","WAIT"),"")</f>
        <v/>
      </c>
      <c r="T9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1" s="34" t="str">
        <f>IF(Tableau4849[[#This Row],[ETAT]]="LOSE",IF(IFERROR(ABS(SUBSTITUTE(Tableau4849[[#This Row],[PRICE]],".",",")-'[1]Deal ticket'!$B$16)*1000,"")&lt;=$U$5,"GO","WAIT"),"")</f>
        <v/>
      </c>
      <c r="V91" s="26">
        <f>IF(Tableau4849[[#This Row],[INDEX]]&lt;3,"",SUMIFS(Tableau4849[SL],Tableau4849[Colonne5],Tableau4849[[#This Row],[Colonne5]])+$S$4)</f>
        <v>1</v>
      </c>
      <c r="W91" s="34" t="str">
        <f>IF(Tableau4849[[#This Row],[ETAT]]="LOSE",IF(IFERROR(ABS(SUBSTITUTE(Tableau4849[[#This Row],[PRICE]],".",",")-'[1]Deal ticket'!$B$16)*1000,"")&lt;=$W$5,"GO","WAIT"),"")</f>
        <v/>
      </c>
      <c r="X9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91" s="26">
        <f>IF(AND(Tableau4849[[#This Row],[3,8]]=1),Tableau4849[[#This Row],[INDEX]],"")</f>
        <v>85</v>
      </c>
      <c r="AC91" s="26" t="str">
        <f ca="1">IF(IFERROR(_xlfn.XLOOKUP(Tableau4849[[#This Row],[IDENTITE]],[1]!Tableau47[GLOBUY],[1]!Tableau47[GLOBUY]),"")="","",1)</f>
        <v/>
      </c>
      <c r="AD91" s="26" t="str">
        <f>IF(IFERROR(_xlfn.XLOOKUP(Tableau4849[[#This Row],[IDENTITE]],[1]!Tableau47[GLOSELL],[1]!Tableau47[GLOSELL]),"")="","",1)</f>
        <v/>
      </c>
      <c r="AE91" s="26"/>
      <c r="AF91" s="26">
        <f>IF(Tableau4849[[#This Row],[INDEX]]&lt;3,"",IF(Tableau4849[[#This Row],[COMMAND]]="","",IF('[1]Bar history'!$AA$33=1,1,"")))</f>
        <v>1</v>
      </c>
      <c r="AG91" s="26"/>
      <c r="AH91" s="26" t="str">
        <f>IF(IFERROR(_xlfn.XLOOKUP(Tableau4849[[#This Row],[IDENTITE]],[1]!Tableau47[COMMENTAIRE],[1]!Tableau47[CLOTURE]),"")=[1]PARAMETRE!$BK$31,Tableau4849[[#This Row],[INDEX]],"")</f>
        <v/>
      </c>
      <c r="AI91" s="26"/>
      <c r="AJ91" s="35" t="str">
        <f>IF(AND(ISNUMBER(SEARCH("BUY",Tableau4849[[#This Row],[COMMAND]]))),"BUYSTOP",IF(AND(ISNUMBER(SEARCH("SELL",Tableau4849[[#This Row],[COMMAND]]))),"SELLSTOP",""))</f>
        <v>BUYSTOP</v>
      </c>
      <c r="AK91" s="35" t="str">
        <f>IFERROR(SUBSTITUTE(Tableau4849[[#This Row],[PRICE]],",","."),"")</f>
        <v>1.06559</v>
      </c>
      <c r="AL91" s="35" t="str">
        <f>IF(Tableau4849[[#This Row],[INDEX]]&lt;3,"",Tableau4849[[#This Row],[IDENTITE]])</f>
        <v>1 RBRB B 1.2015 M1M1</v>
      </c>
      <c r="AM91" s="35" t="str">
        <f>IF(Tableau4849[[#This Row],[INDEX]]&lt;3,"",Tableau4849[[#This Row],[DEVISE]])</f>
        <v>EURUSD</v>
      </c>
      <c r="AN91" s="35">
        <f>IFERROR(IF(Tableau4849[[#This Row],[INDEX]]&lt;3,"",Tableau4849[[#This Row],[ATTEINT]]),100000)</f>
        <v>100000</v>
      </c>
      <c r="AO91" s="35">
        <f>IF(Tableau4849[[#This Row],[INDEX]]&lt;3,"",Tableau4849[[#This Row],[COMPTE]])</f>
        <v>925832</v>
      </c>
      <c r="AP91" s="35" t="str">
        <f>IF(Tableau4849[[#This Row],[INDEX]]&lt;3,"","NON")</f>
        <v>NON</v>
      </c>
      <c r="AQ91" s="35" t="str">
        <f>IF(Tableau4849[[#This Row],[INDEX]]&lt;3,"",IF(Tableau4849[[#This Row],[0,5]]&lt;0,"NEGATIF",""))</f>
        <v>NEGATIF</v>
      </c>
    </row>
    <row r="92" spans="1:43" x14ac:dyDescent="0.25">
      <c r="A92" s="24">
        <v>86</v>
      </c>
      <c r="B92" s="32">
        <v>44923.036030092589</v>
      </c>
      <c r="C92" s="26">
        <v>925832</v>
      </c>
      <c r="D92" s="24" t="s">
        <v>0</v>
      </c>
      <c r="E92" s="24" t="s">
        <v>47</v>
      </c>
      <c r="F92" s="24">
        <v>1.06565</v>
      </c>
      <c r="G92" s="26">
        <v>31000</v>
      </c>
      <c r="H92" s="27" t="s">
        <v>253</v>
      </c>
      <c r="I92" s="28" t="str">
        <f>IF(IFERROR(_xlfn.XLOOKUP(Tableau4849[[#This Row],[SL]],'[1]Tickets (2)'!J88:J882,'[1]Tickets (2)'!I91:I885),"")=0,"",IFERROR(_xlfn.XLOOKUP(Tableau4849[[#This Row],[SL]],'[1]Tickets (2)'!J88:J882,'[1]Tickets (2)'!I91:I885),""))</f>
        <v/>
      </c>
      <c r="K9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92" s="33">
        <v>44923.630891203706</v>
      </c>
      <c r="N92" s="3" t="str">
        <f>IF(Tableau4849[[#This Row],[T CLOSE]]&gt;[1]CONFIGURATION!$K$4,Tableau4849[[#This Row],[IDENTITE]],"")</f>
        <v/>
      </c>
      <c r="O92" s="26">
        <f>IFERROR(Tableau4849[[#This Row],[SL]]/(Tableau4849[[#This Row],[VOLUME]]/$I$5),0)</f>
        <v>0</v>
      </c>
      <c r="P92" s="26" t="str">
        <f>Tableau4849[[#This Row],[COMMAND]]</f>
        <v>BUY</v>
      </c>
      <c r="Q9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1.20233 M1M1</v>
      </c>
      <c r="R92" s="29">
        <v>-406</v>
      </c>
      <c r="S92" s="26" t="str">
        <f>IF(Tableau4849[[#This Row],[ETAT]]="LOSE",IF(IFERROR(ABS(SUBSTITUTE(Tableau4849[[#This Row],[PRICE]],".",",")-'[1]Deal ticket'!$B$16)*1000,"")&lt;=$S$5,"GO","WAIT"),"")</f>
        <v/>
      </c>
      <c r="T9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2" s="34" t="str">
        <f>IF(Tableau4849[[#This Row],[ETAT]]="LOSE",IF(IFERROR(ABS(SUBSTITUTE(Tableau4849[[#This Row],[PRICE]],".",",")-'[1]Deal ticket'!$B$16)*1000,"")&lt;=$U$5,"GO","WAIT"),"")</f>
        <v/>
      </c>
      <c r="V92" s="26">
        <f>IF(Tableau4849[[#This Row],[INDEX]]&lt;3,"",SUMIFS(Tableau4849[SL],Tableau4849[Colonne5],Tableau4849[[#This Row],[Colonne5]])+$S$4)</f>
        <v>1</v>
      </c>
      <c r="W92" s="34" t="str">
        <f>IF(Tableau4849[[#This Row],[ETAT]]="LOSE",IF(IFERROR(ABS(SUBSTITUTE(Tableau4849[[#This Row],[PRICE]],".",",")-'[1]Deal ticket'!$B$16)*1000,"")&lt;=$W$5,"GO","WAIT"),"")</f>
        <v/>
      </c>
      <c r="X9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92" s="26">
        <f>IF(AND(Tableau4849[[#This Row],[3,8]]=1),Tableau4849[[#This Row],[INDEX]],"")</f>
        <v>86</v>
      </c>
      <c r="AC92" s="26" t="str">
        <f ca="1">IF(IFERROR(_xlfn.XLOOKUP(Tableau4849[[#This Row],[IDENTITE]],[1]!Tableau47[GLOBUY],[1]!Tableau47[GLOBUY]),"")="","",1)</f>
        <v/>
      </c>
      <c r="AD92" s="26" t="str">
        <f>IF(IFERROR(_xlfn.XLOOKUP(Tableau4849[[#This Row],[IDENTITE]],[1]!Tableau47[GLOSELL],[1]!Tableau47[GLOSELL]),"")="","",1)</f>
        <v/>
      </c>
      <c r="AE92" s="26"/>
      <c r="AF92" s="26">
        <f>IF(Tableau4849[[#This Row],[INDEX]]&lt;3,"",IF(Tableau4849[[#This Row],[COMMAND]]="","",IF('[1]Bar history'!$AA$33=1,1,"")))</f>
        <v>1</v>
      </c>
      <c r="AG92" s="26"/>
      <c r="AH92" s="26" t="str">
        <f>IF(IFERROR(_xlfn.XLOOKUP(Tableau4849[[#This Row],[IDENTITE]],[1]!Tableau47[COMMENTAIRE],[1]!Tableau47[CLOTURE]),"")=[1]PARAMETRE!$BK$31,Tableau4849[[#This Row],[INDEX]],"")</f>
        <v/>
      </c>
      <c r="AI92" s="26"/>
      <c r="AJ92" s="35" t="str">
        <f>IF(AND(ISNUMBER(SEARCH("BUY",Tableau4849[[#This Row],[COMMAND]]))),"BUYSTOP",IF(AND(ISNUMBER(SEARCH("SELL",Tableau4849[[#This Row],[COMMAND]]))),"SELLSTOP",""))</f>
        <v>BUYSTOP</v>
      </c>
      <c r="AK92" s="35" t="str">
        <f>IFERROR(SUBSTITUTE(Tableau4849[[#This Row],[PRICE]],",","."),"")</f>
        <v>1.06565</v>
      </c>
      <c r="AL92" s="35" t="str">
        <f>IF(Tableau4849[[#This Row],[INDEX]]&lt;3,"",Tableau4849[[#This Row],[IDENTITE]])</f>
        <v>1 RBRB B 1.20233 M1M1</v>
      </c>
      <c r="AM92" s="35" t="str">
        <f>IF(Tableau4849[[#This Row],[INDEX]]&lt;3,"",Tableau4849[[#This Row],[DEVISE]])</f>
        <v>EURUSD</v>
      </c>
      <c r="AN92" s="35">
        <f>IFERROR(IF(Tableau4849[[#This Row],[INDEX]]&lt;3,"",Tableau4849[[#This Row],[ATTEINT]]),100000)</f>
        <v>100000</v>
      </c>
      <c r="AO92" s="35">
        <f>IF(Tableau4849[[#This Row],[INDEX]]&lt;3,"",Tableau4849[[#This Row],[COMPTE]])</f>
        <v>925832</v>
      </c>
      <c r="AP92" s="35" t="str">
        <f>IF(Tableau4849[[#This Row],[INDEX]]&lt;3,"","NON")</f>
        <v>NON</v>
      </c>
      <c r="AQ92" s="35" t="str">
        <f>IF(Tableau4849[[#This Row],[INDEX]]&lt;3,"",IF(Tableau4849[[#This Row],[0,5]]&lt;0,"NEGATIF",""))</f>
        <v>NEGATIF</v>
      </c>
    </row>
    <row r="93" spans="1:43" x14ac:dyDescent="0.25">
      <c r="A93" s="24">
        <v>87</v>
      </c>
      <c r="B93" s="32">
        <v>44923.035810185182</v>
      </c>
      <c r="C93" s="26">
        <v>925832</v>
      </c>
      <c r="D93" s="24" t="s">
        <v>0</v>
      </c>
      <c r="E93" s="24" t="s">
        <v>47</v>
      </c>
      <c r="F93" s="24">
        <v>1.0655600000000001</v>
      </c>
      <c r="G93" s="26">
        <v>292000</v>
      </c>
      <c r="H93" s="27" t="s">
        <v>254</v>
      </c>
      <c r="I93" s="28" t="str">
        <f>IF(IFERROR(_xlfn.XLOOKUP(Tableau4849[[#This Row],[SL]],'[1]Tickets (2)'!J89:J883,'[1]Tickets (2)'!I92:I886),"")=0,"",IFERROR(_xlfn.XLOOKUP(Tableau4849[[#This Row],[SL]],'[1]Tickets (2)'!J89:J883,'[1]Tickets (2)'!I92:I886),""))</f>
        <v/>
      </c>
      <c r="K9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93" s="33">
        <v>44923.630891203706</v>
      </c>
      <c r="N93" s="3" t="str">
        <f>IF(Tableau4849[[#This Row],[T CLOSE]]&gt;[1]CONFIGURATION!$K$4,Tableau4849[[#This Row],[IDENTITE]],"")</f>
        <v/>
      </c>
      <c r="O93" s="26">
        <f>IFERROR(Tableau4849[[#This Row],[SL]]/(Tableau4849[[#This Row],[VOLUME]]/$I$5),0)</f>
        <v>0</v>
      </c>
      <c r="P93" s="26" t="str">
        <f>Tableau4849[[#This Row],[COMMAND]]</f>
        <v>BUY</v>
      </c>
      <c r="Q9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1.20059 M1M1</v>
      </c>
      <c r="R93" s="29">
        <v>-416</v>
      </c>
      <c r="S93" s="26" t="str">
        <f>IF(Tableau4849[[#This Row],[ETAT]]="LOSE",IF(IFERROR(ABS(SUBSTITUTE(Tableau4849[[#This Row],[PRICE]],".",",")-'[1]Deal ticket'!$B$16)*1000,"")&lt;=$S$5,"GO","WAIT"),"")</f>
        <v/>
      </c>
      <c r="T9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3" s="34" t="str">
        <f>IF(Tableau4849[[#This Row],[ETAT]]="LOSE",IF(IFERROR(ABS(SUBSTITUTE(Tableau4849[[#This Row],[PRICE]],".",",")-'[1]Deal ticket'!$B$16)*1000,"")&lt;=$U$5,"GO","WAIT"),"")</f>
        <v/>
      </c>
      <c r="V93" s="26">
        <f>IF(Tableau4849[[#This Row],[INDEX]]&lt;3,"",SUMIFS(Tableau4849[SL],Tableau4849[Colonne5],Tableau4849[[#This Row],[Colonne5]])+$S$4)</f>
        <v>1</v>
      </c>
      <c r="W93" s="34" t="str">
        <f>IF(Tableau4849[[#This Row],[ETAT]]="LOSE",IF(IFERROR(ABS(SUBSTITUTE(Tableau4849[[#This Row],[PRICE]],".",",")-'[1]Deal ticket'!$B$16)*1000,"")&lt;=$W$5,"GO","WAIT"),"")</f>
        <v/>
      </c>
      <c r="X9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93" s="26">
        <f>IF(AND(Tableau4849[[#This Row],[3,8]]=1),Tableau4849[[#This Row],[INDEX]],"")</f>
        <v>87</v>
      </c>
      <c r="AC93" s="26" t="str">
        <f ca="1">IF(IFERROR(_xlfn.XLOOKUP(Tableau4849[[#This Row],[IDENTITE]],[1]!Tableau47[GLOBUY],[1]!Tableau47[GLOBUY]),"")="","",1)</f>
        <v/>
      </c>
      <c r="AD93" s="26" t="str">
        <f>IF(IFERROR(_xlfn.XLOOKUP(Tableau4849[[#This Row],[IDENTITE]],[1]!Tableau47[GLOSELL],[1]!Tableau47[GLOSELL]),"")="","",1)</f>
        <v/>
      </c>
      <c r="AE93" s="26"/>
      <c r="AF93" s="26">
        <f>IF(Tableau4849[[#This Row],[INDEX]]&lt;3,"",IF(Tableau4849[[#This Row],[COMMAND]]="","",IF('[1]Bar history'!$AA$33=1,1,"")))</f>
        <v>1</v>
      </c>
      <c r="AG93" s="26"/>
      <c r="AH93" s="26" t="str">
        <f>IF(IFERROR(_xlfn.XLOOKUP(Tableau4849[[#This Row],[IDENTITE]],[1]!Tableau47[COMMENTAIRE],[1]!Tableau47[CLOTURE]),"")=[1]PARAMETRE!$BK$31,Tableau4849[[#This Row],[INDEX]],"")</f>
        <v/>
      </c>
      <c r="AI93" s="26"/>
      <c r="AJ93" s="35" t="str">
        <f>IF(AND(ISNUMBER(SEARCH("BUY",Tableau4849[[#This Row],[COMMAND]]))),"BUYSTOP",IF(AND(ISNUMBER(SEARCH("SELL",Tableau4849[[#This Row],[COMMAND]]))),"SELLSTOP",""))</f>
        <v>BUYSTOP</v>
      </c>
      <c r="AK93" s="35" t="str">
        <f>IFERROR(SUBSTITUTE(Tableau4849[[#This Row],[PRICE]],",","."),"")</f>
        <v>1.06556</v>
      </c>
      <c r="AL93" s="35" t="str">
        <f>IF(Tableau4849[[#This Row],[INDEX]]&lt;3,"",Tableau4849[[#This Row],[IDENTITE]])</f>
        <v>1 RBRB B 1.20059 M1M1</v>
      </c>
      <c r="AM93" s="35" t="str">
        <f>IF(Tableau4849[[#This Row],[INDEX]]&lt;3,"",Tableau4849[[#This Row],[DEVISE]])</f>
        <v>EURUSD</v>
      </c>
      <c r="AN93" s="35">
        <f>IFERROR(IF(Tableau4849[[#This Row],[INDEX]]&lt;3,"",Tableau4849[[#This Row],[ATTEINT]]),100000)</f>
        <v>100000</v>
      </c>
      <c r="AO93" s="35">
        <f>IF(Tableau4849[[#This Row],[INDEX]]&lt;3,"",Tableau4849[[#This Row],[COMPTE]])</f>
        <v>925832</v>
      </c>
      <c r="AP93" s="35" t="str">
        <f>IF(Tableau4849[[#This Row],[INDEX]]&lt;3,"","NON")</f>
        <v>NON</v>
      </c>
      <c r="AQ93" s="35" t="str">
        <f>IF(Tableau4849[[#This Row],[INDEX]]&lt;3,"",IF(Tableau4849[[#This Row],[0,5]]&lt;0,"NEGATIF",""))</f>
        <v>NEGATIF</v>
      </c>
    </row>
    <row r="94" spans="1:43" x14ac:dyDescent="0.25">
      <c r="A94" s="24">
        <v>88</v>
      </c>
      <c r="B94" s="32">
        <v>44923.035590277781</v>
      </c>
      <c r="C94" s="26">
        <v>925832</v>
      </c>
      <c r="D94" s="24" t="s">
        <v>0</v>
      </c>
      <c r="E94" s="24" t="s">
        <v>47</v>
      </c>
      <c r="F94" s="24">
        <v>1.0655399999999999</v>
      </c>
      <c r="G94" s="26">
        <v>43000</v>
      </c>
      <c r="H94" s="27" t="s">
        <v>256</v>
      </c>
      <c r="I94" s="28" t="str">
        <f>IF(IFERROR(_xlfn.XLOOKUP(Tableau4849[[#This Row],[SL]],'[1]Tickets (2)'!J90:J884,'[1]Tickets (2)'!I93:I887),"")=0,"",IFERROR(_xlfn.XLOOKUP(Tableau4849[[#This Row],[SL]],'[1]Tickets (2)'!J90:J884,'[1]Tickets (2)'!I93:I887),""))</f>
        <v/>
      </c>
      <c r="K9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>WINE</v>
      </c>
      <c r="L94" s="33">
        <v>44923.630891203706</v>
      </c>
      <c r="N94" s="3" t="str">
        <f>IF(Tableau4849[[#This Row],[T CLOSE]]&gt;[1]CONFIGURATION!$K$4,Tableau4849[[#This Row],[IDENTITE]],"")</f>
        <v/>
      </c>
      <c r="O94" s="26">
        <f>IFERROR(Tableau4849[[#This Row],[SL]]/(Tableau4849[[#This Row],[VOLUME]]/$I$5),0)</f>
        <v>0</v>
      </c>
      <c r="P94" s="26" t="str">
        <f>Tableau4849[[#This Row],[COMMAND]]</f>
        <v>BUY</v>
      </c>
      <c r="Q9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1.0637 M1M1</v>
      </c>
      <c r="R94" s="29">
        <v>12</v>
      </c>
      <c r="S94" s="26" t="str">
        <f>IF(Tableau4849[[#This Row],[ETAT]]="LOSE",IF(IFERROR(ABS(SUBSTITUTE(Tableau4849[[#This Row],[PRICE]],".",",")-'[1]Deal ticket'!$B$16)*1000,"")&lt;=$S$5,"GO","WAIT"),"")</f>
        <v/>
      </c>
      <c r="T9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4" s="34" t="str">
        <f>IF(Tableau4849[[#This Row],[ETAT]]="LOSE",IF(IFERROR(ABS(SUBSTITUTE(Tableau4849[[#This Row],[PRICE]],".",",")-'[1]Deal ticket'!$B$16)*1000,"")&lt;=$U$5,"GO","WAIT"),"")</f>
        <v/>
      </c>
      <c r="V94" s="26">
        <f>IF(Tableau4849[[#This Row],[INDEX]]&lt;3,"",SUMIFS(Tableau4849[SL],Tableau4849[Colonne5],Tableau4849[[#This Row],[Colonne5]])+$S$4)</f>
        <v>1</v>
      </c>
      <c r="W94" s="34" t="str">
        <f>IF(Tableau4849[[#This Row],[ETAT]]="LOSE",IF(IFERROR(ABS(SUBSTITUTE(Tableau4849[[#This Row],[PRICE]],".",",")-'[1]Deal ticket'!$B$16)*1000,"")&lt;=$W$5,"GO","WAIT"),"")</f>
        <v/>
      </c>
      <c r="X9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4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94" s="26" t="str">
        <f>IF(AND(Tableau4849[[#This Row],[3,8]]=1),Tableau4849[[#This Row],[INDEX]],"")</f>
        <v/>
      </c>
      <c r="AC94" s="26" t="str">
        <f ca="1">IF(IFERROR(_xlfn.XLOOKUP(Tableau4849[[#This Row],[IDENTITE]],[1]!Tableau47[GLOBUY],[1]!Tableau47[GLOBUY]),"")="","",1)</f>
        <v/>
      </c>
      <c r="AD94" s="26" t="str">
        <f>IF(IFERROR(_xlfn.XLOOKUP(Tableau4849[[#This Row],[IDENTITE]],[1]!Tableau47[GLOSELL],[1]!Tableau47[GLOSELL]),"")="","",1)</f>
        <v/>
      </c>
      <c r="AE94" s="26"/>
      <c r="AF94" s="26">
        <f>IF(Tableau4849[[#This Row],[INDEX]]&lt;3,"",IF(Tableau4849[[#This Row],[COMMAND]]="","",IF('[1]Bar history'!$AA$33=1,1,"")))</f>
        <v>1</v>
      </c>
      <c r="AG94" s="26"/>
      <c r="AH94" s="26" t="str">
        <f>IF(IFERROR(_xlfn.XLOOKUP(Tableau4849[[#This Row],[IDENTITE]],[1]!Tableau47[COMMENTAIRE],[1]!Tableau47[CLOTURE]),"")=[1]PARAMETRE!$BK$31,Tableau4849[[#This Row],[INDEX]],"")</f>
        <v/>
      </c>
      <c r="AI94" s="26"/>
      <c r="AJ94" s="35" t="str">
        <f>IF(AND(ISNUMBER(SEARCH("BUY",Tableau4849[[#This Row],[COMMAND]]))),"BUYSTOP",IF(AND(ISNUMBER(SEARCH("SELL",Tableau4849[[#This Row],[COMMAND]]))),"SELLSTOP",""))</f>
        <v>BUYSTOP</v>
      </c>
      <c r="AK94" s="35" t="str">
        <f>IFERROR(SUBSTITUTE(Tableau4849[[#This Row],[PRICE]],",","."),"")</f>
        <v>1.06554</v>
      </c>
      <c r="AL94" s="35" t="str">
        <f>IF(Tableau4849[[#This Row],[INDEX]]&lt;3,"",Tableau4849[[#This Row],[IDENTITE]])</f>
        <v>1 RBRB B 1.0637 M1M1</v>
      </c>
      <c r="AM94" s="35" t="str">
        <f>IF(Tableau4849[[#This Row],[INDEX]]&lt;3,"",Tableau4849[[#This Row],[DEVISE]])</f>
        <v>EURUSD</v>
      </c>
      <c r="AN94" s="35">
        <f>IFERROR(IF(Tableau4849[[#This Row],[INDEX]]&lt;3,"",Tableau4849[[#This Row],[ATTEINT]]),100000)</f>
        <v>100000</v>
      </c>
      <c r="AO94" s="35">
        <f>IF(Tableau4849[[#This Row],[INDEX]]&lt;3,"",Tableau4849[[#This Row],[COMPTE]])</f>
        <v>925832</v>
      </c>
      <c r="AP94" s="35" t="str">
        <f>IF(Tableau4849[[#This Row],[INDEX]]&lt;3,"","NON")</f>
        <v>NON</v>
      </c>
      <c r="AQ94" s="35" t="str">
        <f>IF(Tableau4849[[#This Row],[INDEX]]&lt;3,"",IF(Tableau4849[[#This Row],[0,5]]&lt;0,"NEGATIF",""))</f>
        <v/>
      </c>
    </row>
    <row r="95" spans="1:43" x14ac:dyDescent="0.25">
      <c r="A95" s="24">
        <v>3</v>
      </c>
      <c r="B95" s="32">
        <v>44923.46434027778</v>
      </c>
      <c r="C95" s="26">
        <v>925832</v>
      </c>
      <c r="D95" s="24" t="s">
        <v>0</v>
      </c>
      <c r="E95" s="24" t="s">
        <v>47</v>
      </c>
      <c r="F95" s="24">
        <v>1.0637700000000001</v>
      </c>
      <c r="G95" s="26">
        <v>2000</v>
      </c>
      <c r="H95" s="27" t="s">
        <v>125</v>
      </c>
      <c r="I95" s="28" t="str">
        <f>IF(IFERROR(_xlfn.XLOOKUP(Tableau4849[[#This Row],[SL]],'[1]Tickets (2)'!J92:J886,'[1]Tickets (2)'!I95:I889),"")=0,"",IFERROR(_xlfn.XLOOKUP(Tableau4849[[#This Row],[SL]],'[1]Tickets (2)'!J92:J886,'[1]Tickets (2)'!I95:I889),""))</f>
        <v/>
      </c>
      <c r="J95">
        <v>1</v>
      </c>
      <c r="K9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95" s="33">
        <v>44923.631425115738</v>
      </c>
      <c r="N95" s="3" t="str">
        <f>IF(Tableau4849[[#This Row],[T CLOSE]]&gt;[1]CONFIGURATION!$K$4,Tableau4849[[#This Row],[IDENTITE]],"")</f>
        <v/>
      </c>
      <c r="O95" s="26">
        <f>IFERROR(Tableau4849[[#This Row],[SL]]/(Tableau4849[[#This Row],[VOLUME]]/$I$5),0)</f>
        <v>0</v>
      </c>
      <c r="P95" s="26" t="str">
        <f>Tableau4849[[#This Row],[COMMAND]]</f>
        <v>BUY</v>
      </c>
      <c r="Q9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1.06247 M1M1</v>
      </c>
      <c r="R95" s="29">
        <v>13</v>
      </c>
      <c r="S95" s="26" t="str">
        <f>IF(Tableau4849[[#This Row],[ETAT]]="LOSE",IF(IFERROR(ABS(SUBSTITUTE(Tableau4849[[#This Row],[PRICE]],".",",")-'[1]Deal ticket'!$B$16)*1000,"")&lt;=$S$5,"GO","WAIT"),"")</f>
        <v/>
      </c>
      <c r="T9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5" s="34" t="str">
        <f>IF(Tableau4849[[#This Row],[ETAT]]="LOSE",IF(IFERROR(ABS(SUBSTITUTE(Tableau4849[[#This Row],[PRICE]],".",",")-'[1]Deal ticket'!$B$16)*1000,"")&lt;=$U$5,"GO","WAIT"),"")</f>
        <v/>
      </c>
      <c r="V95" s="26">
        <f>IF(Tableau4849[[#This Row],[INDEX]]&lt;3,"",SUMIFS(Tableau4849[SL],Tableau4849[Colonne5],Tableau4849[[#This Row],[Colonne5]])+$S$4)</f>
        <v>1</v>
      </c>
      <c r="W95" s="34" t="str">
        <f>IF(Tableau4849[[#This Row],[ETAT]]="LOSE",IF(IFERROR(ABS(SUBSTITUTE(Tableau4849[[#This Row],[PRICE]],".",",")-'[1]Deal ticket'!$B$16)*1000,"")&lt;=$W$5,"GO","WAIT"),"")</f>
        <v/>
      </c>
      <c r="X9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5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95" s="26" t="str">
        <f>IF(AND(Tableau4849[[#This Row],[3,8]]=1),Tableau4849[[#This Row],[INDEX]],"")</f>
        <v/>
      </c>
      <c r="AC95" s="26" t="str">
        <f ca="1">IF(IFERROR(_xlfn.XLOOKUP(Tableau4849[[#This Row],[IDENTITE]],[1]!Tableau47[GLOBUY],[1]!Tableau47[GLOBUY]),"")="","",1)</f>
        <v/>
      </c>
      <c r="AD95" s="26" t="str">
        <f>IF(IFERROR(_xlfn.XLOOKUP(Tableau4849[[#This Row],[IDENTITE]],[1]!Tableau47[GLOSELL],[1]!Tableau47[GLOSELL]),"")="","",1)</f>
        <v/>
      </c>
      <c r="AE95" s="26"/>
      <c r="AF95" s="26">
        <f>IF(Tableau4849[[#This Row],[INDEX]]&lt;3,"",IF(Tableau4849[[#This Row],[COMMAND]]="","",IF('[1]Bar history'!$AA$33=1,1,"")))</f>
        <v>1</v>
      </c>
      <c r="AG95" s="26"/>
      <c r="AH95" s="26" t="str">
        <f>IF(IFERROR(_xlfn.XLOOKUP(Tableau4849[[#This Row],[IDENTITE]],[1]!Tableau47[COMMENTAIRE],[1]!Tableau47[CLOTURE]),"")=[1]PARAMETRE!$BK$31,Tableau4849[[#This Row],[INDEX]],"")</f>
        <v/>
      </c>
      <c r="AI95" s="26"/>
      <c r="AJ95" s="35" t="str">
        <f>IF(AND(ISNUMBER(SEARCH("BUY",Tableau4849[[#This Row],[COMMAND]]))),"BUYSTOP",IF(AND(ISNUMBER(SEARCH("SELL",Tableau4849[[#This Row],[COMMAND]]))),"SELLSTOP",""))</f>
        <v>BUYSTOP</v>
      </c>
      <c r="AK95" s="35" t="str">
        <f>IFERROR(SUBSTITUTE(Tableau4849[[#This Row],[PRICE]],",","."),"")</f>
        <v>1.06377</v>
      </c>
      <c r="AL95" s="35" t="str">
        <f>IF(Tableau4849[[#This Row],[INDEX]]&lt;3,"",Tableau4849[[#This Row],[IDENTITE]])</f>
        <v>1 RBRB B 1.06247 M1M1</v>
      </c>
      <c r="AM95" s="35" t="str">
        <f>IF(Tableau4849[[#This Row],[INDEX]]&lt;3,"",Tableau4849[[#This Row],[DEVISE]])</f>
        <v>EURUSD</v>
      </c>
      <c r="AN95" s="35">
        <f>IFERROR(IF(Tableau4849[[#This Row],[INDEX]]&lt;3,"",Tableau4849[[#This Row],[ATTEINT]]),100000)</f>
        <v>100000</v>
      </c>
      <c r="AO95" s="35">
        <f>IF(Tableau4849[[#This Row],[INDEX]]&lt;3,"",Tableau4849[[#This Row],[COMPTE]])</f>
        <v>925832</v>
      </c>
      <c r="AP95" s="35" t="str">
        <f>IF(Tableau4849[[#This Row],[INDEX]]&lt;3,"","NON")</f>
        <v>NON</v>
      </c>
      <c r="AQ95" s="35" t="str">
        <f>IF(Tableau4849[[#This Row],[INDEX]]&lt;3,"",IF(Tableau4849[[#This Row],[0,5]]&lt;0,"NEGATIF",""))</f>
        <v/>
      </c>
    </row>
    <row r="96" spans="1:43" x14ac:dyDescent="0.25">
      <c r="A96" s="24">
        <v>4</v>
      </c>
      <c r="B96" s="32">
        <v>44923.463229166664</v>
      </c>
      <c r="C96" s="26">
        <v>925832</v>
      </c>
      <c r="D96" s="24" t="s">
        <v>0</v>
      </c>
      <c r="E96" s="24" t="s">
        <v>47</v>
      </c>
      <c r="F96" s="24">
        <v>1.06403</v>
      </c>
      <c r="G96" s="26">
        <v>1000</v>
      </c>
      <c r="H96" s="27" t="s">
        <v>3</v>
      </c>
      <c r="I96" s="28" t="str">
        <f>IF(IFERROR(_xlfn.XLOOKUP(Tableau4849[[#This Row],[SL]],'[1]Tickets (2)'!J93:J887,'[1]Tickets (2)'!I96:I890),"")=0,"",IFERROR(_xlfn.XLOOKUP(Tableau4849[[#This Row],[SL]],'[1]Tickets (2)'!J93:J887,'[1]Tickets (2)'!I96:I890),""))</f>
        <v/>
      </c>
      <c r="J96">
        <v>1</v>
      </c>
      <c r="K9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96" s="33">
        <v>44923.631425115738</v>
      </c>
      <c r="N96" s="3" t="str">
        <f>IF(Tableau4849[[#This Row],[T CLOSE]]&gt;[1]CONFIGURATION!$K$4,Tableau4849[[#This Row],[IDENTITE]],"")</f>
        <v/>
      </c>
      <c r="O96" s="26">
        <f>IFERROR(Tableau4849[[#This Row],[SL]]/(Tableau4849[[#This Row],[VOLUME]]/$I$5),0)</f>
        <v>0</v>
      </c>
      <c r="P96" s="26" t="str">
        <f>Tableau4849[[#This Row],[COMMAND]]</f>
        <v>BUY</v>
      </c>
      <c r="Q9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1.06251 M1M1</v>
      </c>
      <c r="R96" s="29">
        <v>14</v>
      </c>
      <c r="S96" s="26" t="str">
        <f>IF(Tableau4849[[#This Row],[ETAT]]="LOSE",IF(IFERROR(ABS(SUBSTITUTE(Tableau4849[[#This Row],[PRICE]],".",",")-'[1]Deal ticket'!$B$16)*1000,"")&lt;=$S$5,"GO","WAIT"),"")</f>
        <v/>
      </c>
      <c r="T9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6" s="34" t="str">
        <f>IF(Tableau4849[[#This Row],[ETAT]]="LOSE",IF(IFERROR(ABS(SUBSTITUTE(Tableau4849[[#This Row],[PRICE]],".",",")-'[1]Deal ticket'!$B$16)*1000,"")&lt;=$U$5,"GO","WAIT"),"")</f>
        <v/>
      </c>
      <c r="V96" s="26">
        <f>IF(Tableau4849[[#This Row],[INDEX]]&lt;3,"",SUMIFS(Tableau4849[SL],Tableau4849[Colonne5],Tableau4849[[#This Row],[Colonne5]])+$S$4)</f>
        <v>1</v>
      </c>
      <c r="W96" s="34" t="str">
        <f>IF(Tableau4849[[#This Row],[ETAT]]="LOSE",IF(IFERROR(ABS(SUBSTITUTE(Tableau4849[[#This Row],[PRICE]],".",",")-'[1]Deal ticket'!$B$16)*1000,"")&lt;=$W$5,"GO","WAIT"),"")</f>
        <v/>
      </c>
      <c r="X9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6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96" s="26" t="str">
        <f>IF(AND(Tableau4849[[#This Row],[3,8]]=1),Tableau4849[[#This Row],[INDEX]],"")</f>
        <v/>
      </c>
      <c r="AC96" s="26" t="str">
        <f ca="1">IF(IFERROR(_xlfn.XLOOKUP(Tableau4849[[#This Row],[IDENTITE]],[1]!Tableau47[GLOBUY],[1]!Tableau47[GLOBUY]),"")="","",1)</f>
        <v/>
      </c>
      <c r="AD96" s="26" t="str">
        <f>IF(IFERROR(_xlfn.XLOOKUP(Tableau4849[[#This Row],[IDENTITE]],[1]!Tableau47[GLOSELL],[1]!Tableau47[GLOSELL]),"")="","",1)</f>
        <v/>
      </c>
      <c r="AE96" s="26"/>
      <c r="AF96" s="26">
        <f>IF(Tableau4849[[#This Row],[INDEX]]&lt;3,"",IF(Tableau4849[[#This Row],[COMMAND]]="","",IF('[1]Bar history'!$AA$33=1,1,"")))</f>
        <v>1</v>
      </c>
      <c r="AG96" s="26"/>
      <c r="AH96" s="26" t="str">
        <f>IF(IFERROR(_xlfn.XLOOKUP(Tableau4849[[#This Row],[IDENTITE]],[1]!Tableau47[COMMENTAIRE],[1]!Tableau47[CLOTURE]),"")=[1]PARAMETRE!$BK$31,Tableau4849[[#This Row],[INDEX]],"")</f>
        <v/>
      </c>
      <c r="AI96" s="26"/>
      <c r="AJ96" s="35" t="str">
        <f>IF(AND(ISNUMBER(SEARCH("BUY",Tableau4849[[#This Row],[COMMAND]]))),"BUYSTOP",IF(AND(ISNUMBER(SEARCH("SELL",Tableau4849[[#This Row],[COMMAND]]))),"SELLSTOP",""))</f>
        <v>BUYSTOP</v>
      </c>
      <c r="AK96" s="35" t="str">
        <f>IFERROR(SUBSTITUTE(Tableau4849[[#This Row],[PRICE]],",","."),"")</f>
        <v>1.06403</v>
      </c>
      <c r="AL96" s="35" t="str">
        <f>IF(Tableau4849[[#This Row],[INDEX]]&lt;3,"",Tableau4849[[#This Row],[IDENTITE]])</f>
        <v>1 RBRB B 1.06251 M1M1</v>
      </c>
      <c r="AM96" s="35" t="str">
        <f>IF(Tableau4849[[#This Row],[INDEX]]&lt;3,"",Tableau4849[[#This Row],[DEVISE]])</f>
        <v>EURUSD</v>
      </c>
      <c r="AN96" s="35">
        <f>IFERROR(IF(Tableau4849[[#This Row],[INDEX]]&lt;3,"",Tableau4849[[#This Row],[ATTEINT]]),100000)</f>
        <v>100000</v>
      </c>
      <c r="AO96" s="35">
        <f>IF(Tableau4849[[#This Row],[INDEX]]&lt;3,"",Tableau4849[[#This Row],[COMPTE]])</f>
        <v>925832</v>
      </c>
      <c r="AP96" s="35" t="str">
        <f>IF(Tableau4849[[#This Row],[INDEX]]&lt;3,"","NON")</f>
        <v>NON</v>
      </c>
      <c r="AQ96" s="35" t="str">
        <f>IF(Tableau4849[[#This Row],[INDEX]]&lt;3,"",IF(Tableau4849[[#This Row],[0,5]]&lt;0,"NEGATIF",""))</f>
        <v/>
      </c>
    </row>
    <row r="97" spans="1:43" x14ac:dyDescent="0.25">
      <c r="A97" s="24">
        <v>5</v>
      </c>
      <c r="B97" s="32">
        <v>44923.461759259262</v>
      </c>
      <c r="C97" s="26">
        <v>925832</v>
      </c>
      <c r="D97" s="24" t="s">
        <v>0</v>
      </c>
      <c r="E97" s="24" t="s">
        <v>47</v>
      </c>
      <c r="F97" s="24">
        <v>1.0636099999999999</v>
      </c>
      <c r="G97" s="26">
        <v>1000</v>
      </c>
      <c r="H97" s="27" t="s">
        <v>128</v>
      </c>
      <c r="I97" s="28" t="str">
        <f>IF(IFERROR(_xlfn.XLOOKUP(Tableau4849[[#This Row],[SL]],'[1]Tickets (2)'!J94:J888,'[1]Tickets (2)'!I97:I891),"")=0,"",IFERROR(_xlfn.XLOOKUP(Tableau4849[[#This Row],[SL]],'[1]Tickets (2)'!J94:J888,'[1]Tickets (2)'!I97:I891),""))</f>
        <v/>
      </c>
      <c r="J97">
        <v>1</v>
      </c>
      <c r="K9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97" s="33">
        <v>44923.631425115738</v>
      </c>
      <c r="N97" s="3" t="str">
        <f>IF(Tableau4849[[#This Row],[T CLOSE]]&gt;[1]CONFIGURATION!$K$4,Tableau4849[[#This Row],[IDENTITE]],"")</f>
        <v/>
      </c>
      <c r="O97" s="26">
        <f>IFERROR(Tableau4849[[#This Row],[SL]]/(Tableau4849[[#This Row],[VOLUME]]/$I$5),0)</f>
        <v>0</v>
      </c>
      <c r="P97" s="26" t="str">
        <f>Tableau4849[[#This Row],[COMMAND]]</f>
        <v>BUY</v>
      </c>
      <c r="Q9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1.06211 M1M1</v>
      </c>
      <c r="R97" s="29">
        <v>15</v>
      </c>
      <c r="S97" s="26" t="str">
        <f>IF(Tableau4849[[#This Row],[ETAT]]="LOSE",IF(IFERROR(ABS(SUBSTITUTE(Tableau4849[[#This Row],[PRICE]],".",",")-'[1]Deal ticket'!$B$16)*1000,"")&lt;=$S$5,"GO","WAIT"),"")</f>
        <v/>
      </c>
      <c r="T9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7" s="34" t="str">
        <f>IF(Tableau4849[[#This Row],[ETAT]]="LOSE",IF(IFERROR(ABS(SUBSTITUTE(Tableau4849[[#This Row],[PRICE]],".",",")-'[1]Deal ticket'!$B$16)*1000,"")&lt;=$U$5,"GO","WAIT"),"")</f>
        <v/>
      </c>
      <c r="V97" s="26">
        <f>IF(Tableau4849[[#This Row],[INDEX]]&lt;3,"",SUMIFS(Tableau4849[SL],Tableau4849[Colonne5],Tableau4849[[#This Row],[Colonne5]])+$S$4)</f>
        <v>1</v>
      </c>
      <c r="W97" s="34" t="str">
        <f>IF(Tableau4849[[#This Row],[ETAT]]="LOSE",IF(IFERROR(ABS(SUBSTITUTE(Tableau4849[[#This Row],[PRICE]],".",",")-'[1]Deal ticket'!$B$16)*1000,"")&lt;=$W$5,"GO","WAIT"),"")</f>
        <v/>
      </c>
      <c r="X9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7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97" s="26" t="str">
        <f>IF(AND(Tableau4849[[#This Row],[3,8]]=1),Tableau4849[[#This Row],[INDEX]],"")</f>
        <v/>
      </c>
      <c r="AC97" s="26" t="str">
        <f ca="1">IF(IFERROR(_xlfn.XLOOKUP(Tableau4849[[#This Row],[IDENTITE]],[1]!Tableau47[GLOBUY],[1]!Tableau47[GLOBUY]),"")="","",1)</f>
        <v/>
      </c>
      <c r="AD97" s="26" t="str">
        <f>IF(IFERROR(_xlfn.XLOOKUP(Tableau4849[[#This Row],[IDENTITE]],[1]!Tableau47[GLOSELL],[1]!Tableau47[GLOSELL]),"")="","",1)</f>
        <v/>
      </c>
      <c r="AE97" s="26"/>
      <c r="AF97" s="26">
        <f>IF(Tableau4849[[#This Row],[INDEX]]&lt;3,"",IF(Tableau4849[[#This Row],[COMMAND]]="","",IF('[1]Bar history'!$AA$33=1,1,"")))</f>
        <v>1</v>
      </c>
      <c r="AG97" s="26"/>
      <c r="AH97" s="26" t="str">
        <f>IF(IFERROR(_xlfn.XLOOKUP(Tableau4849[[#This Row],[IDENTITE]],[1]!Tableau47[COMMENTAIRE],[1]!Tableau47[CLOTURE]),"")=[1]PARAMETRE!$BK$31,Tableau4849[[#This Row],[INDEX]],"")</f>
        <v/>
      </c>
      <c r="AI97" s="26"/>
      <c r="AJ97" s="35" t="str">
        <f>IF(AND(ISNUMBER(SEARCH("BUY",Tableau4849[[#This Row],[COMMAND]]))),"BUYSTOP",IF(AND(ISNUMBER(SEARCH("SELL",Tableau4849[[#This Row],[COMMAND]]))),"SELLSTOP",""))</f>
        <v>BUYSTOP</v>
      </c>
      <c r="AK97" s="35" t="str">
        <f>IFERROR(SUBSTITUTE(Tableau4849[[#This Row],[PRICE]],",","."),"")</f>
        <v>1.06361</v>
      </c>
      <c r="AL97" s="35" t="str">
        <f>IF(Tableau4849[[#This Row],[INDEX]]&lt;3,"",Tableau4849[[#This Row],[IDENTITE]])</f>
        <v>1 RBRB B 1.06211 M1M1</v>
      </c>
      <c r="AM97" s="35" t="str">
        <f>IF(Tableau4849[[#This Row],[INDEX]]&lt;3,"",Tableau4849[[#This Row],[DEVISE]])</f>
        <v>EURUSD</v>
      </c>
      <c r="AN97" s="35">
        <f>IFERROR(IF(Tableau4849[[#This Row],[INDEX]]&lt;3,"",Tableau4849[[#This Row],[ATTEINT]]),100000)</f>
        <v>100000</v>
      </c>
      <c r="AO97" s="35">
        <f>IF(Tableau4849[[#This Row],[INDEX]]&lt;3,"",Tableau4849[[#This Row],[COMPTE]])</f>
        <v>925832</v>
      </c>
      <c r="AP97" s="35" t="str">
        <f>IF(Tableau4849[[#This Row],[INDEX]]&lt;3,"","NON")</f>
        <v>NON</v>
      </c>
      <c r="AQ97" s="35" t="str">
        <f>IF(Tableau4849[[#This Row],[INDEX]]&lt;3,"",IF(Tableau4849[[#This Row],[0,5]]&lt;0,"NEGATIF",""))</f>
        <v/>
      </c>
    </row>
    <row r="98" spans="1:43" x14ac:dyDescent="0.25">
      <c r="A98" s="24">
        <v>6</v>
      </c>
      <c r="B98" s="32">
        <v>44923.461018518516</v>
      </c>
      <c r="C98" s="26">
        <v>925832</v>
      </c>
      <c r="D98" s="24" t="s">
        <v>0</v>
      </c>
      <c r="E98" s="24" t="s">
        <v>47</v>
      </c>
      <c r="F98" s="24">
        <v>1.0636300000000001</v>
      </c>
      <c r="G98" s="26">
        <v>1000</v>
      </c>
      <c r="H98" s="27" t="s">
        <v>129</v>
      </c>
      <c r="I98" s="28" t="str">
        <f>IF(IFERROR(_xlfn.XLOOKUP(Tableau4849[[#This Row],[SL]],'[1]Tickets (2)'!J95:J889,'[1]Tickets (2)'!I98:I892),"")=0,"",IFERROR(_xlfn.XLOOKUP(Tableau4849[[#This Row],[SL]],'[1]Tickets (2)'!J95:J889,'[1]Tickets (2)'!I98:I892),""))</f>
        <v/>
      </c>
      <c r="J98">
        <v>1</v>
      </c>
      <c r="K9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98" s="33">
        <v>44923.631425115738</v>
      </c>
      <c r="N98" s="3" t="str">
        <f>IF(Tableau4849[[#This Row],[T CLOSE]]&gt;[1]CONFIGURATION!$K$4,Tableau4849[[#This Row],[IDENTITE]],"")</f>
        <v/>
      </c>
      <c r="O98" s="26">
        <f>IFERROR(Tableau4849[[#This Row],[SL]]/(Tableau4849[[#This Row],[VOLUME]]/$I$5),0)</f>
        <v>0</v>
      </c>
      <c r="P98" s="26" t="str">
        <f>Tableau4849[[#This Row],[COMMAND]]</f>
        <v>BUY</v>
      </c>
      <c r="Q9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1.06212 M1M1</v>
      </c>
      <c r="R98" s="29">
        <v>16</v>
      </c>
      <c r="S98" s="26" t="str">
        <f>IF(Tableau4849[[#This Row],[ETAT]]="LOSE",IF(IFERROR(ABS(SUBSTITUTE(Tableau4849[[#This Row],[PRICE]],".",",")-'[1]Deal ticket'!$B$16)*1000,"")&lt;=$S$5,"GO","WAIT"),"")</f>
        <v/>
      </c>
      <c r="T9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8" s="34" t="str">
        <f>IF(Tableau4849[[#This Row],[ETAT]]="LOSE",IF(IFERROR(ABS(SUBSTITUTE(Tableau4849[[#This Row],[PRICE]],".",",")-'[1]Deal ticket'!$B$16)*1000,"")&lt;=$U$5,"GO","WAIT"),"")</f>
        <v/>
      </c>
      <c r="V98" s="26">
        <f>IF(Tableau4849[[#This Row],[INDEX]]&lt;3,"",SUMIFS(Tableau4849[SL],Tableau4849[Colonne5],Tableau4849[[#This Row],[Colonne5]])+$S$4)</f>
        <v>1</v>
      </c>
      <c r="W98" s="34" t="str">
        <f>IF(Tableau4849[[#This Row],[ETAT]]="LOSE",IF(IFERROR(ABS(SUBSTITUTE(Tableau4849[[#This Row],[PRICE]],".",",")-'[1]Deal ticket'!$B$16)*1000,"")&lt;=$W$5,"GO","WAIT"),"")</f>
        <v/>
      </c>
      <c r="X9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8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98" s="26" t="str">
        <f>IF(AND(Tableau4849[[#This Row],[3,8]]=1),Tableau4849[[#This Row],[INDEX]],"")</f>
        <v/>
      </c>
      <c r="AC98" s="26" t="str">
        <f ca="1">IF(IFERROR(_xlfn.XLOOKUP(Tableau4849[[#This Row],[IDENTITE]],[1]!Tableau47[GLOBUY],[1]!Tableau47[GLOBUY]),"")="","",1)</f>
        <v/>
      </c>
      <c r="AD98" s="26" t="str">
        <f>IF(IFERROR(_xlfn.XLOOKUP(Tableau4849[[#This Row],[IDENTITE]],[1]!Tableau47[GLOSELL],[1]!Tableau47[GLOSELL]),"")="","",1)</f>
        <v/>
      </c>
      <c r="AE98" s="26"/>
      <c r="AF98" s="26">
        <f>IF(Tableau4849[[#This Row],[INDEX]]&lt;3,"",IF(Tableau4849[[#This Row],[COMMAND]]="","",IF('[1]Bar history'!$AA$33=1,1,"")))</f>
        <v>1</v>
      </c>
      <c r="AG98" s="26"/>
      <c r="AH98" s="26" t="str">
        <f>IF(IFERROR(_xlfn.XLOOKUP(Tableau4849[[#This Row],[IDENTITE]],[1]!Tableau47[COMMENTAIRE],[1]!Tableau47[CLOTURE]),"")=[1]PARAMETRE!$BK$31,Tableau4849[[#This Row],[INDEX]],"")</f>
        <v/>
      </c>
      <c r="AI98" s="26"/>
      <c r="AJ98" s="35" t="str">
        <f>IF(AND(ISNUMBER(SEARCH("BUY",Tableau4849[[#This Row],[COMMAND]]))),"BUYSTOP",IF(AND(ISNUMBER(SEARCH("SELL",Tableau4849[[#This Row],[COMMAND]]))),"SELLSTOP",""))</f>
        <v>BUYSTOP</v>
      </c>
      <c r="AK98" s="35" t="str">
        <f>IFERROR(SUBSTITUTE(Tableau4849[[#This Row],[PRICE]],",","."),"")</f>
        <v>1.06363</v>
      </c>
      <c r="AL98" s="35" t="str">
        <f>IF(Tableau4849[[#This Row],[INDEX]]&lt;3,"",Tableau4849[[#This Row],[IDENTITE]])</f>
        <v>1 RBRB B 1.06212 M1M1</v>
      </c>
      <c r="AM98" s="35" t="str">
        <f>IF(Tableau4849[[#This Row],[INDEX]]&lt;3,"",Tableau4849[[#This Row],[DEVISE]])</f>
        <v>EURUSD</v>
      </c>
      <c r="AN98" s="35">
        <f>IFERROR(IF(Tableau4849[[#This Row],[INDEX]]&lt;3,"",Tableau4849[[#This Row],[ATTEINT]]),100000)</f>
        <v>100000</v>
      </c>
      <c r="AO98" s="35">
        <f>IF(Tableau4849[[#This Row],[INDEX]]&lt;3,"",Tableau4849[[#This Row],[COMPTE]])</f>
        <v>925832</v>
      </c>
      <c r="AP98" s="35" t="str">
        <f>IF(Tableau4849[[#This Row],[INDEX]]&lt;3,"","NON")</f>
        <v>NON</v>
      </c>
      <c r="AQ98" s="35" t="str">
        <f>IF(Tableau4849[[#This Row],[INDEX]]&lt;3,"",IF(Tableau4849[[#This Row],[0,5]]&lt;0,"NEGATIF",""))</f>
        <v/>
      </c>
    </row>
    <row r="99" spans="1:43" x14ac:dyDescent="0.25">
      <c r="A99" s="24">
        <v>7</v>
      </c>
      <c r="B99" s="32">
        <v>44923.46025462963</v>
      </c>
      <c r="C99" s="26">
        <v>925832</v>
      </c>
      <c r="D99" s="24" t="s">
        <v>0</v>
      </c>
      <c r="E99" s="24" t="s">
        <v>47</v>
      </c>
      <c r="F99" s="24">
        <v>1.06348</v>
      </c>
      <c r="G99" s="26">
        <v>1000</v>
      </c>
      <c r="H99" s="27" t="s">
        <v>131</v>
      </c>
      <c r="I99" s="28" t="str">
        <f>IF(IFERROR(_xlfn.XLOOKUP(Tableau4849[[#This Row],[SL]],'[1]Tickets (2)'!J96:J890,'[1]Tickets (2)'!I99:I893),"")=0,"",IFERROR(_xlfn.XLOOKUP(Tableau4849[[#This Row],[SL]],'[1]Tickets (2)'!J96:J890,'[1]Tickets (2)'!I99:I893),""))</f>
        <v/>
      </c>
      <c r="J99">
        <v>1</v>
      </c>
      <c r="K9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99" s="33">
        <v>44923.631425115738</v>
      </c>
      <c r="N99" s="3" t="str">
        <f>IF(Tableau4849[[#This Row],[T CLOSE]]&gt;[1]CONFIGURATION!$K$4,Tableau4849[[#This Row],[IDENTITE]],"")</f>
        <v/>
      </c>
      <c r="O99" s="26">
        <f>IFERROR(Tableau4849[[#This Row],[SL]]/(Tableau4849[[#This Row],[VOLUME]]/$I$5),0)</f>
        <v>0</v>
      </c>
      <c r="P99" s="26" t="str">
        <f>Tableau4849[[#This Row],[COMMAND]]</f>
        <v>BUY</v>
      </c>
      <c r="Q9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1.06201 M1M1</v>
      </c>
      <c r="R99" s="29">
        <v>17</v>
      </c>
      <c r="S99" s="26" t="str">
        <f>IF(Tableau4849[[#This Row],[ETAT]]="LOSE",IF(IFERROR(ABS(SUBSTITUTE(Tableau4849[[#This Row],[PRICE]],".",",")-'[1]Deal ticket'!$B$16)*1000,"")&lt;=$S$5,"GO","WAIT"),"")</f>
        <v/>
      </c>
      <c r="T9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99" s="34" t="str">
        <f>IF(Tableau4849[[#This Row],[ETAT]]="LOSE",IF(IFERROR(ABS(SUBSTITUTE(Tableau4849[[#This Row],[PRICE]],".",",")-'[1]Deal ticket'!$B$16)*1000,"")&lt;=$U$5,"GO","WAIT"),"")</f>
        <v/>
      </c>
      <c r="V99" s="26">
        <f>IF(Tableau4849[[#This Row],[INDEX]]&lt;3,"",SUMIFS(Tableau4849[SL],Tableau4849[Colonne5],Tableau4849[[#This Row],[Colonne5]])+$S$4)</f>
        <v>1</v>
      </c>
      <c r="W99" s="34" t="str">
        <f>IF(Tableau4849[[#This Row],[ETAT]]="LOSE",IF(IFERROR(ABS(SUBSTITUTE(Tableau4849[[#This Row],[PRICE]],".",",")-'[1]Deal ticket'!$B$16)*1000,"")&lt;=$W$5,"GO","WAIT"),"")</f>
        <v/>
      </c>
      <c r="X9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9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9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99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99" s="26" t="str">
        <f>IF(AND(Tableau4849[[#This Row],[3,8]]=1),Tableau4849[[#This Row],[INDEX]],"")</f>
        <v/>
      </c>
      <c r="AC99" s="26" t="str">
        <f ca="1">IF(IFERROR(_xlfn.XLOOKUP(Tableau4849[[#This Row],[IDENTITE]],[1]!Tableau47[GLOBUY],[1]!Tableau47[GLOBUY]),"")="","",1)</f>
        <v/>
      </c>
      <c r="AD99" s="26" t="str">
        <f>IF(IFERROR(_xlfn.XLOOKUP(Tableau4849[[#This Row],[IDENTITE]],[1]!Tableau47[GLOSELL],[1]!Tableau47[GLOSELL]),"")="","",1)</f>
        <v/>
      </c>
      <c r="AE99" s="26"/>
      <c r="AF99" s="26">
        <f>IF(Tableau4849[[#This Row],[INDEX]]&lt;3,"",IF(Tableau4849[[#This Row],[COMMAND]]="","",IF('[1]Bar history'!$AA$33=1,1,"")))</f>
        <v>1</v>
      </c>
      <c r="AG99" s="26"/>
      <c r="AH99" s="26" t="str">
        <f>IF(IFERROR(_xlfn.XLOOKUP(Tableau4849[[#This Row],[IDENTITE]],[1]!Tableau47[COMMENTAIRE],[1]!Tableau47[CLOTURE]),"")=[1]PARAMETRE!$BK$31,Tableau4849[[#This Row],[INDEX]],"")</f>
        <v/>
      </c>
      <c r="AI99" s="26"/>
      <c r="AJ99" s="35" t="str">
        <f>IF(AND(ISNUMBER(SEARCH("BUY",Tableau4849[[#This Row],[COMMAND]]))),"BUYSTOP",IF(AND(ISNUMBER(SEARCH("SELL",Tableau4849[[#This Row],[COMMAND]]))),"SELLSTOP",""))</f>
        <v>BUYSTOP</v>
      </c>
      <c r="AK99" s="35" t="str">
        <f>IFERROR(SUBSTITUTE(Tableau4849[[#This Row],[PRICE]],",","."),"")</f>
        <v>1.06348</v>
      </c>
      <c r="AL99" s="35" t="str">
        <f>IF(Tableau4849[[#This Row],[INDEX]]&lt;3,"",Tableau4849[[#This Row],[IDENTITE]])</f>
        <v>1 RBRB B 1.06201 M1M1</v>
      </c>
      <c r="AM99" s="35" t="str">
        <f>IF(Tableau4849[[#This Row],[INDEX]]&lt;3,"",Tableau4849[[#This Row],[DEVISE]])</f>
        <v>EURUSD</v>
      </c>
      <c r="AN99" s="35">
        <f>IFERROR(IF(Tableau4849[[#This Row],[INDEX]]&lt;3,"",Tableau4849[[#This Row],[ATTEINT]]),100000)</f>
        <v>100000</v>
      </c>
      <c r="AO99" s="35">
        <f>IF(Tableau4849[[#This Row],[INDEX]]&lt;3,"",Tableau4849[[#This Row],[COMPTE]])</f>
        <v>925832</v>
      </c>
      <c r="AP99" s="35" t="str">
        <f>IF(Tableau4849[[#This Row],[INDEX]]&lt;3,"","NON")</f>
        <v>NON</v>
      </c>
      <c r="AQ99" s="35" t="str">
        <f>IF(Tableau4849[[#This Row],[INDEX]]&lt;3,"",IF(Tableau4849[[#This Row],[0,5]]&lt;0,"NEGATIF",""))</f>
        <v/>
      </c>
    </row>
    <row r="100" spans="1:43" x14ac:dyDescent="0.25">
      <c r="A100" s="24">
        <v>8</v>
      </c>
      <c r="B100" s="32">
        <v>44923.458738425928</v>
      </c>
      <c r="C100" s="26">
        <v>925832</v>
      </c>
      <c r="D100" s="24" t="s">
        <v>0</v>
      </c>
      <c r="E100" s="24" t="s">
        <v>46</v>
      </c>
      <c r="F100" s="24">
        <v>1.06335</v>
      </c>
      <c r="G100" s="26">
        <v>2000</v>
      </c>
      <c r="H100" s="27" t="s">
        <v>134</v>
      </c>
      <c r="I100" s="28" t="str">
        <f>IF(IFERROR(_xlfn.XLOOKUP(Tableau4849[[#This Row],[SL]],'[1]Tickets (2)'!J97:J891,'[1]Tickets (2)'!I100:I894),"")=0,"",IFERROR(_xlfn.XLOOKUP(Tableau4849[[#This Row],[SL]],'[1]Tickets (2)'!J97:J891,'[1]Tickets (2)'!I100:I894),""))</f>
        <v/>
      </c>
      <c r="J100">
        <v>1</v>
      </c>
      <c r="K10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0" s="33">
        <v>44923.631425115738</v>
      </c>
      <c r="N100" s="3" t="str">
        <f>IF(Tableau4849[[#This Row],[T CLOSE]]&gt;[1]CONFIGURATION!$K$4,Tableau4849[[#This Row],[IDENTITE]],"")</f>
        <v/>
      </c>
      <c r="O100" s="26">
        <f>IFERROR(Tableau4849[[#This Row],[SL]]/(Tableau4849[[#This Row],[VOLUME]]/$I$5),0)</f>
        <v>0</v>
      </c>
      <c r="P100" s="26" t="str">
        <f>Tableau4849[[#This Row],[COMMAND]]</f>
        <v>SELL</v>
      </c>
      <c r="Q10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1.06383 M1M1</v>
      </c>
      <c r="R100" s="29">
        <v>-256</v>
      </c>
      <c r="S100" s="26" t="str">
        <f>IF(Tableau4849[[#This Row],[ETAT]]="LOSE",IF(IFERROR(ABS(SUBSTITUTE(Tableau4849[[#This Row],[PRICE]],".",",")-'[1]Deal ticket'!$B$16)*1000,"")&lt;=$S$5,"GO","WAIT"),"")</f>
        <v/>
      </c>
      <c r="T10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0" s="34" t="str">
        <f>IF(Tableau4849[[#This Row],[ETAT]]="LOSE",IF(IFERROR(ABS(SUBSTITUTE(Tableau4849[[#This Row],[PRICE]],".",",")-'[1]Deal ticket'!$B$16)*1000,"")&lt;=$U$5,"GO","WAIT"),"")</f>
        <v/>
      </c>
      <c r="V100" s="26">
        <f>IF(Tableau4849[[#This Row],[INDEX]]&lt;3,"",SUMIFS(Tableau4849[SL],Tableau4849[Colonne5],Tableau4849[[#This Row],[Colonne5]])+$S$4)</f>
        <v>1</v>
      </c>
      <c r="W100" s="34" t="str">
        <f>IF(Tableau4849[[#This Row],[ETAT]]="LOSE",IF(IFERROR(ABS(SUBSTITUTE(Tableau4849[[#This Row],[PRICE]],".",",")-'[1]Deal ticket'!$B$16)*1000,"")&lt;=$W$5,"GO","WAIT"),"")</f>
        <v/>
      </c>
      <c r="X10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00" s="26">
        <f>IF(AND(Tableau4849[[#This Row],[3,8]]=1),Tableau4849[[#This Row],[INDEX]],"")</f>
        <v>8</v>
      </c>
      <c r="AC100" s="26" t="str">
        <f ca="1">IF(IFERROR(_xlfn.XLOOKUP(Tableau4849[[#This Row],[IDENTITE]],[1]!Tableau47[GLOBUY],[1]!Tableau47[GLOBUY]),"")="","",1)</f>
        <v/>
      </c>
      <c r="AD100" s="26" t="str">
        <f>IF(IFERROR(_xlfn.XLOOKUP(Tableau4849[[#This Row],[IDENTITE]],[1]!Tableau47[GLOSELL],[1]!Tableau47[GLOSELL]),"")="","",1)</f>
        <v/>
      </c>
      <c r="AE100" s="26"/>
      <c r="AF100" s="26">
        <f>IF(Tableau4849[[#This Row],[INDEX]]&lt;3,"",IF(Tableau4849[[#This Row],[COMMAND]]="","",IF('[1]Bar history'!$AA$33=1,1,"")))</f>
        <v>1</v>
      </c>
      <c r="AG100" s="26"/>
      <c r="AH100" s="26" t="str">
        <f>IF(IFERROR(_xlfn.XLOOKUP(Tableau4849[[#This Row],[IDENTITE]],[1]!Tableau47[COMMENTAIRE],[1]!Tableau47[CLOTURE]),"")=[1]PARAMETRE!$BK$31,Tableau4849[[#This Row],[INDEX]],"")</f>
        <v/>
      </c>
      <c r="AI100" s="26"/>
      <c r="AJ100" s="35" t="str">
        <f>IF(AND(ISNUMBER(SEARCH("BUY",Tableau4849[[#This Row],[COMMAND]]))),"BUYSTOP",IF(AND(ISNUMBER(SEARCH("SELL",Tableau4849[[#This Row],[COMMAND]]))),"SELLSTOP",""))</f>
        <v>SELLSTOP</v>
      </c>
      <c r="AK100" s="35" t="str">
        <f>IFERROR(SUBSTITUTE(Tableau4849[[#This Row],[PRICE]],",","."),"")</f>
        <v>1.06335</v>
      </c>
      <c r="AL100" s="35" t="str">
        <f>IF(Tableau4849[[#This Row],[INDEX]]&lt;3,"",Tableau4849[[#This Row],[IDENTITE]])</f>
        <v>1 RSRS S 1.06383 M1M1</v>
      </c>
      <c r="AM100" s="35" t="str">
        <f>IF(Tableau4849[[#This Row],[INDEX]]&lt;3,"",Tableau4849[[#This Row],[DEVISE]])</f>
        <v>EURUSD</v>
      </c>
      <c r="AN100" s="35">
        <f>IFERROR(IF(Tableau4849[[#This Row],[INDEX]]&lt;3,"",Tableau4849[[#This Row],[ATTEINT]]),100000)</f>
        <v>100000</v>
      </c>
      <c r="AO100" s="35">
        <f>IF(Tableau4849[[#This Row],[INDEX]]&lt;3,"",Tableau4849[[#This Row],[COMPTE]])</f>
        <v>925832</v>
      </c>
      <c r="AP100" s="35" t="str">
        <f>IF(Tableau4849[[#This Row],[INDEX]]&lt;3,"","NON")</f>
        <v>NON</v>
      </c>
      <c r="AQ100" s="35" t="str">
        <f>IF(Tableau4849[[#This Row],[INDEX]]&lt;3,"",IF(Tableau4849[[#This Row],[0,5]]&lt;0,"NEGATIF",""))</f>
        <v>NEGATIF</v>
      </c>
    </row>
    <row r="101" spans="1:43" x14ac:dyDescent="0.25">
      <c r="A101" s="24">
        <v>9</v>
      </c>
      <c r="B101" s="32">
        <v>44923.458344907405</v>
      </c>
      <c r="C101" s="26">
        <v>925832</v>
      </c>
      <c r="D101" s="24" t="s">
        <v>0</v>
      </c>
      <c r="E101" s="24" t="s">
        <v>46</v>
      </c>
      <c r="F101" s="24">
        <v>1.06315</v>
      </c>
      <c r="G101" s="26">
        <v>7000</v>
      </c>
      <c r="H101" s="27" t="s">
        <v>136</v>
      </c>
      <c r="I101" s="28" t="str">
        <f>IF(IFERROR(_xlfn.XLOOKUP(Tableau4849[[#This Row],[SL]],'[1]Tickets (2)'!J98:J892,'[1]Tickets (2)'!I101:I895),"")=0,"",IFERROR(_xlfn.XLOOKUP(Tableau4849[[#This Row],[SL]],'[1]Tickets (2)'!J98:J892,'[1]Tickets (2)'!I101:I895),""))</f>
        <v/>
      </c>
      <c r="J101">
        <v>1</v>
      </c>
      <c r="K10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1" s="33">
        <v>44923.631425115738</v>
      </c>
      <c r="N101" s="3" t="str">
        <f>IF(Tableau4849[[#This Row],[T CLOSE]]&gt;[1]CONFIGURATION!$K$4,Tableau4849[[#This Row],[IDENTITE]],"")</f>
        <v/>
      </c>
      <c r="O101" s="26">
        <f>IFERROR(Tableau4849[[#This Row],[SL]]/(Tableau4849[[#This Row],[VOLUME]]/$I$5),0)</f>
        <v>0</v>
      </c>
      <c r="P101" s="26" t="str">
        <f>Tableau4849[[#This Row],[COMMAND]]</f>
        <v>SELL</v>
      </c>
      <c r="Q10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1.06304 M1M1</v>
      </c>
      <c r="R101" s="29">
        <v>-266</v>
      </c>
      <c r="S101" s="26" t="str">
        <f>IF(Tableau4849[[#This Row],[ETAT]]="LOSE",IF(IFERROR(ABS(SUBSTITUTE(Tableau4849[[#This Row],[PRICE]],".",",")-'[1]Deal ticket'!$B$16)*1000,"")&lt;=$S$5,"GO","WAIT"),"")</f>
        <v/>
      </c>
      <c r="T10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1" s="34" t="str">
        <f>IF(Tableau4849[[#This Row],[ETAT]]="LOSE",IF(IFERROR(ABS(SUBSTITUTE(Tableau4849[[#This Row],[PRICE]],".",",")-'[1]Deal ticket'!$B$16)*1000,"")&lt;=$U$5,"GO","WAIT"),"")</f>
        <v/>
      </c>
      <c r="V101" s="26">
        <f>IF(Tableau4849[[#This Row],[INDEX]]&lt;3,"",SUMIFS(Tableau4849[SL],Tableau4849[Colonne5],Tableau4849[[#This Row],[Colonne5]])+$S$4)</f>
        <v>1</v>
      </c>
      <c r="W101" s="34" t="str">
        <f>IF(Tableau4849[[#This Row],[ETAT]]="LOSE",IF(IFERROR(ABS(SUBSTITUTE(Tableau4849[[#This Row],[PRICE]],".",",")-'[1]Deal ticket'!$B$16)*1000,"")&lt;=$W$5,"GO","WAIT"),"")</f>
        <v/>
      </c>
      <c r="X10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01" s="26">
        <f>IF(AND(Tableau4849[[#This Row],[3,8]]=1),Tableau4849[[#This Row],[INDEX]],"")</f>
        <v>9</v>
      </c>
      <c r="AC101" s="26" t="str">
        <f ca="1">IF(IFERROR(_xlfn.XLOOKUP(Tableau4849[[#This Row],[IDENTITE]],[1]!Tableau47[GLOBUY],[1]!Tableau47[GLOBUY]),"")="","",1)</f>
        <v/>
      </c>
      <c r="AD101" s="26" t="str">
        <f>IF(IFERROR(_xlfn.XLOOKUP(Tableau4849[[#This Row],[IDENTITE]],[1]!Tableau47[GLOSELL],[1]!Tableau47[GLOSELL]),"")="","",1)</f>
        <v/>
      </c>
      <c r="AE101" s="26"/>
      <c r="AF101" s="26">
        <f>IF(Tableau4849[[#This Row],[INDEX]]&lt;3,"",IF(Tableau4849[[#This Row],[COMMAND]]="","",IF('[1]Bar history'!$AA$33=1,1,"")))</f>
        <v>1</v>
      </c>
      <c r="AG101" s="26"/>
      <c r="AH101" s="26" t="str">
        <f>IF(IFERROR(_xlfn.XLOOKUP(Tableau4849[[#This Row],[IDENTITE]],[1]!Tableau47[COMMENTAIRE],[1]!Tableau47[CLOTURE]),"")=[1]PARAMETRE!$BK$31,Tableau4849[[#This Row],[INDEX]],"")</f>
        <v/>
      </c>
      <c r="AI101" s="26"/>
      <c r="AJ101" s="35" t="str">
        <f>IF(AND(ISNUMBER(SEARCH("BUY",Tableau4849[[#This Row],[COMMAND]]))),"BUYSTOP",IF(AND(ISNUMBER(SEARCH("SELL",Tableau4849[[#This Row],[COMMAND]]))),"SELLSTOP",""))</f>
        <v>SELLSTOP</v>
      </c>
      <c r="AK101" s="35" t="str">
        <f>IFERROR(SUBSTITUTE(Tableau4849[[#This Row],[PRICE]],",","."),"")</f>
        <v>1.06315</v>
      </c>
      <c r="AL101" s="35" t="str">
        <f>IF(Tableau4849[[#This Row],[INDEX]]&lt;3,"",Tableau4849[[#This Row],[IDENTITE]])</f>
        <v>1 RSRS S 1.06304 M1M1</v>
      </c>
      <c r="AM101" s="35" t="str">
        <f>IF(Tableau4849[[#This Row],[INDEX]]&lt;3,"",Tableau4849[[#This Row],[DEVISE]])</f>
        <v>EURUSD</v>
      </c>
      <c r="AN101" s="35">
        <f>IFERROR(IF(Tableau4849[[#This Row],[INDEX]]&lt;3,"",Tableau4849[[#This Row],[ATTEINT]]),100000)</f>
        <v>100000</v>
      </c>
      <c r="AO101" s="35">
        <f>IF(Tableau4849[[#This Row],[INDEX]]&lt;3,"",Tableau4849[[#This Row],[COMPTE]])</f>
        <v>925832</v>
      </c>
      <c r="AP101" s="35" t="str">
        <f>IF(Tableau4849[[#This Row],[INDEX]]&lt;3,"","NON")</f>
        <v>NON</v>
      </c>
      <c r="AQ101" s="35" t="str">
        <f>IF(Tableau4849[[#This Row],[INDEX]]&lt;3,"",IF(Tableau4849[[#This Row],[0,5]]&lt;0,"NEGATIF",""))</f>
        <v>NEGATIF</v>
      </c>
    </row>
    <row r="102" spans="1:43" x14ac:dyDescent="0.25">
      <c r="A102" s="24">
        <v>10</v>
      </c>
      <c r="B102" s="32">
        <v>44923.458055555559</v>
      </c>
      <c r="C102" s="26">
        <v>925832</v>
      </c>
      <c r="D102" s="24" t="s">
        <v>0</v>
      </c>
      <c r="E102" s="24" t="s">
        <v>46</v>
      </c>
      <c r="F102" s="24">
        <v>1.0630900000000001</v>
      </c>
      <c r="G102" s="26">
        <v>9000</v>
      </c>
      <c r="H102" s="27" t="s">
        <v>138</v>
      </c>
      <c r="I102" s="28" t="str">
        <f>IF(IFERROR(_xlfn.XLOOKUP(Tableau4849[[#This Row],[SL]],'[1]Tickets (2)'!J99:J893,'[1]Tickets (2)'!I102:I896),"")=0,"",IFERROR(_xlfn.XLOOKUP(Tableau4849[[#This Row],[SL]],'[1]Tickets (2)'!J99:J893,'[1]Tickets (2)'!I102:I896),""))</f>
        <v/>
      </c>
      <c r="J102">
        <v>1</v>
      </c>
      <c r="K10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2" s="33">
        <v>44923.631425115738</v>
      </c>
      <c r="N102" s="3" t="str">
        <f>IF(Tableau4849[[#This Row],[T CLOSE]]&gt;[1]CONFIGURATION!$K$4,Tableau4849[[#This Row],[IDENTITE]],"")</f>
        <v/>
      </c>
      <c r="O102" s="26">
        <f>IFERROR(Tableau4849[[#This Row],[SL]]/(Tableau4849[[#This Row],[VOLUME]]/$I$5),0)</f>
        <v>0</v>
      </c>
      <c r="P102" s="26" t="str">
        <f>Tableau4849[[#This Row],[COMMAND]]</f>
        <v>SELL</v>
      </c>
      <c r="Q10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1.0631 M1M1</v>
      </c>
      <c r="R102" s="29">
        <v>-276</v>
      </c>
      <c r="S102" s="26" t="str">
        <f>IF(Tableau4849[[#This Row],[ETAT]]="LOSE",IF(IFERROR(ABS(SUBSTITUTE(Tableau4849[[#This Row],[PRICE]],".",",")-'[1]Deal ticket'!$B$16)*1000,"")&lt;=$S$5,"GO","WAIT"),"")</f>
        <v/>
      </c>
      <c r="T10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2" s="34" t="str">
        <f>IF(Tableau4849[[#This Row],[ETAT]]="LOSE",IF(IFERROR(ABS(SUBSTITUTE(Tableau4849[[#This Row],[PRICE]],".",",")-'[1]Deal ticket'!$B$16)*1000,"")&lt;=$U$5,"GO","WAIT"),"")</f>
        <v/>
      </c>
      <c r="V102" s="26">
        <f>IF(Tableau4849[[#This Row],[INDEX]]&lt;3,"",SUMIFS(Tableau4849[SL],Tableau4849[Colonne5],Tableau4849[[#This Row],[Colonne5]])+$S$4)</f>
        <v>1</v>
      </c>
      <c r="W102" s="34" t="str">
        <f>IF(Tableau4849[[#This Row],[ETAT]]="LOSE",IF(IFERROR(ABS(SUBSTITUTE(Tableau4849[[#This Row],[PRICE]],".",",")-'[1]Deal ticket'!$B$16)*1000,"")&lt;=$W$5,"GO","WAIT"),"")</f>
        <v/>
      </c>
      <c r="X10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02" s="26">
        <f>IF(AND(Tableau4849[[#This Row],[3,8]]=1),Tableau4849[[#This Row],[INDEX]],"")</f>
        <v>10</v>
      </c>
      <c r="AC102" s="26" t="str">
        <f ca="1">IF(IFERROR(_xlfn.XLOOKUP(Tableau4849[[#This Row],[IDENTITE]],[1]!Tableau47[GLOBUY],[1]!Tableau47[GLOBUY]),"")="","",1)</f>
        <v/>
      </c>
      <c r="AD102" s="26" t="str">
        <f>IF(IFERROR(_xlfn.XLOOKUP(Tableau4849[[#This Row],[IDENTITE]],[1]!Tableau47[GLOSELL],[1]!Tableau47[GLOSELL]),"")="","",1)</f>
        <v/>
      </c>
      <c r="AE102" s="26"/>
      <c r="AF102" s="26">
        <f>IF(Tableau4849[[#This Row],[INDEX]]&lt;3,"",IF(Tableau4849[[#This Row],[COMMAND]]="","",IF('[1]Bar history'!$AA$33=1,1,"")))</f>
        <v>1</v>
      </c>
      <c r="AG102" s="26"/>
      <c r="AH102" s="26" t="str">
        <f>IF(IFERROR(_xlfn.XLOOKUP(Tableau4849[[#This Row],[IDENTITE]],[1]!Tableau47[COMMENTAIRE],[1]!Tableau47[CLOTURE]),"")=[1]PARAMETRE!$BK$31,Tableau4849[[#This Row],[INDEX]],"")</f>
        <v/>
      </c>
      <c r="AI102" s="26"/>
      <c r="AJ102" s="35" t="str">
        <f>IF(AND(ISNUMBER(SEARCH("BUY",Tableau4849[[#This Row],[COMMAND]]))),"BUYSTOP",IF(AND(ISNUMBER(SEARCH("SELL",Tableau4849[[#This Row],[COMMAND]]))),"SELLSTOP",""))</f>
        <v>SELLSTOP</v>
      </c>
      <c r="AK102" s="35" t="str">
        <f>IFERROR(SUBSTITUTE(Tableau4849[[#This Row],[PRICE]],",","."),"")</f>
        <v>1.06309</v>
      </c>
      <c r="AL102" s="35" t="str">
        <f>IF(Tableau4849[[#This Row],[INDEX]]&lt;3,"",Tableau4849[[#This Row],[IDENTITE]])</f>
        <v>1 RSRS S 1.0631 M1M1</v>
      </c>
      <c r="AM102" s="35" t="str">
        <f>IF(Tableau4849[[#This Row],[INDEX]]&lt;3,"",Tableau4849[[#This Row],[DEVISE]])</f>
        <v>EURUSD</v>
      </c>
      <c r="AN102" s="35">
        <f>IFERROR(IF(Tableau4849[[#This Row],[INDEX]]&lt;3,"",Tableau4849[[#This Row],[ATTEINT]]),100000)</f>
        <v>100000</v>
      </c>
      <c r="AO102" s="35">
        <f>IF(Tableau4849[[#This Row],[INDEX]]&lt;3,"",Tableau4849[[#This Row],[COMPTE]])</f>
        <v>925832</v>
      </c>
      <c r="AP102" s="35" t="str">
        <f>IF(Tableau4849[[#This Row],[INDEX]]&lt;3,"","NON")</f>
        <v>NON</v>
      </c>
      <c r="AQ102" s="35" t="str">
        <f>IF(Tableau4849[[#This Row],[INDEX]]&lt;3,"",IF(Tableau4849[[#This Row],[0,5]]&lt;0,"NEGATIF",""))</f>
        <v>NEGATIF</v>
      </c>
    </row>
    <row r="103" spans="1:43" x14ac:dyDescent="0.25">
      <c r="A103" s="24">
        <v>11</v>
      </c>
      <c r="B103" s="32">
        <v>44923.457719907405</v>
      </c>
      <c r="C103" s="26">
        <v>925832</v>
      </c>
      <c r="D103" s="24" t="s">
        <v>0</v>
      </c>
      <c r="E103" s="24" t="s">
        <v>46</v>
      </c>
      <c r="F103" s="24">
        <v>1.0630299999999999</v>
      </c>
      <c r="G103" s="26">
        <v>4000</v>
      </c>
      <c r="H103" s="27" t="s">
        <v>139</v>
      </c>
      <c r="I103" s="28" t="str">
        <f>IF(IFERROR(_xlfn.XLOOKUP(Tableau4849[[#This Row],[SL]],'[1]Tickets (2)'!J100:J894,'[1]Tickets (2)'!I103:I897),"")=0,"",IFERROR(_xlfn.XLOOKUP(Tableau4849[[#This Row],[SL]],'[1]Tickets (2)'!J100:J894,'[1]Tickets (2)'!I103:I897),""))</f>
        <v/>
      </c>
      <c r="J103">
        <v>1</v>
      </c>
      <c r="K10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3" s="33">
        <v>44923.631425115738</v>
      </c>
      <c r="N103" s="3" t="str">
        <f>IF(Tableau4849[[#This Row],[T CLOSE]]&gt;[1]CONFIGURATION!$K$4,Tableau4849[[#This Row],[IDENTITE]],"")</f>
        <v/>
      </c>
      <c r="O103" s="26">
        <f>IFERROR(Tableau4849[[#This Row],[SL]]/(Tableau4849[[#This Row],[VOLUME]]/$I$5),0)</f>
        <v>0</v>
      </c>
      <c r="P103" s="26" t="str">
        <f>Tableau4849[[#This Row],[COMMAND]]</f>
        <v>SELL</v>
      </c>
      <c r="Q10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1.0645 M1M1</v>
      </c>
      <c r="R103" s="29">
        <v>-286</v>
      </c>
      <c r="S103" s="26" t="str">
        <f>IF(Tableau4849[[#This Row],[ETAT]]="LOSE",IF(IFERROR(ABS(SUBSTITUTE(Tableau4849[[#This Row],[PRICE]],".",",")-'[1]Deal ticket'!$B$16)*1000,"")&lt;=$S$5,"GO","WAIT"),"")</f>
        <v/>
      </c>
      <c r="T10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3" s="34" t="str">
        <f>IF(Tableau4849[[#This Row],[ETAT]]="LOSE",IF(IFERROR(ABS(SUBSTITUTE(Tableau4849[[#This Row],[PRICE]],".",",")-'[1]Deal ticket'!$B$16)*1000,"")&lt;=$U$5,"GO","WAIT"),"")</f>
        <v/>
      </c>
      <c r="V103" s="26">
        <f>IF(Tableau4849[[#This Row],[INDEX]]&lt;3,"",SUMIFS(Tableau4849[SL],Tableau4849[Colonne5],Tableau4849[[#This Row],[Colonne5]])+$S$4)</f>
        <v>1</v>
      </c>
      <c r="W103" s="34" t="str">
        <f>IF(Tableau4849[[#This Row],[ETAT]]="LOSE",IF(IFERROR(ABS(SUBSTITUTE(Tableau4849[[#This Row],[PRICE]],".",",")-'[1]Deal ticket'!$B$16)*1000,"")&lt;=$W$5,"GO","WAIT"),"")</f>
        <v/>
      </c>
      <c r="X10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03" s="26">
        <f>IF(AND(Tableau4849[[#This Row],[3,8]]=1),Tableau4849[[#This Row],[INDEX]],"")</f>
        <v>11</v>
      </c>
      <c r="AC103" s="26" t="str">
        <f ca="1">IF(IFERROR(_xlfn.XLOOKUP(Tableau4849[[#This Row],[IDENTITE]],[1]!Tableau47[GLOBUY],[1]!Tableau47[GLOBUY]),"")="","",1)</f>
        <v/>
      </c>
      <c r="AD103" s="26" t="str">
        <f>IF(IFERROR(_xlfn.XLOOKUP(Tableau4849[[#This Row],[IDENTITE]],[1]!Tableau47[GLOSELL],[1]!Tableau47[GLOSELL]),"")="","",1)</f>
        <v/>
      </c>
      <c r="AE103" s="26"/>
      <c r="AF103" s="26">
        <f>IF(Tableau4849[[#This Row],[INDEX]]&lt;3,"",IF(Tableau4849[[#This Row],[COMMAND]]="","",IF('[1]Bar history'!$AA$33=1,1,"")))</f>
        <v>1</v>
      </c>
      <c r="AG103" s="26"/>
      <c r="AH103" s="26" t="str">
        <f>IF(IFERROR(_xlfn.XLOOKUP(Tableau4849[[#This Row],[IDENTITE]],[1]!Tableau47[COMMENTAIRE],[1]!Tableau47[CLOTURE]),"")=[1]PARAMETRE!$BK$31,Tableau4849[[#This Row],[INDEX]],"")</f>
        <v/>
      </c>
      <c r="AI103" s="26"/>
      <c r="AJ103" s="35" t="str">
        <f>IF(AND(ISNUMBER(SEARCH("BUY",Tableau4849[[#This Row],[COMMAND]]))),"BUYSTOP",IF(AND(ISNUMBER(SEARCH("SELL",Tableau4849[[#This Row],[COMMAND]]))),"SELLSTOP",""))</f>
        <v>SELLSTOP</v>
      </c>
      <c r="AK103" s="35" t="str">
        <f>IFERROR(SUBSTITUTE(Tableau4849[[#This Row],[PRICE]],",","."),"")</f>
        <v>1.06303</v>
      </c>
      <c r="AL103" s="35" t="str">
        <f>IF(Tableau4849[[#This Row],[INDEX]]&lt;3,"",Tableau4849[[#This Row],[IDENTITE]])</f>
        <v>1 RSRS S 1.0645 M1M1</v>
      </c>
      <c r="AM103" s="35" t="str">
        <f>IF(Tableau4849[[#This Row],[INDEX]]&lt;3,"",Tableau4849[[#This Row],[DEVISE]])</f>
        <v>EURUSD</v>
      </c>
      <c r="AN103" s="35">
        <f>IFERROR(IF(Tableau4849[[#This Row],[INDEX]]&lt;3,"",Tableau4849[[#This Row],[ATTEINT]]),100000)</f>
        <v>100000</v>
      </c>
      <c r="AO103" s="35">
        <f>IF(Tableau4849[[#This Row],[INDEX]]&lt;3,"",Tableau4849[[#This Row],[COMPTE]])</f>
        <v>925832</v>
      </c>
      <c r="AP103" s="35" t="str">
        <f>IF(Tableau4849[[#This Row],[INDEX]]&lt;3,"","NON")</f>
        <v>NON</v>
      </c>
      <c r="AQ103" s="35" t="str">
        <f>IF(Tableau4849[[#This Row],[INDEX]]&lt;3,"",IF(Tableau4849[[#This Row],[0,5]]&lt;0,"NEGATIF",""))</f>
        <v>NEGATIF</v>
      </c>
    </row>
    <row r="104" spans="1:43" x14ac:dyDescent="0.25">
      <c r="A104" s="24">
        <v>12</v>
      </c>
      <c r="B104" s="32">
        <v>44923.451747685183</v>
      </c>
      <c r="C104" s="26">
        <v>925832</v>
      </c>
      <c r="D104" s="24" t="s">
        <v>0</v>
      </c>
      <c r="E104" s="24" t="s">
        <v>46</v>
      </c>
      <c r="F104" s="24">
        <v>1.06372</v>
      </c>
      <c r="G104" s="26">
        <v>4000</v>
      </c>
      <c r="H104" s="27" t="s">
        <v>141</v>
      </c>
      <c r="I104" s="28" t="str">
        <f>IF(IFERROR(_xlfn.XLOOKUP(Tableau4849[[#This Row],[SL]],'[1]Tickets (2)'!J101:J895,'[1]Tickets (2)'!I104:I898),"")=0,"",IFERROR(_xlfn.XLOOKUP(Tableau4849[[#This Row],[SL]],'[1]Tickets (2)'!J101:J895,'[1]Tickets (2)'!I104:I898),""))</f>
        <v/>
      </c>
      <c r="J104">
        <v>1</v>
      </c>
      <c r="K10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4" s="33">
        <v>44923.631425115738</v>
      </c>
      <c r="N104" s="3" t="str">
        <f>IF(Tableau4849[[#This Row],[T CLOSE]]&gt;[1]CONFIGURATION!$K$4,Tableau4849[[#This Row],[IDENTITE]],"")</f>
        <v/>
      </c>
      <c r="O104" s="26">
        <f>IFERROR(Tableau4849[[#This Row],[SL]]/(Tableau4849[[#This Row],[VOLUME]]/$I$5),0)</f>
        <v>0</v>
      </c>
      <c r="P104" s="26" t="str">
        <f>Tableau4849[[#This Row],[COMMAND]]</f>
        <v>SELL</v>
      </c>
      <c r="Q10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1.06411 M1M1</v>
      </c>
      <c r="R104" s="29">
        <v>-296</v>
      </c>
      <c r="S104" s="26" t="str">
        <f>IF(Tableau4849[[#This Row],[ETAT]]="LOSE",IF(IFERROR(ABS(SUBSTITUTE(Tableau4849[[#This Row],[PRICE]],".",",")-'[1]Deal ticket'!$B$16)*1000,"")&lt;=$S$5,"GO","WAIT"),"")</f>
        <v/>
      </c>
      <c r="T10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4" s="34" t="str">
        <f>IF(Tableau4849[[#This Row],[ETAT]]="LOSE",IF(IFERROR(ABS(SUBSTITUTE(Tableau4849[[#This Row],[PRICE]],".",",")-'[1]Deal ticket'!$B$16)*1000,"")&lt;=$U$5,"GO","WAIT"),"")</f>
        <v/>
      </c>
      <c r="V104" s="26">
        <f>IF(Tableau4849[[#This Row],[INDEX]]&lt;3,"",SUMIFS(Tableau4849[SL],Tableau4849[Colonne5],Tableau4849[[#This Row],[Colonne5]])+$S$4)</f>
        <v>1</v>
      </c>
      <c r="W104" s="34" t="str">
        <f>IF(Tableau4849[[#This Row],[ETAT]]="LOSE",IF(IFERROR(ABS(SUBSTITUTE(Tableau4849[[#This Row],[PRICE]],".",",")-'[1]Deal ticket'!$B$16)*1000,"")&lt;=$W$5,"GO","WAIT"),"")</f>
        <v/>
      </c>
      <c r="X10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4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04" s="26">
        <f>IF(AND(Tableau4849[[#This Row],[3,8]]=1),Tableau4849[[#This Row],[INDEX]],"")</f>
        <v>12</v>
      </c>
      <c r="AC104" s="26" t="str">
        <f ca="1">IF(IFERROR(_xlfn.XLOOKUP(Tableau4849[[#This Row],[IDENTITE]],[1]!Tableau47[GLOBUY],[1]!Tableau47[GLOBUY]),"")="","",1)</f>
        <v/>
      </c>
      <c r="AD104" s="26" t="str">
        <f>IF(IFERROR(_xlfn.XLOOKUP(Tableau4849[[#This Row],[IDENTITE]],[1]!Tableau47[GLOSELL],[1]!Tableau47[GLOSELL]),"")="","",1)</f>
        <v/>
      </c>
      <c r="AE104" s="26"/>
      <c r="AF104" s="26">
        <f>IF(Tableau4849[[#This Row],[INDEX]]&lt;3,"",IF(Tableau4849[[#This Row],[COMMAND]]="","",IF('[1]Bar history'!$AA$33=1,1,"")))</f>
        <v>1</v>
      </c>
      <c r="AG104" s="26"/>
      <c r="AH104" s="26" t="str">
        <f>IF(IFERROR(_xlfn.XLOOKUP(Tableau4849[[#This Row],[IDENTITE]],[1]!Tableau47[COMMENTAIRE],[1]!Tableau47[CLOTURE]),"")=[1]PARAMETRE!$BK$31,Tableau4849[[#This Row],[INDEX]],"")</f>
        <v/>
      </c>
      <c r="AI104" s="26"/>
      <c r="AJ104" s="35" t="str">
        <f>IF(AND(ISNUMBER(SEARCH("BUY",Tableau4849[[#This Row],[COMMAND]]))),"BUYSTOP",IF(AND(ISNUMBER(SEARCH("SELL",Tableau4849[[#This Row],[COMMAND]]))),"SELLSTOP",""))</f>
        <v>SELLSTOP</v>
      </c>
      <c r="AK104" s="35" t="str">
        <f>IFERROR(SUBSTITUTE(Tableau4849[[#This Row],[PRICE]],",","."),"")</f>
        <v>1.06372</v>
      </c>
      <c r="AL104" s="35" t="str">
        <f>IF(Tableau4849[[#This Row],[INDEX]]&lt;3,"",Tableau4849[[#This Row],[IDENTITE]])</f>
        <v>1 RSRS S 1.06411 M1M1</v>
      </c>
      <c r="AM104" s="35" t="str">
        <f>IF(Tableau4849[[#This Row],[INDEX]]&lt;3,"",Tableau4849[[#This Row],[DEVISE]])</f>
        <v>EURUSD</v>
      </c>
      <c r="AN104" s="35">
        <f>IFERROR(IF(Tableau4849[[#This Row],[INDEX]]&lt;3,"",Tableau4849[[#This Row],[ATTEINT]]),100000)</f>
        <v>100000</v>
      </c>
      <c r="AO104" s="35">
        <f>IF(Tableau4849[[#This Row],[INDEX]]&lt;3,"",Tableau4849[[#This Row],[COMPTE]])</f>
        <v>925832</v>
      </c>
      <c r="AP104" s="35" t="str">
        <f>IF(Tableau4849[[#This Row],[INDEX]]&lt;3,"","NON")</f>
        <v>NON</v>
      </c>
      <c r="AQ104" s="35" t="str">
        <f>IF(Tableau4849[[#This Row],[INDEX]]&lt;3,"",IF(Tableau4849[[#This Row],[0,5]]&lt;0,"NEGATIF",""))</f>
        <v>NEGATIF</v>
      </c>
    </row>
    <row r="105" spans="1:43" x14ac:dyDescent="0.25">
      <c r="A105" s="24">
        <v>13</v>
      </c>
      <c r="B105" s="32">
        <v>44923.451574074075</v>
      </c>
      <c r="C105" s="26">
        <v>925832</v>
      </c>
      <c r="D105" s="24" t="s">
        <v>0</v>
      </c>
      <c r="E105" s="24" t="s">
        <v>46</v>
      </c>
      <c r="F105" s="24">
        <v>1.06375</v>
      </c>
      <c r="G105" s="26">
        <v>4000</v>
      </c>
      <c r="H105" s="27" t="s">
        <v>143</v>
      </c>
      <c r="I105" s="28" t="str">
        <f>IF(IFERROR(_xlfn.XLOOKUP(Tableau4849[[#This Row],[SL]],'[1]Tickets (2)'!J102:J896,'[1]Tickets (2)'!I105:I899),"")=0,"",IFERROR(_xlfn.XLOOKUP(Tableau4849[[#This Row],[SL]],'[1]Tickets (2)'!J102:J896,'[1]Tickets (2)'!I105:I899),""))</f>
        <v/>
      </c>
      <c r="J105">
        <v>1</v>
      </c>
      <c r="K10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5" s="33">
        <v>44923.631425115738</v>
      </c>
      <c r="N105" s="3" t="str">
        <f>IF(Tableau4849[[#This Row],[T CLOSE]]&gt;[1]CONFIGURATION!$K$4,Tableau4849[[#This Row],[IDENTITE]],"")</f>
        <v/>
      </c>
      <c r="O105" s="26">
        <f>IFERROR(Tableau4849[[#This Row],[SL]]/(Tableau4849[[#This Row],[VOLUME]]/$I$5),0)</f>
        <v>0</v>
      </c>
      <c r="P105" s="26" t="str">
        <f>Tableau4849[[#This Row],[COMMAND]]</f>
        <v>SELL</v>
      </c>
      <c r="Q10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1.06401 M1M1</v>
      </c>
      <c r="R105" s="29">
        <v>23</v>
      </c>
      <c r="S105" s="26" t="str">
        <f>IF(Tableau4849[[#This Row],[ETAT]]="LOSE",IF(IFERROR(ABS(SUBSTITUTE(Tableau4849[[#This Row],[PRICE]],".",",")-'[1]Deal ticket'!$B$16)*1000,"")&lt;=$S$5,"GO","WAIT"),"")</f>
        <v/>
      </c>
      <c r="T10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5" s="34" t="str">
        <f>IF(Tableau4849[[#This Row],[ETAT]]="LOSE",IF(IFERROR(ABS(SUBSTITUTE(Tableau4849[[#This Row],[PRICE]],".",",")-'[1]Deal ticket'!$B$16)*1000,"")&lt;=$U$5,"GO","WAIT"),"")</f>
        <v/>
      </c>
      <c r="V105" s="26">
        <f>IF(Tableau4849[[#This Row],[INDEX]]&lt;3,"",SUMIFS(Tableau4849[SL],Tableau4849[Colonne5],Tableau4849[[#This Row],[Colonne5]])+$S$4)</f>
        <v>1</v>
      </c>
      <c r="W105" s="34" t="str">
        <f>IF(Tableau4849[[#This Row],[ETAT]]="LOSE",IF(IFERROR(ABS(SUBSTITUTE(Tableau4849[[#This Row],[PRICE]],".",",")-'[1]Deal ticket'!$B$16)*1000,"")&lt;=$W$5,"GO","WAIT"),"")</f>
        <v/>
      </c>
      <c r="X10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5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05" s="26" t="str">
        <f>IF(AND(Tableau4849[[#This Row],[3,8]]=1),Tableau4849[[#This Row],[INDEX]],"")</f>
        <v/>
      </c>
      <c r="AC105" s="26" t="str">
        <f ca="1">IF(IFERROR(_xlfn.XLOOKUP(Tableau4849[[#This Row],[IDENTITE]],[1]!Tableau47[GLOBUY],[1]!Tableau47[GLOBUY]),"")="","",1)</f>
        <v/>
      </c>
      <c r="AD105" s="26" t="str">
        <f>IF(IFERROR(_xlfn.XLOOKUP(Tableau4849[[#This Row],[IDENTITE]],[1]!Tableau47[GLOSELL],[1]!Tableau47[GLOSELL]),"")="","",1)</f>
        <v/>
      </c>
      <c r="AE105" s="26"/>
      <c r="AF105" s="26">
        <f>IF(Tableau4849[[#This Row],[INDEX]]&lt;3,"",IF(Tableau4849[[#This Row],[COMMAND]]="","",IF('[1]Bar history'!$AA$33=1,1,"")))</f>
        <v>1</v>
      </c>
      <c r="AG105" s="26"/>
      <c r="AH105" s="26" t="str">
        <f>IF(IFERROR(_xlfn.XLOOKUP(Tableau4849[[#This Row],[IDENTITE]],[1]!Tableau47[COMMENTAIRE],[1]!Tableau47[CLOTURE]),"")=[1]PARAMETRE!$BK$31,Tableau4849[[#This Row],[INDEX]],"")</f>
        <v/>
      </c>
      <c r="AI105" s="26"/>
      <c r="AJ105" s="35" t="str">
        <f>IF(AND(ISNUMBER(SEARCH("BUY",Tableau4849[[#This Row],[COMMAND]]))),"BUYSTOP",IF(AND(ISNUMBER(SEARCH("SELL",Tableau4849[[#This Row],[COMMAND]]))),"SELLSTOP",""))</f>
        <v>SELLSTOP</v>
      </c>
      <c r="AK105" s="35" t="str">
        <f>IFERROR(SUBSTITUTE(Tableau4849[[#This Row],[PRICE]],",","."),"")</f>
        <v>1.06375</v>
      </c>
      <c r="AL105" s="35" t="str">
        <f>IF(Tableau4849[[#This Row],[INDEX]]&lt;3,"",Tableau4849[[#This Row],[IDENTITE]])</f>
        <v>1 RSRS S 1.06401 M1M1</v>
      </c>
      <c r="AM105" s="35" t="str">
        <f>IF(Tableau4849[[#This Row],[INDEX]]&lt;3,"",Tableau4849[[#This Row],[DEVISE]])</f>
        <v>EURUSD</v>
      </c>
      <c r="AN105" s="35">
        <f>IFERROR(IF(Tableau4849[[#This Row],[INDEX]]&lt;3,"",Tableau4849[[#This Row],[ATTEINT]]),100000)</f>
        <v>100000</v>
      </c>
      <c r="AO105" s="35">
        <f>IF(Tableau4849[[#This Row],[INDEX]]&lt;3,"",Tableau4849[[#This Row],[COMPTE]])</f>
        <v>925832</v>
      </c>
      <c r="AP105" s="35" t="str">
        <f>IF(Tableau4849[[#This Row],[INDEX]]&lt;3,"","NON")</f>
        <v>NON</v>
      </c>
      <c r="AQ105" s="35" t="str">
        <f>IF(Tableau4849[[#This Row],[INDEX]]&lt;3,"",IF(Tableau4849[[#This Row],[0,5]]&lt;0,"NEGATIF",""))</f>
        <v/>
      </c>
    </row>
    <row r="106" spans="1:43" x14ac:dyDescent="0.25">
      <c r="A106" s="24">
        <v>14</v>
      </c>
      <c r="B106" s="32">
        <v>44923.451284722221</v>
      </c>
      <c r="C106" s="26">
        <v>925832</v>
      </c>
      <c r="D106" s="24" t="s">
        <v>0</v>
      </c>
      <c r="E106" s="24" t="s">
        <v>46</v>
      </c>
      <c r="F106" s="24">
        <v>1.06379</v>
      </c>
      <c r="G106" s="26">
        <v>4000</v>
      </c>
      <c r="H106" s="27" t="s">
        <v>145</v>
      </c>
      <c r="I106" s="28" t="str">
        <f>IF(IFERROR(_xlfn.XLOOKUP(Tableau4849[[#This Row],[SL]],'[1]Tickets (2)'!J103:J897,'[1]Tickets (2)'!I106:I900),"")=0,"",IFERROR(_xlfn.XLOOKUP(Tableau4849[[#This Row],[SL]],'[1]Tickets (2)'!J103:J897,'[1]Tickets (2)'!I106:I900),""))</f>
        <v/>
      </c>
      <c r="J106">
        <v>1</v>
      </c>
      <c r="K10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6" s="33">
        <v>44923.631425115738</v>
      </c>
      <c r="N106" s="3" t="str">
        <f>IF(Tableau4849[[#This Row],[T CLOSE]]&gt;[1]CONFIGURATION!$K$4,Tableau4849[[#This Row],[IDENTITE]],"")</f>
        <v/>
      </c>
      <c r="O106" s="26">
        <f>IFERROR(Tableau4849[[#This Row],[SL]]/(Tableau4849[[#This Row],[VOLUME]]/$I$5),0)</f>
        <v>0</v>
      </c>
      <c r="P106" s="26" t="str">
        <f>Tableau4849[[#This Row],[COMMAND]]</f>
        <v>SELL</v>
      </c>
      <c r="Q10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1.06412 M1M1</v>
      </c>
      <c r="R106" s="29">
        <v>16</v>
      </c>
      <c r="S106" s="26" t="str">
        <f>IF(Tableau4849[[#This Row],[ETAT]]="LOSE",IF(IFERROR(ABS(SUBSTITUTE(Tableau4849[[#This Row],[PRICE]],".",",")-'[1]Deal ticket'!$B$16)*1000,"")&lt;=$S$5,"GO","WAIT"),"")</f>
        <v/>
      </c>
      <c r="T10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6" s="34" t="str">
        <f>IF(Tableau4849[[#This Row],[ETAT]]="LOSE",IF(IFERROR(ABS(SUBSTITUTE(Tableau4849[[#This Row],[PRICE]],".",",")-'[1]Deal ticket'!$B$16)*1000,"")&lt;=$U$5,"GO","WAIT"),"")</f>
        <v/>
      </c>
      <c r="V106" s="26">
        <f>IF(Tableau4849[[#This Row],[INDEX]]&lt;3,"",SUMIFS(Tableau4849[SL],Tableau4849[Colonne5],Tableau4849[[#This Row],[Colonne5]])+$S$4)</f>
        <v>1</v>
      </c>
      <c r="W106" s="34" t="str">
        <f>IF(Tableau4849[[#This Row],[ETAT]]="LOSE",IF(IFERROR(ABS(SUBSTITUTE(Tableau4849[[#This Row],[PRICE]],".",",")-'[1]Deal ticket'!$B$16)*1000,"")&lt;=$W$5,"GO","WAIT"),"")</f>
        <v/>
      </c>
      <c r="X10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6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06" s="26" t="str">
        <f>IF(AND(Tableau4849[[#This Row],[3,8]]=1),Tableau4849[[#This Row],[INDEX]],"")</f>
        <v/>
      </c>
      <c r="AC106" s="26" t="str">
        <f ca="1">IF(IFERROR(_xlfn.XLOOKUP(Tableau4849[[#This Row],[IDENTITE]],[1]!Tableau47[GLOBUY],[1]!Tableau47[GLOBUY]),"")="","",1)</f>
        <v/>
      </c>
      <c r="AD106" s="26" t="str">
        <f>IF(IFERROR(_xlfn.XLOOKUP(Tableau4849[[#This Row],[IDENTITE]],[1]!Tableau47[GLOSELL],[1]!Tableau47[GLOSELL]),"")="","",1)</f>
        <v/>
      </c>
      <c r="AE106" s="26"/>
      <c r="AF106" s="26">
        <f>IF(Tableau4849[[#This Row],[INDEX]]&lt;3,"",IF(Tableau4849[[#This Row],[COMMAND]]="","",IF('[1]Bar history'!$AA$33=1,1,"")))</f>
        <v>1</v>
      </c>
      <c r="AG106" s="26"/>
      <c r="AH106" s="26" t="str">
        <f>IF(IFERROR(_xlfn.XLOOKUP(Tableau4849[[#This Row],[IDENTITE]],[1]!Tableau47[COMMENTAIRE],[1]!Tableau47[CLOTURE]),"")=[1]PARAMETRE!$BK$31,Tableau4849[[#This Row],[INDEX]],"")</f>
        <v/>
      </c>
      <c r="AI106" s="26"/>
      <c r="AJ106" s="35" t="str">
        <f>IF(AND(ISNUMBER(SEARCH("BUY",Tableau4849[[#This Row],[COMMAND]]))),"BUYSTOP",IF(AND(ISNUMBER(SEARCH("SELL",Tableau4849[[#This Row],[COMMAND]]))),"SELLSTOP",""))</f>
        <v>SELLSTOP</v>
      </c>
      <c r="AK106" s="35" t="str">
        <f>IFERROR(SUBSTITUTE(Tableau4849[[#This Row],[PRICE]],",","."),"")</f>
        <v>1.06379</v>
      </c>
      <c r="AL106" s="35" t="str">
        <f>IF(Tableau4849[[#This Row],[INDEX]]&lt;3,"",Tableau4849[[#This Row],[IDENTITE]])</f>
        <v>1 RSRS S 1.06412 M1M1</v>
      </c>
      <c r="AM106" s="35" t="str">
        <f>IF(Tableau4849[[#This Row],[INDEX]]&lt;3,"",Tableau4849[[#This Row],[DEVISE]])</f>
        <v>EURUSD</v>
      </c>
      <c r="AN106" s="35">
        <f>IFERROR(IF(Tableau4849[[#This Row],[INDEX]]&lt;3,"",Tableau4849[[#This Row],[ATTEINT]]),100000)</f>
        <v>100000</v>
      </c>
      <c r="AO106" s="35">
        <f>IF(Tableau4849[[#This Row],[INDEX]]&lt;3,"",Tableau4849[[#This Row],[COMPTE]])</f>
        <v>925832</v>
      </c>
      <c r="AP106" s="35" t="str">
        <f>IF(Tableau4849[[#This Row],[INDEX]]&lt;3,"","NON")</f>
        <v>NON</v>
      </c>
      <c r="AQ106" s="35" t="str">
        <f>IF(Tableau4849[[#This Row],[INDEX]]&lt;3,"",IF(Tableau4849[[#This Row],[0,5]]&lt;0,"NEGATIF",""))</f>
        <v/>
      </c>
    </row>
    <row r="107" spans="1:43" x14ac:dyDescent="0.25">
      <c r="A107" s="24">
        <v>15</v>
      </c>
      <c r="B107" s="32">
        <v>44923.425324074073</v>
      </c>
      <c r="C107" s="26">
        <v>925832</v>
      </c>
      <c r="D107" s="24" t="s">
        <v>0</v>
      </c>
      <c r="E107" s="24" t="s">
        <v>47</v>
      </c>
      <c r="F107" s="24">
        <v>1.0641400000000001</v>
      </c>
      <c r="G107" s="26">
        <v>4000</v>
      </c>
      <c r="H107" s="27" t="s">
        <v>147</v>
      </c>
      <c r="I107" s="28" t="str">
        <f>IF(IFERROR(_xlfn.XLOOKUP(Tableau4849[[#This Row],[SL]],'[1]Tickets (2)'!J104:J898,'[1]Tickets (2)'!I107:I901),"")=0,"",IFERROR(_xlfn.XLOOKUP(Tableau4849[[#This Row],[SL]],'[1]Tickets (2)'!J104:J898,'[1]Tickets (2)'!I107:I901),""))</f>
        <v/>
      </c>
      <c r="J107">
        <v>1</v>
      </c>
      <c r="K10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7" s="33">
        <v>44923.631425115738</v>
      </c>
      <c r="N107" s="3" t="str">
        <f>IF(Tableau4849[[#This Row],[T CLOSE]]&gt;[1]CONFIGURATION!$K$4,Tableau4849[[#This Row],[IDENTITE]],"")</f>
        <v/>
      </c>
      <c r="O107" s="26">
        <f>IFERROR(Tableau4849[[#This Row],[SL]]/(Tableau4849[[#This Row],[VOLUME]]/$I$5),0)</f>
        <v>0</v>
      </c>
      <c r="P107" s="26" t="str">
        <f>Tableau4849[[#This Row],[COMMAND]]</f>
        <v>BUY</v>
      </c>
      <c r="Q10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1.06287 M1M1</v>
      </c>
      <c r="R107" s="29">
        <v>17</v>
      </c>
      <c r="S107" s="26" t="str">
        <f>IF(Tableau4849[[#This Row],[ETAT]]="LOSE",IF(IFERROR(ABS(SUBSTITUTE(Tableau4849[[#This Row],[PRICE]],".",",")-'[1]Deal ticket'!$B$16)*1000,"")&lt;=$S$5,"GO","WAIT"),"")</f>
        <v/>
      </c>
      <c r="T10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7" s="34" t="str">
        <f>IF(Tableau4849[[#This Row],[ETAT]]="LOSE",IF(IFERROR(ABS(SUBSTITUTE(Tableau4849[[#This Row],[PRICE]],".",",")-'[1]Deal ticket'!$B$16)*1000,"")&lt;=$U$5,"GO","WAIT"),"")</f>
        <v/>
      </c>
      <c r="V107" s="26">
        <f>IF(Tableau4849[[#This Row],[INDEX]]&lt;3,"",SUMIFS(Tableau4849[SL],Tableau4849[Colonne5],Tableau4849[[#This Row],[Colonne5]])+$S$4)</f>
        <v>1</v>
      </c>
      <c r="W107" s="34" t="str">
        <f>IF(Tableau4849[[#This Row],[ETAT]]="LOSE",IF(IFERROR(ABS(SUBSTITUTE(Tableau4849[[#This Row],[PRICE]],".",",")-'[1]Deal ticket'!$B$16)*1000,"")&lt;=$W$5,"GO","WAIT"),"")</f>
        <v/>
      </c>
      <c r="X10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7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07" s="26" t="str">
        <f>IF(AND(Tableau4849[[#This Row],[3,8]]=1),Tableau4849[[#This Row],[INDEX]],"")</f>
        <v/>
      </c>
      <c r="AC107" s="26" t="str">
        <f ca="1">IF(IFERROR(_xlfn.XLOOKUP(Tableau4849[[#This Row],[IDENTITE]],[1]!Tableau47[GLOBUY],[1]!Tableau47[GLOBUY]),"")="","",1)</f>
        <v/>
      </c>
      <c r="AD107" s="26" t="str">
        <f>IF(IFERROR(_xlfn.XLOOKUP(Tableau4849[[#This Row],[IDENTITE]],[1]!Tableau47[GLOSELL],[1]!Tableau47[GLOSELL]),"")="","",1)</f>
        <v/>
      </c>
      <c r="AE107" s="26"/>
      <c r="AF107" s="26">
        <f>IF(Tableau4849[[#This Row],[INDEX]]&lt;3,"",IF(Tableau4849[[#This Row],[COMMAND]]="","",IF('[1]Bar history'!$AA$33=1,1,"")))</f>
        <v>1</v>
      </c>
      <c r="AG107" s="26"/>
      <c r="AH107" s="26" t="str">
        <f>IF(IFERROR(_xlfn.XLOOKUP(Tableau4849[[#This Row],[IDENTITE]],[1]!Tableau47[COMMENTAIRE],[1]!Tableau47[CLOTURE]),"")=[1]PARAMETRE!$BK$31,Tableau4849[[#This Row],[INDEX]],"")</f>
        <v/>
      </c>
      <c r="AI107" s="26"/>
      <c r="AJ107" s="35" t="str">
        <f>IF(AND(ISNUMBER(SEARCH("BUY",Tableau4849[[#This Row],[COMMAND]]))),"BUYSTOP",IF(AND(ISNUMBER(SEARCH("SELL",Tableau4849[[#This Row],[COMMAND]]))),"SELLSTOP",""))</f>
        <v>BUYSTOP</v>
      </c>
      <c r="AK107" s="35" t="str">
        <f>IFERROR(SUBSTITUTE(Tableau4849[[#This Row],[PRICE]],",","."),"")</f>
        <v>1.06414</v>
      </c>
      <c r="AL107" s="35" t="str">
        <f>IF(Tableau4849[[#This Row],[INDEX]]&lt;3,"",Tableau4849[[#This Row],[IDENTITE]])</f>
        <v>1 RBRB B 1.06287 M1M1</v>
      </c>
      <c r="AM107" s="35" t="str">
        <f>IF(Tableau4849[[#This Row],[INDEX]]&lt;3,"",Tableau4849[[#This Row],[DEVISE]])</f>
        <v>EURUSD</v>
      </c>
      <c r="AN107" s="35">
        <f>IFERROR(IF(Tableau4849[[#This Row],[INDEX]]&lt;3,"",Tableau4849[[#This Row],[ATTEINT]]),100000)</f>
        <v>100000</v>
      </c>
      <c r="AO107" s="35">
        <f>IF(Tableau4849[[#This Row],[INDEX]]&lt;3,"",Tableau4849[[#This Row],[COMPTE]])</f>
        <v>925832</v>
      </c>
      <c r="AP107" s="35" t="str">
        <f>IF(Tableau4849[[#This Row],[INDEX]]&lt;3,"","NON")</f>
        <v>NON</v>
      </c>
      <c r="AQ107" s="35" t="str">
        <f>IF(Tableau4849[[#This Row],[INDEX]]&lt;3,"",IF(Tableau4849[[#This Row],[0,5]]&lt;0,"NEGATIF",""))</f>
        <v/>
      </c>
    </row>
    <row r="108" spans="1:43" x14ac:dyDescent="0.25">
      <c r="A108" s="24">
        <v>16</v>
      </c>
      <c r="B108" s="32">
        <v>44923.420416666668</v>
      </c>
      <c r="C108" s="26">
        <v>925832</v>
      </c>
      <c r="D108" s="24" t="s">
        <v>0</v>
      </c>
      <c r="E108" s="24" t="s">
        <v>46</v>
      </c>
      <c r="F108" s="24">
        <v>1.06351</v>
      </c>
      <c r="G108" s="26">
        <v>3000</v>
      </c>
      <c r="H108" s="27" t="s">
        <v>148</v>
      </c>
      <c r="I108" s="28" t="str">
        <f>IF(IFERROR(_xlfn.XLOOKUP(Tableau4849[[#This Row],[SL]],'[1]Tickets (2)'!J105:J899,'[1]Tickets (2)'!I108:I902),"")=0,"",IFERROR(_xlfn.XLOOKUP(Tableau4849[[#This Row],[SL]],'[1]Tickets (2)'!J105:J899,'[1]Tickets (2)'!I108:I902),""))</f>
        <v/>
      </c>
      <c r="J108">
        <v>1</v>
      </c>
      <c r="K10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8" s="33">
        <v>44923.631425115738</v>
      </c>
      <c r="N108" s="3" t="str">
        <f>IF(Tableau4849[[#This Row],[T CLOSE]]&gt;[1]CONFIGURATION!$K$4,Tableau4849[[#This Row],[IDENTITE]],"")</f>
        <v/>
      </c>
      <c r="O108" s="26">
        <f>IFERROR(Tableau4849[[#This Row],[SL]]/(Tableau4849[[#This Row],[VOLUME]]/$I$5),0)</f>
        <v>0</v>
      </c>
      <c r="P108" s="26" t="str">
        <f>Tableau4849[[#This Row],[COMMAND]]</f>
        <v>SELL</v>
      </c>
      <c r="Q10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1.06432 M1M1</v>
      </c>
      <c r="R108" s="29">
        <v>18</v>
      </c>
      <c r="S108" s="26" t="str">
        <f>IF(Tableau4849[[#This Row],[ETAT]]="LOSE",IF(IFERROR(ABS(SUBSTITUTE(Tableau4849[[#This Row],[PRICE]],".",",")-'[1]Deal ticket'!$B$16)*1000,"")&lt;=$S$5,"GO","WAIT"),"")</f>
        <v/>
      </c>
      <c r="T10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8" s="34" t="str">
        <f>IF(Tableau4849[[#This Row],[ETAT]]="LOSE",IF(IFERROR(ABS(SUBSTITUTE(Tableau4849[[#This Row],[PRICE]],".",",")-'[1]Deal ticket'!$B$16)*1000,"")&lt;=$U$5,"GO","WAIT"),"")</f>
        <v/>
      </c>
      <c r="V108" s="26">
        <f>IF(Tableau4849[[#This Row],[INDEX]]&lt;3,"",SUMIFS(Tableau4849[SL],Tableau4849[Colonne5],Tableau4849[[#This Row],[Colonne5]])+$S$4)</f>
        <v>1</v>
      </c>
      <c r="W108" s="34" t="str">
        <f>IF(Tableau4849[[#This Row],[ETAT]]="LOSE",IF(IFERROR(ABS(SUBSTITUTE(Tableau4849[[#This Row],[PRICE]],".",",")-'[1]Deal ticket'!$B$16)*1000,"")&lt;=$W$5,"GO","WAIT"),"")</f>
        <v/>
      </c>
      <c r="X10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8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08" s="26" t="str">
        <f>IF(AND(Tableau4849[[#This Row],[3,8]]=1),Tableau4849[[#This Row],[INDEX]],"")</f>
        <v/>
      </c>
      <c r="AC108" s="26" t="str">
        <f ca="1">IF(IFERROR(_xlfn.XLOOKUP(Tableau4849[[#This Row],[IDENTITE]],[1]!Tableau47[GLOBUY],[1]!Tableau47[GLOBUY]),"")="","",1)</f>
        <v/>
      </c>
      <c r="AD108" s="26" t="str">
        <f>IF(IFERROR(_xlfn.XLOOKUP(Tableau4849[[#This Row],[IDENTITE]],[1]!Tableau47[GLOSELL],[1]!Tableau47[GLOSELL]),"")="","",1)</f>
        <v/>
      </c>
      <c r="AE108" s="26"/>
      <c r="AF108" s="26">
        <f>IF(Tableau4849[[#This Row],[INDEX]]&lt;3,"",IF(Tableau4849[[#This Row],[COMMAND]]="","",IF('[1]Bar history'!$AA$33=1,1,"")))</f>
        <v>1</v>
      </c>
      <c r="AG108" s="26"/>
      <c r="AH108" s="26" t="str">
        <f>IF(IFERROR(_xlfn.XLOOKUP(Tableau4849[[#This Row],[IDENTITE]],[1]!Tableau47[COMMENTAIRE],[1]!Tableau47[CLOTURE]),"")=[1]PARAMETRE!$BK$31,Tableau4849[[#This Row],[INDEX]],"")</f>
        <v/>
      </c>
      <c r="AI108" s="26"/>
      <c r="AJ108" s="35" t="str">
        <f>IF(AND(ISNUMBER(SEARCH("BUY",Tableau4849[[#This Row],[COMMAND]]))),"BUYSTOP",IF(AND(ISNUMBER(SEARCH("SELL",Tableau4849[[#This Row],[COMMAND]]))),"SELLSTOP",""))</f>
        <v>SELLSTOP</v>
      </c>
      <c r="AK108" s="35" t="str">
        <f>IFERROR(SUBSTITUTE(Tableau4849[[#This Row],[PRICE]],",","."),"")</f>
        <v>1.06351</v>
      </c>
      <c r="AL108" s="35" t="str">
        <f>IF(Tableau4849[[#This Row],[INDEX]]&lt;3,"",Tableau4849[[#This Row],[IDENTITE]])</f>
        <v>1 RSRS S 1.06432 M1M1</v>
      </c>
      <c r="AM108" s="35" t="str">
        <f>IF(Tableau4849[[#This Row],[INDEX]]&lt;3,"",Tableau4849[[#This Row],[DEVISE]])</f>
        <v>EURUSD</v>
      </c>
      <c r="AN108" s="35">
        <f>IFERROR(IF(Tableau4849[[#This Row],[INDEX]]&lt;3,"",Tableau4849[[#This Row],[ATTEINT]]),100000)</f>
        <v>100000</v>
      </c>
      <c r="AO108" s="35">
        <f>IF(Tableau4849[[#This Row],[INDEX]]&lt;3,"",Tableau4849[[#This Row],[COMPTE]])</f>
        <v>925832</v>
      </c>
      <c r="AP108" s="35" t="str">
        <f>IF(Tableau4849[[#This Row],[INDEX]]&lt;3,"","NON")</f>
        <v>NON</v>
      </c>
      <c r="AQ108" s="35" t="str">
        <f>IF(Tableau4849[[#This Row],[INDEX]]&lt;3,"",IF(Tableau4849[[#This Row],[0,5]]&lt;0,"NEGATIF",""))</f>
        <v/>
      </c>
    </row>
    <row r="109" spans="1:43" x14ac:dyDescent="0.25">
      <c r="A109" s="24">
        <v>17</v>
      </c>
      <c r="B109" s="32">
        <v>44923.417280092595</v>
      </c>
      <c r="C109" s="26">
        <v>925832</v>
      </c>
      <c r="D109" s="24" t="s">
        <v>0</v>
      </c>
      <c r="E109" s="24" t="s">
        <v>47</v>
      </c>
      <c r="F109" s="24">
        <v>1.0643400000000001</v>
      </c>
      <c r="G109" s="26">
        <v>3000</v>
      </c>
      <c r="H109" s="27" t="s">
        <v>150</v>
      </c>
      <c r="I109" s="28" t="str">
        <f>IF(IFERROR(_xlfn.XLOOKUP(Tableau4849[[#This Row],[SL]],'[1]Tickets (2)'!J106:J900,'[1]Tickets (2)'!I109:I903),"")=0,"",IFERROR(_xlfn.XLOOKUP(Tableau4849[[#This Row],[SL]],'[1]Tickets (2)'!J106:J900,'[1]Tickets (2)'!I109:I903),""))</f>
        <v/>
      </c>
      <c r="J109">
        <v>1</v>
      </c>
      <c r="K10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09" s="33">
        <v>44923.631425115738</v>
      </c>
      <c r="N109" s="3" t="str">
        <f>IF(Tableau4849[[#This Row],[T CLOSE]]&gt;[1]CONFIGURATION!$K$4,Tableau4849[[#This Row],[IDENTITE]],"")</f>
        <v/>
      </c>
      <c r="O109" s="26">
        <f>IFERROR(Tableau4849[[#This Row],[SL]]/(Tableau4849[[#This Row],[VOLUME]]/$I$5),0)</f>
        <v>0</v>
      </c>
      <c r="P109" s="26" t="str">
        <f>Tableau4849[[#This Row],[COMMAND]]</f>
        <v>BUY</v>
      </c>
      <c r="Q10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1.06288 M1M1</v>
      </c>
      <c r="R109" s="29">
        <v>19</v>
      </c>
      <c r="S109" s="26" t="str">
        <f>IF(Tableau4849[[#This Row],[ETAT]]="LOSE",IF(IFERROR(ABS(SUBSTITUTE(Tableau4849[[#This Row],[PRICE]],".",",")-'[1]Deal ticket'!$B$16)*1000,"")&lt;=$S$5,"GO","WAIT"),"")</f>
        <v/>
      </c>
      <c r="T10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09" s="34" t="str">
        <f>IF(Tableau4849[[#This Row],[ETAT]]="LOSE",IF(IFERROR(ABS(SUBSTITUTE(Tableau4849[[#This Row],[PRICE]],".",",")-'[1]Deal ticket'!$B$16)*1000,"")&lt;=$U$5,"GO","WAIT"),"")</f>
        <v/>
      </c>
      <c r="V109" s="26">
        <f>IF(Tableau4849[[#This Row],[INDEX]]&lt;3,"",SUMIFS(Tableau4849[SL],Tableau4849[Colonne5],Tableau4849[[#This Row],[Colonne5]])+$S$4)</f>
        <v>1</v>
      </c>
      <c r="W109" s="34" t="str">
        <f>IF(Tableau4849[[#This Row],[ETAT]]="LOSE",IF(IFERROR(ABS(SUBSTITUTE(Tableau4849[[#This Row],[PRICE]],".",",")-'[1]Deal ticket'!$B$16)*1000,"")&lt;=$W$5,"GO","WAIT"),"")</f>
        <v/>
      </c>
      <c r="X10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0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0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09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09" s="26" t="str">
        <f>IF(AND(Tableau4849[[#This Row],[3,8]]=1),Tableau4849[[#This Row],[INDEX]],"")</f>
        <v/>
      </c>
      <c r="AC109" s="26" t="str">
        <f ca="1">IF(IFERROR(_xlfn.XLOOKUP(Tableau4849[[#This Row],[IDENTITE]],[1]!Tableau47[GLOBUY],[1]!Tableau47[GLOBUY]),"")="","",1)</f>
        <v/>
      </c>
      <c r="AD109" s="26" t="str">
        <f>IF(IFERROR(_xlfn.XLOOKUP(Tableau4849[[#This Row],[IDENTITE]],[1]!Tableau47[GLOSELL],[1]!Tableau47[GLOSELL]),"")="","",1)</f>
        <v/>
      </c>
      <c r="AE109" s="26"/>
      <c r="AF109" s="26">
        <f>IF(Tableau4849[[#This Row],[INDEX]]&lt;3,"",IF(Tableau4849[[#This Row],[COMMAND]]="","",IF('[1]Bar history'!$AA$33=1,1,"")))</f>
        <v>1</v>
      </c>
      <c r="AG109" s="26"/>
      <c r="AH109" s="26" t="str">
        <f>IF(IFERROR(_xlfn.XLOOKUP(Tableau4849[[#This Row],[IDENTITE]],[1]!Tableau47[COMMENTAIRE],[1]!Tableau47[CLOTURE]),"")=[1]PARAMETRE!$BK$31,Tableau4849[[#This Row],[INDEX]],"")</f>
        <v/>
      </c>
      <c r="AI109" s="26"/>
      <c r="AJ109" s="35" t="str">
        <f>IF(AND(ISNUMBER(SEARCH("BUY",Tableau4849[[#This Row],[COMMAND]]))),"BUYSTOP",IF(AND(ISNUMBER(SEARCH("SELL",Tableau4849[[#This Row],[COMMAND]]))),"SELLSTOP",""))</f>
        <v>BUYSTOP</v>
      </c>
      <c r="AK109" s="35" t="str">
        <f>IFERROR(SUBSTITUTE(Tableau4849[[#This Row],[PRICE]],",","."),"")</f>
        <v>1.06434</v>
      </c>
      <c r="AL109" s="35" t="str">
        <f>IF(Tableau4849[[#This Row],[INDEX]]&lt;3,"",Tableau4849[[#This Row],[IDENTITE]])</f>
        <v>1 RBRB B 1.06288 M1M1</v>
      </c>
      <c r="AM109" s="35" t="str">
        <f>IF(Tableau4849[[#This Row],[INDEX]]&lt;3,"",Tableau4849[[#This Row],[DEVISE]])</f>
        <v>EURUSD</v>
      </c>
      <c r="AN109" s="35">
        <f>IFERROR(IF(Tableau4849[[#This Row],[INDEX]]&lt;3,"",Tableau4849[[#This Row],[ATTEINT]]),100000)</f>
        <v>100000</v>
      </c>
      <c r="AO109" s="35">
        <f>IF(Tableau4849[[#This Row],[INDEX]]&lt;3,"",Tableau4849[[#This Row],[COMPTE]])</f>
        <v>925832</v>
      </c>
      <c r="AP109" s="35" t="str">
        <f>IF(Tableau4849[[#This Row],[INDEX]]&lt;3,"","NON")</f>
        <v>NON</v>
      </c>
      <c r="AQ109" s="35" t="str">
        <f>IF(Tableau4849[[#This Row],[INDEX]]&lt;3,"",IF(Tableau4849[[#This Row],[0,5]]&lt;0,"NEGATIF",""))</f>
        <v/>
      </c>
    </row>
    <row r="110" spans="1:43" x14ac:dyDescent="0.25">
      <c r="A110" s="24">
        <v>18</v>
      </c>
      <c r="B110" s="32">
        <v>44923.416284722225</v>
      </c>
      <c r="C110" s="26">
        <v>925832</v>
      </c>
      <c r="D110" s="24" t="s">
        <v>0</v>
      </c>
      <c r="E110" s="24" t="s">
        <v>47</v>
      </c>
      <c r="F110" s="24">
        <v>1.0644800000000001</v>
      </c>
      <c r="G110" s="26">
        <v>4000</v>
      </c>
      <c r="H110" s="27" t="s">
        <v>151</v>
      </c>
      <c r="I110" s="28" t="str">
        <f>IF(IFERROR(_xlfn.XLOOKUP(Tableau4849[[#This Row],[SL]],'[1]Tickets (2)'!J107:J901,'[1]Tickets (2)'!I110:I904),"")=0,"",IFERROR(_xlfn.XLOOKUP(Tableau4849[[#This Row],[SL]],'[1]Tickets (2)'!J107:J901,'[1]Tickets (2)'!I110:I904),""))</f>
        <v/>
      </c>
      <c r="J110">
        <v>1</v>
      </c>
      <c r="K11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0" s="33">
        <v>44923.631425115738</v>
      </c>
      <c r="N110" s="3" t="str">
        <f>IF(Tableau4849[[#This Row],[T CLOSE]]&gt;[1]CONFIGURATION!$K$4,Tableau4849[[#This Row],[IDENTITE]],"")</f>
        <v/>
      </c>
      <c r="O110" s="26">
        <f>IFERROR(Tableau4849[[#This Row],[SL]]/(Tableau4849[[#This Row],[VOLUME]]/$I$5),0)</f>
        <v>0</v>
      </c>
      <c r="P110" s="26" t="str">
        <f>Tableau4849[[#This Row],[COMMAND]]</f>
        <v>BUY</v>
      </c>
      <c r="Q11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1.06296 M1M1</v>
      </c>
      <c r="R110" s="29">
        <v>20</v>
      </c>
      <c r="S110" s="26" t="str">
        <f>IF(Tableau4849[[#This Row],[ETAT]]="LOSE",IF(IFERROR(ABS(SUBSTITUTE(Tableau4849[[#This Row],[PRICE]],".",",")-'[1]Deal ticket'!$B$16)*1000,"")&lt;=$S$5,"GO","WAIT"),"")</f>
        <v/>
      </c>
      <c r="T11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0" s="34" t="str">
        <f>IF(Tableau4849[[#This Row],[ETAT]]="LOSE",IF(IFERROR(ABS(SUBSTITUTE(Tableau4849[[#This Row],[PRICE]],".",",")-'[1]Deal ticket'!$B$16)*1000,"")&lt;=$U$5,"GO","WAIT"),"")</f>
        <v/>
      </c>
      <c r="V110" s="26">
        <f>IF(Tableau4849[[#This Row],[INDEX]]&lt;3,"",SUMIFS(Tableau4849[SL],Tableau4849[Colonne5],Tableau4849[[#This Row],[Colonne5]])+$S$4)</f>
        <v>1</v>
      </c>
      <c r="W110" s="34" t="str">
        <f>IF(Tableau4849[[#This Row],[ETAT]]="LOSE",IF(IFERROR(ABS(SUBSTITUTE(Tableau4849[[#This Row],[PRICE]],".",",")-'[1]Deal ticket'!$B$16)*1000,"")&lt;=$W$5,"GO","WAIT"),"")</f>
        <v/>
      </c>
      <c r="X11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0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10" s="26" t="str">
        <f>IF(AND(Tableau4849[[#This Row],[3,8]]=1),Tableau4849[[#This Row],[INDEX]],"")</f>
        <v/>
      </c>
      <c r="AC110" s="26" t="str">
        <f ca="1">IF(IFERROR(_xlfn.XLOOKUP(Tableau4849[[#This Row],[IDENTITE]],[1]!Tableau47[GLOBUY],[1]!Tableau47[GLOBUY]),"")="","",1)</f>
        <v/>
      </c>
      <c r="AD110" s="26" t="str">
        <f>IF(IFERROR(_xlfn.XLOOKUP(Tableau4849[[#This Row],[IDENTITE]],[1]!Tableau47[GLOSELL],[1]!Tableau47[GLOSELL]),"")="","",1)</f>
        <v/>
      </c>
      <c r="AE110" s="26"/>
      <c r="AF110" s="26">
        <f>IF(Tableau4849[[#This Row],[INDEX]]&lt;3,"",IF(Tableau4849[[#This Row],[COMMAND]]="","",IF('[1]Bar history'!$AA$33=1,1,"")))</f>
        <v>1</v>
      </c>
      <c r="AG110" s="26"/>
      <c r="AH110" s="26" t="str">
        <f>IF(IFERROR(_xlfn.XLOOKUP(Tableau4849[[#This Row],[IDENTITE]],[1]!Tableau47[COMMENTAIRE],[1]!Tableau47[CLOTURE]),"")=[1]PARAMETRE!$BK$31,Tableau4849[[#This Row],[INDEX]],"")</f>
        <v/>
      </c>
      <c r="AI110" s="26"/>
      <c r="AJ110" s="35" t="str">
        <f>IF(AND(ISNUMBER(SEARCH("BUY",Tableau4849[[#This Row],[COMMAND]]))),"BUYSTOP",IF(AND(ISNUMBER(SEARCH("SELL",Tableau4849[[#This Row],[COMMAND]]))),"SELLSTOP",""))</f>
        <v>BUYSTOP</v>
      </c>
      <c r="AK110" s="35" t="str">
        <f>IFERROR(SUBSTITUTE(Tableau4849[[#This Row],[PRICE]],",","."),"")</f>
        <v>1.06448</v>
      </c>
      <c r="AL110" s="35" t="str">
        <f>IF(Tableau4849[[#This Row],[INDEX]]&lt;3,"",Tableau4849[[#This Row],[IDENTITE]])</f>
        <v>1 RBRB B 1.06296 M1M1</v>
      </c>
      <c r="AM110" s="35" t="str">
        <f>IF(Tableau4849[[#This Row],[INDEX]]&lt;3,"",Tableau4849[[#This Row],[DEVISE]])</f>
        <v>EURUSD</v>
      </c>
      <c r="AN110" s="35">
        <f>IFERROR(IF(Tableau4849[[#This Row],[INDEX]]&lt;3,"",Tableau4849[[#This Row],[ATTEINT]]),100000)</f>
        <v>100000</v>
      </c>
      <c r="AO110" s="35">
        <f>IF(Tableau4849[[#This Row],[INDEX]]&lt;3,"",Tableau4849[[#This Row],[COMPTE]])</f>
        <v>925832</v>
      </c>
      <c r="AP110" s="35" t="str">
        <f>IF(Tableau4849[[#This Row],[INDEX]]&lt;3,"","NON")</f>
        <v>NON</v>
      </c>
      <c r="AQ110" s="35" t="str">
        <f>IF(Tableau4849[[#This Row],[INDEX]]&lt;3,"",IF(Tableau4849[[#This Row],[0,5]]&lt;0,"NEGATIF",""))</f>
        <v/>
      </c>
    </row>
    <row r="111" spans="1:43" x14ac:dyDescent="0.25">
      <c r="A111" s="24">
        <v>19</v>
      </c>
      <c r="B111" s="32">
        <v>44923.415949074071</v>
      </c>
      <c r="C111" s="26">
        <v>925832</v>
      </c>
      <c r="D111" s="24" t="s">
        <v>0</v>
      </c>
      <c r="E111" s="24" t="s">
        <v>47</v>
      </c>
      <c r="F111" s="24">
        <v>1.06464</v>
      </c>
      <c r="G111" s="26">
        <v>4000</v>
      </c>
      <c r="H111" s="27" t="s">
        <v>152</v>
      </c>
      <c r="I111" s="28" t="str">
        <f>IF(IFERROR(_xlfn.XLOOKUP(Tableau4849[[#This Row],[SL]],'[1]Tickets (2)'!J108:J902,'[1]Tickets (2)'!I111:I905),"")=0,"",IFERROR(_xlfn.XLOOKUP(Tableau4849[[#This Row],[SL]],'[1]Tickets (2)'!J108:J902,'[1]Tickets (2)'!I111:I905),""))</f>
        <v/>
      </c>
      <c r="J111">
        <v>1</v>
      </c>
      <c r="K11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1" s="33">
        <v>44923.631425115738</v>
      </c>
      <c r="N111" s="3" t="str">
        <f>IF(Tableau4849[[#This Row],[T CLOSE]]&gt;[1]CONFIGURATION!$K$4,Tableau4849[[#This Row],[IDENTITE]],"")</f>
        <v/>
      </c>
      <c r="O111" s="26">
        <f>IFERROR(Tableau4849[[#This Row],[SL]]/(Tableau4849[[#This Row],[VOLUME]]/$I$5),0)</f>
        <v>0</v>
      </c>
      <c r="P111" s="26" t="str">
        <f>Tableau4849[[#This Row],[COMMAND]]</f>
        <v>BUY</v>
      </c>
      <c r="Q11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1.06316 M1M1</v>
      </c>
      <c r="R111" s="29">
        <v>-1046</v>
      </c>
      <c r="S111" s="26" t="str">
        <f>IF(Tableau4849[[#This Row],[ETAT]]="LOSE",IF(IFERROR(ABS(SUBSTITUTE(Tableau4849[[#This Row],[PRICE]],".",",")-'[1]Deal ticket'!$B$16)*1000,"")&lt;=$S$5,"GO","WAIT"),"")</f>
        <v/>
      </c>
      <c r="T11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1" s="34" t="str">
        <f>IF(Tableau4849[[#This Row],[ETAT]]="LOSE",IF(IFERROR(ABS(SUBSTITUTE(Tableau4849[[#This Row],[PRICE]],".",",")-'[1]Deal ticket'!$B$16)*1000,"")&lt;=$U$5,"GO","WAIT"),"")</f>
        <v/>
      </c>
      <c r="V111" s="26">
        <f>IF(Tableau4849[[#This Row],[INDEX]]&lt;3,"",SUMIFS(Tableau4849[SL],Tableau4849[Colonne5],Tableau4849[[#This Row],[Colonne5]])+$S$4)</f>
        <v>1</v>
      </c>
      <c r="W111" s="34" t="str">
        <f>IF(Tableau4849[[#This Row],[ETAT]]="LOSE",IF(IFERROR(ABS(SUBSTITUTE(Tableau4849[[#This Row],[PRICE]],".",",")-'[1]Deal ticket'!$B$16)*1000,"")&lt;=$W$5,"GO","WAIT"),"")</f>
        <v/>
      </c>
      <c r="X11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1" s="26">
        <f>IF(AND(Tableau4849[[#This Row],[3,8]]=1),Tableau4849[[#This Row],[INDEX]],"")</f>
        <v>19</v>
      </c>
      <c r="AC111" s="26" t="str">
        <f ca="1">IF(IFERROR(_xlfn.XLOOKUP(Tableau4849[[#This Row],[IDENTITE]],[1]!Tableau47[GLOBUY],[1]!Tableau47[GLOBUY]),"")="","",1)</f>
        <v/>
      </c>
      <c r="AD111" s="26" t="str">
        <f>IF(IFERROR(_xlfn.XLOOKUP(Tableau4849[[#This Row],[IDENTITE]],[1]!Tableau47[GLOSELL],[1]!Tableau47[GLOSELL]),"")="","",1)</f>
        <v/>
      </c>
      <c r="AE111" s="26"/>
      <c r="AF111" s="26">
        <f>IF(Tableau4849[[#This Row],[INDEX]]&lt;3,"",IF(Tableau4849[[#This Row],[COMMAND]]="","",IF('[1]Bar history'!$AA$33=1,1,"")))</f>
        <v>1</v>
      </c>
      <c r="AG111" s="26"/>
      <c r="AH111" s="26" t="str">
        <f>IF(IFERROR(_xlfn.XLOOKUP(Tableau4849[[#This Row],[IDENTITE]],[1]!Tableau47[COMMENTAIRE],[1]!Tableau47[CLOTURE]),"")=[1]PARAMETRE!$BK$31,Tableau4849[[#This Row],[INDEX]],"")</f>
        <v/>
      </c>
      <c r="AI111" s="26"/>
      <c r="AJ111" s="35" t="str">
        <f>IF(AND(ISNUMBER(SEARCH("BUY",Tableau4849[[#This Row],[COMMAND]]))),"BUYSTOP",IF(AND(ISNUMBER(SEARCH("SELL",Tableau4849[[#This Row],[COMMAND]]))),"SELLSTOP",""))</f>
        <v>BUYSTOP</v>
      </c>
      <c r="AK111" s="35" t="str">
        <f>IFERROR(SUBSTITUTE(Tableau4849[[#This Row],[PRICE]],",","."),"")</f>
        <v>1.06464</v>
      </c>
      <c r="AL111" s="35" t="str">
        <f>IF(Tableau4849[[#This Row],[INDEX]]&lt;3,"",Tableau4849[[#This Row],[IDENTITE]])</f>
        <v>1 RBRB B 1.06316 M1M1</v>
      </c>
      <c r="AM111" s="35" t="str">
        <f>IF(Tableau4849[[#This Row],[INDEX]]&lt;3,"",Tableau4849[[#This Row],[DEVISE]])</f>
        <v>EURUSD</v>
      </c>
      <c r="AN111" s="35">
        <f>IFERROR(IF(Tableau4849[[#This Row],[INDEX]]&lt;3,"",Tableau4849[[#This Row],[ATTEINT]]),100000)</f>
        <v>100000</v>
      </c>
      <c r="AO111" s="35">
        <f>IF(Tableau4849[[#This Row],[INDEX]]&lt;3,"",Tableau4849[[#This Row],[COMPTE]])</f>
        <v>925832</v>
      </c>
      <c r="AP111" s="35" t="str">
        <f>IF(Tableau4849[[#This Row],[INDEX]]&lt;3,"","NON")</f>
        <v>NON</v>
      </c>
      <c r="AQ111" s="35" t="str">
        <f>IF(Tableau4849[[#This Row],[INDEX]]&lt;3,"",IF(Tableau4849[[#This Row],[0,5]]&lt;0,"NEGATIF",""))</f>
        <v>NEGATIF</v>
      </c>
    </row>
    <row r="112" spans="1:43" x14ac:dyDescent="0.25">
      <c r="A112" s="24">
        <v>20</v>
      </c>
      <c r="B112" s="32">
        <v>44923.415671296294</v>
      </c>
      <c r="C112" s="26">
        <v>925832</v>
      </c>
      <c r="D112" s="24" t="s">
        <v>0</v>
      </c>
      <c r="E112" s="24" t="s">
        <v>47</v>
      </c>
      <c r="F112" s="24">
        <v>1.0648200000000001</v>
      </c>
      <c r="G112" s="26">
        <v>4000</v>
      </c>
      <c r="H112" s="27" t="s">
        <v>153</v>
      </c>
      <c r="I112" s="28" t="str">
        <f>IF(IFERROR(_xlfn.XLOOKUP(Tableau4849[[#This Row],[SL]],'[1]Tickets (2)'!J109:J903,'[1]Tickets (2)'!I112:I906),"")=0,"",IFERROR(_xlfn.XLOOKUP(Tableau4849[[#This Row],[SL]],'[1]Tickets (2)'!J109:J903,'[1]Tickets (2)'!I112:I906),""))</f>
        <v/>
      </c>
      <c r="J112">
        <v>1</v>
      </c>
      <c r="K11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2" s="33">
        <v>44923.631425115738</v>
      </c>
      <c r="N112" s="3" t="str">
        <f>IF(Tableau4849[[#This Row],[T CLOSE]]&gt;[1]CONFIGURATION!$K$4,Tableau4849[[#This Row],[IDENTITE]],"")</f>
        <v/>
      </c>
      <c r="O112" s="26">
        <f>IFERROR(Tableau4849[[#This Row],[SL]]/(Tableau4849[[#This Row],[VOLUME]]/$I$5),0)</f>
        <v>0</v>
      </c>
      <c r="P112" s="26" t="str">
        <f>Tableau4849[[#This Row],[COMMAND]]</f>
        <v>BUY</v>
      </c>
      <c r="Q11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1.06322 M1M1</v>
      </c>
      <c r="R112" s="29">
        <v>-1056</v>
      </c>
      <c r="S112" s="26" t="str">
        <f>IF(Tableau4849[[#This Row],[ETAT]]="LOSE",IF(IFERROR(ABS(SUBSTITUTE(Tableau4849[[#This Row],[PRICE]],".",",")-'[1]Deal ticket'!$B$16)*1000,"")&lt;=$S$5,"GO","WAIT"),"")</f>
        <v/>
      </c>
      <c r="T11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2" s="34" t="str">
        <f>IF(Tableau4849[[#This Row],[ETAT]]="LOSE",IF(IFERROR(ABS(SUBSTITUTE(Tableau4849[[#This Row],[PRICE]],".",",")-'[1]Deal ticket'!$B$16)*1000,"")&lt;=$U$5,"GO","WAIT"),"")</f>
        <v/>
      </c>
      <c r="V112" s="26">
        <f>IF(Tableau4849[[#This Row],[INDEX]]&lt;3,"",SUMIFS(Tableau4849[SL],Tableau4849[Colonne5],Tableau4849[[#This Row],[Colonne5]])+$S$4)</f>
        <v>1</v>
      </c>
      <c r="W112" s="34" t="str">
        <f>IF(Tableau4849[[#This Row],[ETAT]]="LOSE",IF(IFERROR(ABS(SUBSTITUTE(Tableau4849[[#This Row],[PRICE]],".",",")-'[1]Deal ticket'!$B$16)*1000,"")&lt;=$W$5,"GO","WAIT"),"")</f>
        <v/>
      </c>
      <c r="X11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2" s="26">
        <f>IF(AND(Tableau4849[[#This Row],[3,8]]=1),Tableau4849[[#This Row],[INDEX]],"")</f>
        <v>20</v>
      </c>
      <c r="AC112" s="26" t="str">
        <f ca="1">IF(IFERROR(_xlfn.XLOOKUP(Tableau4849[[#This Row],[IDENTITE]],[1]!Tableau47[GLOBUY],[1]!Tableau47[GLOBUY]),"")="","",1)</f>
        <v/>
      </c>
      <c r="AD112" s="26" t="str">
        <f>IF(IFERROR(_xlfn.XLOOKUP(Tableau4849[[#This Row],[IDENTITE]],[1]!Tableau47[GLOSELL],[1]!Tableau47[GLOSELL]),"")="","",1)</f>
        <v/>
      </c>
      <c r="AE112" s="26"/>
      <c r="AF112" s="26">
        <f>IF(Tableau4849[[#This Row],[INDEX]]&lt;3,"",IF(Tableau4849[[#This Row],[COMMAND]]="","",IF('[1]Bar history'!$AA$33=1,1,"")))</f>
        <v>1</v>
      </c>
      <c r="AG112" s="26"/>
      <c r="AH112" s="26" t="str">
        <f>IF(IFERROR(_xlfn.XLOOKUP(Tableau4849[[#This Row],[IDENTITE]],[1]!Tableau47[COMMENTAIRE],[1]!Tableau47[CLOTURE]),"")=[1]PARAMETRE!$BK$31,Tableau4849[[#This Row],[INDEX]],"")</f>
        <v/>
      </c>
      <c r="AI112" s="26"/>
      <c r="AJ112" s="35" t="str">
        <f>IF(AND(ISNUMBER(SEARCH("BUY",Tableau4849[[#This Row],[COMMAND]]))),"BUYSTOP",IF(AND(ISNUMBER(SEARCH("SELL",Tableau4849[[#This Row],[COMMAND]]))),"SELLSTOP",""))</f>
        <v>BUYSTOP</v>
      </c>
      <c r="AK112" s="35" t="str">
        <f>IFERROR(SUBSTITUTE(Tableau4849[[#This Row],[PRICE]],",","."),"")</f>
        <v>1.06482</v>
      </c>
      <c r="AL112" s="35" t="str">
        <f>IF(Tableau4849[[#This Row],[INDEX]]&lt;3,"",Tableau4849[[#This Row],[IDENTITE]])</f>
        <v>1 RBRB B 1.06322 M1M1</v>
      </c>
      <c r="AM112" s="35" t="str">
        <f>IF(Tableau4849[[#This Row],[INDEX]]&lt;3,"",Tableau4849[[#This Row],[DEVISE]])</f>
        <v>EURUSD</v>
      </c>
      <c r="AN112" s="35">
        <f>IFERROR(IF(Tableau4849[[#This Row],[INDEX]]&lt;3,"",Tableau4849[[#This Row],[ATTEINT]]),100000)</f>
        <v>100000</v>
      </c>
      <c r="AO112" s="35">
        <f>IF(Tableau4849[[#This Row],[INDEX]]&lt;3,"",Tableau4849[[#This Row],[COMPTE]])</f>
        <v>925832</v>
      </c>
      <c r="AP112" s="35" t="str">
        <f>IF(Tableau4849[[#This Row],[INDEX]]&lt;3,"","NON")</f>
        <v>NON</v>
      </c>
      <c r="AQ112" s="35" t="str">
        <f>IF(Tableau4849[[#This Row],[INDEX]]&lt;3,"",IF(Tableau4849[[#This Row],[0,5]]&lt;0,"NEGATIF",""))</f>
        <v>NEGATIF</v>
      </c>
    </row>
    <row r="113" spans="1:43" x14ac:dyDescent="0.25">
      <c r="A113" s="24">
        <v>21</v>
      </c>
      <c r="B113" s="32">
        <v>44923.415069444447</v>
      </c>
      <c r="C113" s="26">
        <v>925832</v>
      </c>
      <c r="D113" s="24" t="s">
        <v>0</v>
      </c>
      <c r="E113" s="24" t="s">
        <v>47</v>
      </c>
      <c r="F113" s="24">
        <v>1.0645899999999999</v>
      </c>
      <c r="G113" s="26">
        <v>3000</v>
      </c>
      <c r="H113" s="27" t="s">
        <v>155</v>
      </c>
      <c r="I113" s="28" t="str">
        <f>IF(IFERROR(_xlfn.XLOOKUP(Tableau4849[[#This Row],[SL]],'[1]Tickets (2)'!J110:J904,'[1]Tickets (2)'!I113:I907),"")=0,"",IFERROR(_xlfn.XLOOKUP(Tableau4849[[#This Row],[SL]],'[1]Tickets (2)'!J110:J904,'[1]Tickets (2)'!I113:I907),""))</f>
        <v/>
      </c>
      <c r="J113">
        <v>1</v>
      </c>
      <c r="K11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3" s="33">
        <v>44923.631425115738</v>
      </c>
      <c r="N113" s="3" t="str">
        <f>IF(Tableau4849[[#This Row],[T CLOSE]]&gt;[1]CONFIGURATION!$K$4,Tableau4849[[#This Row],[IDENTITE]],"")</f>
        <v/>
      </c>
      <c r="O113" s="26">
        <f>IFERROR(Tableau4849[[#This Row],[SL]]/(Tableau4849[[#This Row],[VOLUME]]/$I$5),0)</f>
        <v>0</v>
      </c>
      <c r="P113" s="26" t="str">
        <f>Tableau4849[[#This Row],[COMMAND]]</f>
        <v>BUY</v>
      </c>
      <c r="Q11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1.06315 M1M1</v>
      </c>
      <c r="R113" s="29">
        <v>-1066</v>
      </c>
      <c r="S113" s="26" t="str">
        <f>IF(Tableau4849[[#This Row],[ETAT]]="LOSE",IF(IFERROR(ABS(SUBSTITUTE(Tableau4849[[#This Row],[PRICE]],".",",")-'[1]Deal ticket'!$B$16)*1000,"")&lt;=$S$5,"GO","WAIT"),"")</f>
        <v/>
      </c>
      <c r="T11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3" s="34" t="str">
        <f>IF(Tableau4849[[#This Row],[ETAT]]="LOSE",IF(IFERROR(ABS(SUBSTITUTE(Tableau4849[[#This Row],[PRICE]],".",",")-'[1]Deal ticket'!$B$16)*1000,"")&lt;=$U$5,"GO","WAIT"),"")</f>
        <v/>
      </c>
      <c r="V113" s="26">
        <f>IF(Tableau4849[[#This Row],[INDEX]]&lt;3,"",SUMIFS(Tableau4849[SL],Tableau4849[Colonne5],Tableau4849[[#This Row],[Colonne5]])+$S$4)</f>
        <v>1</v>
      </c>
      <c r="W113" s="34" t="str">
        <f>IF(Tableau4849[[#This Row],[ETAT]]="LOSE",IF(IFERROR(ABS(SUBSTITUTE(Tableau4849[[#This Row],[PRICE]],".",",")-'[1]Deal ticket'!$B$16)*1000,"")&lt;=$W$5,"GO","WAIT"),"")</f>
        <v/>
      </c>
      <c r="X11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3" s="26">
        <f>IF(AND(Tableau4849[[#This Row],[3,8]]=1),Tableau4849[[#This Row],[INDEX]],"")</f>
        <v>21</v>
      </c>
      <c r="AC113" s="26" t="str">
        <f ca="1">IF(IFERROR(_xlfn.XLOOKUP(Tableau4849[[#This Row],[IDENTITE]],[1]!Tableau47[GLOBUY],[1]!Tableau47[GLOBUY]),"")="","",1)</f>
        <v/>
      </c>
      <c r="AD113" s="26" t="str">
        <f>IF(IFERROR(_xlfn.XLOOKUP(Tableau4849[[#This Row],[IDENTITE]],[1]!Tableau47[GLOSELL],[1]!Tableau47[GLOSELL]),"")="","",1)</f>
        <v/>
      </c>
      <c r="AE113" s="26"/>
      <c r="AF113" s="26">
        <f>IF(Tableau4849[[#This Row],[INDEX]]&lt;3,"",IF(Tableau4849[[#This Row],[COMMAND]]="","",IF('[1]Bar history'!$AA$33=1,1,"")))</f>
        <v>1</v>
      </c>
      <c r="AG113" s="26"/>
      <c r="AH113" s="26" t="str">
        <f>IF(IFERROR(_xlfn.XLOOKUP(Tableau4849[[#This Row],[IDENTITE]],[1]!Tableau47[COMMENTAIRE],[1]!Tableau47[CLOTURE]),"")=[1]PARAMETRE!$BK$31,Tableau4849[[#This Row],[INDEX]],"")</f>
        <v/>
      </c>
      <c r="AI113" s="26"/>
      <c r="AJ113" s="35" t="str">
        <f>IF(AND(ISNUMBER(SEARCH("BUY",Tableau4849[[#This Row],[COMMAND]]))),"BUYSTOP",IF(AND(ISNUMBER(SEARCH("SELL",Tableau4849[[#This Row],[COMMAND]]))),"SELLSTOP",""))</f>
        <v>BUYSTOP</v>
      </c>
      <c r="AK113" s="35" t="str">
        <f>IFERROR(SUBSTITUTE(Tableau4849[[#This Row],[PRICE]],",","."),"")</f>
        <v>1.06459</v>
      </c>
      <c r="AL113" s="35" t="str">
        <f>IF(Tableau4849[[#This Row],[INDEX]]&lt;3,"",Tableau4849[[#This Row],[IDENTITE]])</f>
        <v>1 RBRB B 1.06315 M1M1</v>
      </c>
      <c r="AM113" s="35" t="str">
        <f>IF(Tableau4849[[#This Row],[INDEX]]&lt;3,"",Tableau4849[[#This Row],[DEVISE]])</f>
        <v>EURUSD</v>
      </c>
      <c r="AN113" s="35">
        <f>IFERROR(IF(Tableau4849[[#This Row],[INDEX]]&lt;3,"",Tableau4849[[#This Row],[ATTEINT]]),100000)</f>
        <v>100000</v>
      </c>
      <c r="AO113" s="35">
        <f>IF(Tableau4849[[#This Row],[INDEX]]&lt;3,"",Tableau4849[[#This Row],[COMPTE]])</f>
        <v>925832</v>
      </c>
      <c r="AP113" s="35" t="str">
        <f>IF(Tableau4849[[#This Row],[INDEX]]&lt;3,"","NON")</f>
        <v>NON</v>
      </c>
      <c r="AQ113" s="35" t="str">
        <f>IF(Tableau4849[[#This Row],[INDEX]]&lt;3,"",IF(Tableau4849[[#This Row],[0,5]]&lt;0,"NEGATIF",""))</f>
        <v>NEGATIF</v>
      </c>
    </row>
    <row r="114" spans="1:43" x14ac:dyDescent="0.25">
      <c r="A114" s="24">
        <v>22</v>
      </c>
      <c r="B114" s="32">
        <v>44923.414641203701</v>
      </c>
      <c r="C114" s="26">
        <v>925832</v>
      </c>
      <c r="D114" s="24" t="s">
        <v>0</v>
      </c>
      <c r="E114" s="24" t="s">
        <v>47</v>
      </c>
      <c r="F114" s="24">
        <v>1.0644800000000001</v>
      </c>
      <c r="G114" s="26">
        <v>3000</v>
      </c>
      <c r="H114" s="27" t="s">
        <v>156</v>
      </c>
      <c r="I114" s="28" t="str">
        <f>IF(IFERROR(_xlfn.XLOOKUP(Tableau4849[[#This Row],[SL]],'[1]Tickets (2)'!J111:J905,'[1]Tickets (2)'!I114:I908),"")=0,"",IFERROR(_xlfn.XLOOKUP(Tableau4849[[#This Row],[SL]],'[1]Tickets (2)'!J111:J905,'[1]Tickets (2)'!I114:I908),""))</f>
        <v/>
      </c>
      <c r="J114">
        <v>1</v>
      </c>
      <c r="K11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4" s="33">
        <v>44923.631425115738</v>
      </c>
      <c r="N114" s="3" t="str">
        <f>IF(Tableau4849[[#This Row],[T CLOSE]]&gt;[1]CONFIGURATION!$K$4,Tableau4849[[#This Row],[IDENTITE]],"")</f>
        <v/>
      </c>
      <c r="O114" s="26">
        <f>IFERROR(Tableau4849[[#This Row],[SL]]/(Tableau4849[[#This Row],[VOLUME]]/$I$5),0)</f>
        <v>0</v>
      </c>
      <c r="P114" s="26" t="str">
        <f>Tableau4849[[#This Row],[COMMAND]]</f>
        <v>BUY</v>
      </c>
      <c r="Q11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1.06307 M1M1</v>
      </c>
      <c r="R114" s="29">
        <v>-1076</v>
      </c>
      <c r="S114" s="26" t="str">
        <f>IF(Tableau4849[[#This Row],[ETAT]]="LOSE",IF(IFERROR(ABS(SUBSTITUTE(Tableau4849[[#This Row],[PRICE]],".",",")-'[1]Deal ticket'!$B$16)*1000,"")&lt;=$S$5,"GO","WAIT"),"")</f>
        <v/>
      </c>
      <c r="T11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4" s="34" t="str">
        <f>IF(Tableau4849[[#This Row],[ETAT]]="LOSE",IF(IFERROR(ABS(SUBSTITUTE(Tableau4849[[#This Row],[PRICE]],".",",")-'[1]Deal ticket'!$B$16)*1000,"")&lt;=$U$5,"GO","WAIT"),"")</f>
        <v/>
      </c>
      <c r="V114" s="26">
        <f>IF(Tableau4849[[#This Row],[INDEX]]&lt;3,"",SUMIFS(Tableau4849[SL],Tableau4849[Colonne5],Tableau4849[[#This Row],[Colonne5]])+$S$4)</f>
        <v>1</v>
      </c>
      <c r="W114" s="34" t="str">
        <f>IF(Tableau4849[[#This Row],[ETAT]]="LOSE",IF(IFERROR(ABS(SUBSTITUTE(Tableau4849[[#This Row],[PRICE]],".",",")-'[1]Deal ticket'!$B$16)*1000,"")&lt;=$W$5,"GO","WAIT"),"")</f>
        <v/>
      </c>
      <c r="X11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4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4" s="26">
        <f>IF(AND(Tableau4849[[#This Row],[3,8]]=1),Tableau4849[[#This Row],[INDEX]],"")</f>
        <v>22</v>
      </c>
      <c r="AC114" s="26" t="str">
        <f ca="1">IF(IFERROR(_xlfn.XLOOKUP(Tableau4849[[#This Row],[IDENTITE]],[1]!Tableau47[GLOBUY],[1]!Tableau47[GLOBUY]),"")="","",1)</f>
        <v/>
      </c>
      <c r="AD114" s="26" t="str">
        <f>IF(IFERROR(_xlfn.XLOOKUP(Tableau4849[[#This Row],[IDENTITE]],[1]!Tableau47[GLOSELL],[1]!Tableau47[GLOSELL]),"")="","",1)</f>
        <v/>
      </c>
      <c r="AE114" s="26"/>
      <c r="AF114" s="26">
        <f>IF(Tableau4849[[#This Row],[INDEX]]&lt;3,"",IF(Tableau4849[[#This Row],[COMMAND]]="","",IF('[1]Bar history'!$AA$33=1,1,"")))</f>
        <v>1</v>
      </c>
      <c r="AG114" s="26"/>
      <c r="AH114" s="26" t="str">
        <f>IF(IFERROR(_xlfn.XLOOKUP(Tableau4849[[#This Row],[IDENTITE]],[1]!Tableau47[COMMENTAIRE],[1]!Tableau47[CLOTURE]),"")=[1]PARAMETRE!$BK$31,Tableau4849[[#This Row],[INDEX]],"")</f>
        <v/>
      </c>
      <c r="AI114" s="26"/>
      <c r="AJ114" s="35" t="str">
        <f>IF(AND(ISNUMBER(SEARCH("BUY",Tableau4849[[#This Row],[COMMAND]]))),"BUYSTOP",IF(AND(ISNUMBER(SEARCH("SELL",Tableau4849[[#This Row],[COMMAND]]))),"SELLSTOP",""))</f>
        <v>BUYSTOP</v>
      </c>
      <c r="AK114" s="35" t="str">
        <f>IFERROR(SUBSTITUTE(Tableau4849[[#This Row],[PRICE]],",","."),"")</f>
        <v>1.06448</v>
      </c>
      <c r="AL114" s="35" t="str">
        <f>IF(Tableau4849[[#This Row],[INDEX]]&lt;3,"",Tableau4849[[#This Row],[IDENTITE]])</f>
        <v>1 RBRB B 1.06307 M1M1</v>
      </c>
      <c r="AM114" s="35" t="str">
        <f>IF(Tableau4849[[#This Row],[INDEX]]&lt;3,"",Tableau4849[[#This Row],[DEVISE]])</f>
        <v>EURUSD</v>
      </c>
      <c r="AN114" s="35">
        <f>IFERROR(IF(Tableau4849[[#This Row],[INDEX]]&lt;3,"",Tableau4849[[#This Row],[ATTEINT]]),100000)</f>
        <v>100000</v>
      </c>
      <c r="AO114" s="35">
        <f>IF(Tableau4849[[#This Row],[INDEX]]&lt;3,"",Tableau4849[[#This Row],[COMPTE]])</f>
        <v>925832</v>
      </c>
      <c r="AP114" s="35" t="str">
        <f>IF(Tableau4849[[#This Row],[INDEX]]&lt;3,"","NON")</f>
        <v>NON</v>
      </c>
      <c r="AQ114" s="35" t="str">
        <f>IF(Tableau4849[[#This Row],[INDEX]]&lt;3,"",IF(Tableau4849[[#This Row],[0,5]]&lt;0,"NEGATIF",""))</f>
        <v>NEGATIF</v>
      </c>
    </row>
    <row r="115" spans="1:43" x14ac:dyDescent="0.25">
      <c r="A115" s="24">
        <v>23</v>
      </c>
      <c r="B115" s="32">
        <v>44923.413981481484</v>
      </c>
      <c r="C115" s="26">
        <v>925832</v>
      </c>
      <c r="D115" s="24" t="s">
        <v>0</v>
      </c>
      <c r="E115" s="24" t="s">
        <v>47</v>
      </c>
      <c r="F115" s="24">
        <v>1.0646100000000001</v>
      </c>
      <c r="G115" s="26">
        <v>3000</v>
      </c>
      <c r="H115" s="27" t="s">
        <v>158</v>
      </c>
      <c r="I115" s="28" t="str">
        <f>IF(IFERROR(_xlfn.XLOOKUP(Tableau4849[[#This Row],[SL]],'[1]Tickets (2)'!J112:J906,'[1]Tickets (2)'!I115:I909),"")=0,"",IFERROR(_xlfn.XLOOKUP(Tableau4849[[#This Row],[SL]],'[1]Tickets (2)'!J112:J906,'[1]Tickets (2)'!I115:I909),""))</f>
        <v/>
      </c>
      <c r="J115">
        <v>1</v>
      </c>
      <c r="K11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5" s="33">
        <v>44923.631425115738</v>
      </c>
      <c r="N115" s="3" t="str">
        <f>IF(Tableau4849[[#This Row],[T CLOSE]]&gt;[1]CONFIGURATION!$K$4,Tableau4849[[#This Row],[IDENTITE]],"")</f>
        <v/>
      </c>
      <c r="O115" s="26">
        <f>IFERROR(Tableau4849[[#This Row],[SL]]/(Tableau4849[[#This Row],[VOLUME]]/$I$5),0)</f>
        <v>0</v>
      </c>
      <c r="P115" s="26" t="str">
        <f>Tableau4849[[#This Row],[COMMAND]]</f>
        <v>BUY</v>
      </c>
      <c r="Q11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1.06314 M1M1</v>
      </c>
      <c r="R115" s="29">
        <v>-1086</v>
      </c>
      <c r="S115" s="26" t="str">
        <f>IF(Tableau4849[[#This Row],[ETAT]]="LOSE",IF(IFERROR(ABS(SUBSTITUTE(Tableau4849[[#This Row],[PRICE]],".",",")-'[1]Deal ticket'!$B$16)*1000,"")&lt;=$S$5,"GO","WAIT"),"")</f>
        <v/>
      </c>
      <c r="T11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5" s="34" t="str">
        <f>IF(Tableau4849[[#This Row],[ETAT]]="LOSE",IF(IFERROR(ABS(SUBSTITUTE(Tableau4849[[#This Row],[PRICE]],".",",")-'[1]Deal ticket'!$B$16)*1000,"")&lt;=$U$5,"GO","WAIT"),"")</f>
        <v/>
      </c>
      <c r="V115" s="26">
        <f>IF(Tableau4849[[#This Row],[INDEX]]&lt;3,"",SUMIFS(Tableau4849[SL],Tableau4849[Colonne5],Tableau4849[[#This Row],[Colonne5]])+$S$4)</f>
        <v>1</v>
      </c>
      <c r="W115" s="34" t="str">
        <f>IF(Tableau4849[[#This Row],[ETAT]]="LOSE",IF(IFERROR(ABS(SUBSTITUTE(Tableau4849[[#This Row],[PRICE]],".",",")-'[1]Deal ticket'!$B$16)*1000,"")&lt;=$W$5,"GO","WAIT"),"")</f>
        <v/>
      </c>
      <c r="X11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5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5" s="26">
        <f>IF(AND(Tableau4849[[#This Row],[3,8]]=1),Tableau4849[[#This Row],[INDEX]],"")</f>
        <v>23</v>
      </c>
      <c r="AC115" s="26" t="str">
        <f ca="1">IF(IFERROR(_xlfn.XLOOKUP(Tableau4849[[#This Row],[IDENTITE]],[1]!Tableau47[GLOBUY],[1]!Tableau47[GLOBUY]),"")="","",1)</f>
        <v/>
      </c>
      <c r="AD115" s="26" t="str">
        <f>IF(IFERROR(_xlfn.XLOOKUP(Tableau4849[[#This Row],[IDENTITE]],[1]!Tableau47[GLOSELL],[1]!Tableau47[GLOSELL]),"")="","",1)</f>
        <v/>
      </c>
      <c r="AE115" s="26"/>
      <c r="AF115" s="26">
        <f>IF(Tableau4849[[#This Row],[INDEX]]&lt;3,"",IF(Tableau4849[[#This Row],[COMMAND]]="","",IF('[1]Bar history'!$AA$33=1,1,"")))</f>
        <v>1</v>
      </c>
      <c r="AG115" s="26"/>
      <c r="AH115" s="26" t="str">
        <f>IF(IFERROR(_xlfn.XLOOKUP(Tableau4849[[#This Row],[IDENTITE]],[1]!Tableau47[COMMENTAIRE],[1]!Tableau47[CLOTURE]),"")=[1]PARAMETRE!$BK$31,Tableau4849[[#This Row],[INDEX]],"")</f>
        <v/>
      </c>
      <c r="AI115" s="26"/>
      <c r="AJ115" s="35" t="str">
        <f>IF(AND(ISNUMBER(SEARCH("BUY",Tableau4849[[#This Row],[COMMAND]]))),"BUYSTOP",IF(AND(ISNUMBER(SEARCH("SELL",Tableau4849[[#This Row],[COMMAND]]))),"SELLSTOP",""))</f>
        <v>BUYSTOP</v>
      </c>
      <c r="AK115" s="35" t="str">
        <f>IFERROR(SUBSTITUTE(Tableau4849[[#This Row],[PRICE]],",","."),"")</f>
        <v>1.06461</v>
      </c>
      <c r="AL115" s="35" t="str">
        <f>IF(Tableau4849[[#This Row],[INDEX]]&lt;3,"",Tableau4849[[#This Row],[IDENTITE]])</f>
        <v>1 RBRB B 1.06314 M1M1</v>
      </c>
      <c r="AM115" s="35" t="str">
        <f>IF(Tableau4849[[#This Row],[INDEX]]&lt;3,"",Tableau4849[[#This Row],[DEVISE]])</f>
        <v>EURUSD</v>
      </c>
      <c r="AN115" s="35">
        <f>IFERROR(IF(Tableau4849[[#This Row],[INDEX]]&lt;3,"",Tableau4849[[#This Row],[ATTEINT]]),100000)</f>
        <v>100000</v>
      </c>
      <c r="AO115" s="35">
        <f>IF(Tableau4849[[#This Row],[INDEX]]&lt;3,"",Tableau4849[[#This Row],[COMPTE]])</f>
        <v>925832</v>
      </c>
      <c r="AP115" s="35" t="str">
        <f>IF(Tableau4849[[#This Row],[INDEX]]&lt;3,"","NON")</f>
        <v>NON</v>
      </c>
      <c r="AQ115" s="35" t="str">
        <f>IF(Tableau4849[[#This Row],[INDEX]]&lt;3,"",IF(Tableau4849[[#This Row],[0,5]]&lt;0,"NEGATIF",""))</f>
        <v>NEGATIF</v>
      </c>
    </row>
    <row r="116" spans="1:43" x14ac:dyDescent="0.25">
      <c r="A116" s="24">
        <v>24</v>
      </c>
      <c r="B116" s="32">
        <v>44923.413680555554</v>
      </c>
      <c r="C116" s="26">
        <v>925832</v>
      </c>
      <c r="D116" s="24" t="s">
        <v>0</v>
      </c>
      <c r="E116" s="24" t="s">
        <v>47</v>
      </c>
      <c r="F116" s="24">
        <v>1.0648599999999999</v>
      </c>
      <c r="G116" s="26">
        <v>3000</v>
      </c>
      <c r="H116" s="27" t="s">
        <v>160</v>
      </c>
      <c r="I116" s="28" t="str">
        <f>IF(IFERROR(_xlfn.XLOOKUP(Tableau4849[[#This Row],[SL]],'[1]Tickets (2)'!J113:J907,'[1]Tickets (2)'!I116:I910),"")=0,"",IFERROR(_xlfn.XLOOKUP(Tableau4849[[#This Row],[SL]],'[1]Tickets (2)'!J113:J907,'[1]Tickets (2)'!I116:I910),""))</f>
        <v/>
      </c>
      <c r="J116">
        <v>1</v>
      </c>
      <c r="K11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6" s="33">
        <v>44923.631425115738</v>
      </c>
      <c r="N116" s="3" t="str">
        <f>IF(Tableau4849[[#This Row],[T CLOSE]]&gt;[1]CONFIGURATION!$K$4,Tableau4849[[#This Row],[IDENTITE]],"")</f>
        <v/>
      </c>
      <c r="O116" s="26">
        <f>IFERROR(Tableau4849[[#This Row],[SL]]/(Tableau4849[[#This Row],[VOLUME]]/$I$5),0)</f>
        <v>0</v>
      </c>
      <c r="P116" s="26" t="str">
        <f>Tableau4849[[#This Row],[COMMAND]]</f>
        <v>BUY</v>
      </c>
      <c r="Q11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1.06321 M1M1</v>
      </c>
      <c r="R116" s="29">
        <v>-1096</v>
      </c>
      <c r="S116" s="26" t="str">
        <f>IF(Tableau4849[[#This Row],[ETAT]]="LOSE",IF(IFERROR(ABS(SUBSTITUTE(Tableau4849[[#This Row],[PRICE]],".",",")-'[1]Deal ticket'!$B$16)*1000,"")&lt;=$S$5,"GO","WAIT"),"")</f>
        <v/>
      </c>
      <c r="T11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6" s="34" t="str">
        <f>IF(Tableau4849[[#This Row],[ETAT]]="LOSE",IF(IFERROR(ABS(SUBSTITUTE(Tableau4849[[#This Row],[PRICE]],".",",")-'[1]Deal ticket'!$B$16)*1000,"")&lt;=$U$5,"GO","WAIT"),"")</f>
        <v/>
      </c>
      <c r="V116" s="26">
        <f>IF(Tableau4849[[#This Row],[INDEX]]&lt;3,"",SUMIFS(Tableau4849[SL],Tableau4849[Colonne5],Tableau4849[[#This Row],[Colonne5]])+$S$4)</f>
        <v>1</v>
      </c>
      <c r="W116" s="34" t="str">
        <f>IF(Tableau4849[[#This Row],[ETAT]]="LOSE",IF(IFERROR(ABS(SUBSTITUTE(Tableau4849[[#This Row],[PRICE]],".",",")-'[1]Deal ticket'!$B$16)*1000,"")&lt;=$W$5,"GO","WAIT"),"")</f>
        <v/>
      </c>
      <c r="X11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6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6" s="26">
        <f>IF(AND(Tableau4849[[#This Row],[3,8]]=1),Tableau4849[[#This Row],[INDEX]],"")</f>
        <v>24</v>
      </c>
      <c r="AC116" s="26" t="str">
        <f ca="1">IF(IFERROR(_xlfn.XLOOKUP(Tableau4849[[#This Row],[IDENTITE]],[1]!Tableau47[GLOBUY],[1]!Tableau47[GLOBUY]),"")="","",1)</f>
        <v/>
      </c>
      <c r="AD116" s="26" t="str">
        <f>IF(IFERROR(_xlfn.XLOOKUP(Tableau4849[[#This Row],[IDENTITE]],[1]!Tableau47[GLOSELL],[1]!Tableau47[GLOSELL]),"")="","",1)</f>
        <v/>
      </c>
      <c r="AE116" s="26"/>
      <c r="AF116" s="26">
        <f>IF(Tableau4849[[#This Row],[INDEX]]&lt;3,"",IF(Tableau4849[[#This Row],[COMMAND]]="","",IF('[1]Bar history'!$AA$33=1,1,"")))</f>
        <v>1</v>
      </c>
      <c r="AG116" s="26"/>
      <c r="AH116" s="26" t="str">
        <f>IF(IFERROR(_xlfn.XLOOKUP(Tableau4849[[#This Row],[IDENTITE]],[1]!Tableau47[COMMENTAIRE],[1]!Tableau47[CLOTURE]),"")=[1]PARAMETRE!$BK$31,Tableau4849[[#This Row],[INDEX]],"")</f>
        <v/>
      </c>
      <c r="AI116" s="26"/>
      <c r="AJ116" s="35" t="str">
        <f>IF(AND(ISNUMBER(SEARCH("BUY",Tableau4849[[#This Row],[COMMAND]]))),"BUYSTOP",IF(AND(ISNUMBER(SEARCH("SELL",Tableau4849[[#This Row],[COMMAND]]))),"SELLSTOP",""))</f>
        <v>BUYSTOP</v>
      </c>
      <c r="AK116" s="35" t="str">
        <f>IFERROR(SUBSTITUTE(Tableau4849[[#This Row],[PRICE]],",","."),"")</f>
        <v>1.06486</v>
      </c>
      <c r="AL116" s="35" t="str">
        <f>IF(Tableau4849[[#This Row],[INDEX]]&lt;3,"",Tableau4849[[#This Row],[IDENTITE]])</f>
        <v>1 RBRB B 1.06321 M1M1</v>
      </c>
      <c r="AM116" s="35" t="str">
        <f>IF(Tableau4849[[#This Row],[INDEX]]&lt;3,"",Tableau4849[[#This Row],[DEVISE]])</f>
        <v>EURUSD</v>
      </c>
      <c r="AN116" s="35">
        <f>IFERROR(IF(Tableau4849[[#This Row],[INDEX]]&lt;3,"",Tableau4849[[#This Row],[ATTEINT]]),100000)</f>
        <v>100000</v>
      </c>
      <c r="AO116" s="35">
        <f>IF(Tableau4849[[#This Row],[INDEX]]&lt;3,"",Tableau4849[[#This Row],[COMPTE]])</f>
        <v>925832</v>
      </c>
      <c r="AP116" s="35" t="str">
        <f>IF(Tableau4849[[#This Row],[INDEX]]&lt;3,"","NON")</f>
        <v>NON</v>
      </c>
      <c r="AQ116" s="35" t="str">
        <f>IF(Tableau4849[[#This Row],[INDEX]]&lt;3,"",IF(Tableau4849[[#This Row],[0,5]]&lt;0,"NEGATIF",""))</f>
        <v>NEGATIF</v>
      </c>
    </row>
    <row r="117" spans="1:43" x14ac:dyDescent="0.25">
      <c r="A117" s="24">
        <v>25</v>
      </c>
      <c r="B117" s="32">
        <v>44923.413043981483</v>
      </c>
      <c r="C117" s="26">
        <v>925832</v>
      </c>
      <c r="D117" s="24" t="s">
        <v>0</v>
      </c>
      <c r="E117" s="24" t="s">
        <v>47</v>
      </c>
      <c r="F117" s="24">
        <v>1.0646899999999999</v>
      </c>
      <c r="G117" s="26">
        <v>3000</v>
      </c>
      <c r="H117" s="27" t="s">
        <v>162</v>
      </c>
      <c r="I117" s="28" t="str">
        <f>IF(IFERROR(_xlfn.XLOOKUP(Tableau4849[[#This Row],[SL]],'[1]Tickets (2)'!J114:J908,'[1]Tickets (2)'!I117:I911),"")=0,"",IFERROR(_xlfn.XLOOKUP(Tableau4849[[#This Row],[SL]],'[1]Tickets (2)'!J114:J908,'[1]Tickets (2)'!I117:I911),""))</f>
        <v/>
      </c>
      <c r="J117">
        <v>1</v>
      </c>
      <c r="K11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7" s="33">
        <v>44923.631425115738</v>
      </c>
      <c r="N117" s="3" t="str">
        <f>IF(Tableau4849[[#This Row],[T CLOSE]]&gt;[1]CONFIGURATION!$K$4,Tableau4849[[#This Row],[IDENTITE]],"")</f>
        <v/>
      </c>
      <c r="O117" s="26">
        <f>IFERROR(Tableau4849[[#This Row],[SL]]/(Tableau4849[[#This Row],[VOLUME]]/$I$5),0)</f>
        <v>0</v>
      </c>
      <c r="P117" s="26" t="str">
        <f>Tableau4849[[#This Row],[COMMAND]]</f>
        <v>BUY</v>
      </c>
      <c r="Q11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1.06304 M1M1</v>
      </c>
      <c r="R117" s="29">
        <v>-1106</v>
      </c>
      <c r="S117" s="26" t="str">
        <f>IF(Tableau4849[[#This Row],[ETAT]]="LOSE",IF(IFERROR(ABS(SUBSTITUTE(Tableau4849[[#This Row],[PRICE]],".",",")-'[1]Deal ticket'!$B$16)*1000,"")&lt;=$S$5,"GO","WAIT"),"")</f>
        <v/>
      </c>
      <c r="T11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7" s="34" t="str">
        <f>IF(Tableau4849[[#This Row],[ETAT]]="LOSE",IF(IFERROR(ABS(SUBSTITUTE(Tableau4849[[#This Row],[PRICE]],".",",")-'[1]Deal ticket'!$B$16)*1000,"")&lt;=$U$5,"GO","WAIT"),"")</f>
        <v/>
      </c>
      <c r="V117" s="26">
        <f>IF(Tableau4849[[#This Row],[INDEX]]&lt;3,"",SUMIFS(Tableau4849[SL],Tableau4849[Colonne5],Tableau4849[[#This Row],[Colonne5]])+$S$4)</f>
        <v>1</v>
      </c>
      <c r="W117" s="34" t="str">
        <f>IF(Tableau4849[[#This Row],[ETAT]]="LOSE",IF(IFERROR(ABS(SUBSTITUTE(Tableau4849[[#This Row],[PRICE]],".",",")-'[1]Deal ticket'!$B$16)*1000,"")&lt;=$W$5,"GO","WAIT"),"")</f>
        <v/>
      </c>
      <c r="X11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7" s="26">
        <f>IF(AND(Tableau4849[[#This Row],[3,8]]=1),Tableau4849[[#This Row],[INDEX]],"")</f>
        <v>25</v>
      </c>
      <c r="AC117" s="26" t="str">
        <f ca="1">IF(IFERROR(_xlfn.XLOOKUP(Tableau4849[[#This Row],[IDENTITE]],[1]!Tableau47[GLOBUY],[1]!Tableau47[GLOBUY]),"")="","",1)</f>
        <v/>
      </c>
      <c r="AD117" s="26" t="str">
        <f>IF(IFERROR(_xlfn.XLOOKUP(Tableau4849[[#This Row],[IDENTITE]],[1]!Tableau47[GLOSELL],[1]!Tableau47[GLOSELL]),"")="","",1)</f>
        <v/>
      </c>
      <c r="AE117" s="26"/>
      <c r="AF117" s="26">
        <f>IF(Tableau4849[[#This Row],[INDEX]]&lt;3,"",IF(Tableau4849[[#This Row],[COMMAND]]="","",IF('[1]Bar history'!$AA$33=1,1,"")))</f>
        <v>1</v>
      </c>
      <c r="AG117" s="26"/>
      <c r="AH117" s="26" t="str">
        <f>IF(IFERROR(_xlfn.XLOOKUP(Tableau4849[[#This Row],[IDENTITE]],[1]!Tableau47[COMMENTAIRE],[1]!Tableau47[CLOTURE]),"")=[1]PARAMETRE!$BK$31,Tableau4849[[#This Row],[INDEX]],"")</f>
        <v/>
      </c>
      <c r="AI117" s="26"/>
      <c r="AJ117" s="35" t="str">
        <f>IF(AND(ISNUMBER(SEARCH("BUY",Tableau4849[[#This Row],[COMMAND]]))),"BUYSTOP",IF(AND(ISNUMBER(SEARCH("SELL",Tableau4849[[#This Row],[COMMAND]]))),"SELLSTOP",""))</f>
        <v>BUYSTOP</v>
      </c>
      <c r="AK117" s="35" t="str">
        <f>IFERROR(SUBSTITUTE(Tableau4849[[#This Row],[PRICE]],",","."),"")</f>
        <v>1.06469</v>
      </c>
      <c r="AL117" s="35" t="str">
        <f>IF(Tableau4849[[#This Row],[INDEX]]&lt;3,"",Tableau4849[[#This Row],[IDENTITE]])</f>
        <v>1 RBRB B 1.06304 M1M1</v>
      </c>
      <c r="AM117" s="35" t="str">
        <f>IF(Tableau4849[[#This Row],[INDEX]]&lt;3,"",Tableau4849[[#This Row],[DEVISE]])</f>
        <v>EURUSD</v>
      </c>
      <c r="AN117" s="35">
        <f>IFERROR(IF(Tableau4849[[#This Row],[INDEX]]&lt;3,"",Tableau4849[[#This Row],[ATTEINT]]),100000)</f>
        <v>100000</v>
      </c>
      <c r="AO117" s="35">
        <f>IF(Tableau4849[[#This Row],[INDEX]]&lt;3,"",Tableau4849[[#This Row],[COMPTE]])</f>
        <v>925832</v>
      </c>
      <c r="AP117" s="35" t="str">
        <f>IF(Tableau4849[[#This Row],[INDEX]]&lt;3,"","NON")</f>
        <v>NON</v>
      </c>
      <c r="AQ117" s="35" t="str">
        <f>IF(Tableau4849[[#This Row],[INDEX]]&lt;3,"",IF(Tableau4849[[#This Row],[0,5]]&lt;0,"NEGATIF",""))</f>
        <v>NEGATIF</v>
      </c>
    </row>
    <row r="118" spans="1:43" x14ac:dyDescent="0.25">
      <c r="A118" s="24">
        <v>26</v>
      </c>
      <c r="B118" s="32">
        <v>44923.412268518521</v>
      </c>
      <c r="C118" s="26">
        <v>925832</v>
      </c>
      <c r="D118" s="24" t="s">
        <v>0</v>
      </c>
      <c r="E118" s="24" t="s">
        <v>47</v>
      </c>
      <c r="F118" s="24">
        <v>1.0648299999999999</v>
      </c>
      <c r="G118" s="26">
        <v>3000</v>
      </c>
      <c r="H118" s="27" t="s">
        <v>4</v>
      </c>
      <c r="I118" s="28" t="str">
        <f>IF(IFERROR(_xlfn.XLOOKUP(Tableau4849[[#This Row],[SL]],'[1]Tickets (2)'!J115:J909,'[1]Tickets (2)'!I118:I912),"")=0,"",IFERROR(_xlfn.XLOOKUP(Tableau4849[[#This Row],[SL]],'[1]Tickets (2)'!J115:J909,'[1]Tickets (2)'!I118:I912),""))</f>
        <v/>
      </c>
      <c r="J118">
        <v>1</v>
      </c>
      <c r="K11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8" s="33">
        <v>44923.631425115738</v>
      </c>
      <c r="N118" s="3" t="str">
        <f>IF(Tableau4849[[#This Row],[T CLOSE]]&gt;[1]CONFIGURATION!$K$4,Tableau4849[[#This Row],[IDENTITE]],"")</f>
        <v/>
      </c>
      <c r="O118" s="26">
        <f>IFERROR(Tableau4849[[#This Row],[SL]]/(Tableau4849[[#This Row],[VOLUME]]/$I$5),0)</f>
        <v>0</v>
      </c>
      <c r="P118" s="26" t="str">
        <f>Tableau4849[[#This Row],[COMMAND]]</f>
        <v>BUY</v>
      </c>
      <c r="Q11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1.0633 M1M1</v>
      </c>
      <c r="R118" s="29">
        <v>-1116</v>
      </c>
      <c r="S118" s="26" t="str">
        <f>IF(Tableau4849[[#This Row],[ETAT]]="LOSE",IF(IFERROR(ABS(SUBSTITUTE(Tableau4849[[#This Row],[PRICE]],".",",")-'[1]Deal ticket'!$B$16)*1000,"")&lt;=$S$5,"GO","WAIT"),"")</f>
        <v/>
      </c>
      <c r="T11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8" s="34" t="str">
        <f>IF(Tableau4849[[#This Row],[ETAT]]="LOSE",IF(IFERROR(ABS(SUBSTITUTE(Tableau4849[[#This Row],[PRICE]],".",",")-'[1]Deal ticket'!$B$16)*1000,"")&lt;=$U$5,"GO","WAIT"),"")</f>
        <v/>
      </c>
      <c r="V118" s="26">
        <f>IF(Tableau4849[[#This Row],[INDEX]]&lt;3,"",SUMIFS(Tableau4849[SL],Tableau4849[Colonne5],Tableau4849[[#This Row],[Colonne5]])+$S$4)</f>
        <v>1</v>
      </c>
      <c r="W118" s="34" t="str">
        <f>IF(Tableau4849[[#This Row],[ETAT]]="LOSE",IF(IFERROR(ABS(SUBSTITUTE(Tableau4849[[#This Row],[PRICE]],".",",")-'[1]Deal ticket'!$B$16)*1000,"")&lt;=$W$5,"GO","WAIT"),"")</f>
        <v/>
      </c>
      <c r="X11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8" s="26">
        <f>IF(AND(Tableau4849[[#This Row],[3,8]]=1),Tableau4849[[#This Row],[INDEX]],"")</f>
        <v>26</v>
      </c>
      <c r="AC118" s="26" t="str">
        <f ca="1">IF(IFERROR(_xlfn.XLOOKUP(Tableau4849[[#This Row],[IDENTITE]],[1]!Tableau47[GLOBUY],[1]!Tableau47[GLOBUY]),"")="","",1)</f>
        <v/>
      </c>
      <c r="AD118" s="26" t="str">
        <f>IF(IFERROR(_xlfn.XLOOKUP(Tableau4849[[#This Row],[IDENTITE]],[1]!Tableau47[GLOSELL],[1]!Tableau47[GLOSELL]),"")="","",1)</f>
        <v/>
      </c>
      <c r="AE118" s="26"/>
      <c r="AF118" s="26">
        <f>IF(Tableau4849[[#This Row],[INDEX]]&lt;3,"",IF(Tableau4849[[#This Row],[COMMAND]]="","",IF('[1]Bar history'!$AA$33=1,1,"")))</f>
        <v>1</v>
      </c>
      <c r="AG118" s="26"/>
      <c r="AH118" s="26" t="str">
        <f>IF(IFERROR(_xlfn.XLOOKUP(Tableau4849[[#This Row],[IDENTITE]],[1]!Tableau47[COMMENTAIRE],[1]!Tableau47[CLOTURE]),"")=[1]PARAMETRE!$BK$31,Tableau4849[[#This Row],[INDEX]],"")</f>
        <v/>
      </c>
      <c r="AI118" s="26"/>
      <c r="AJ118" s="35" t="str">
        <f>IF(AND(ISNUMBER(SEARCH("BUY",Tableau4849[[#This Row],[COMMAND]]))),"BUYSTOP",IF(AND(ISNUMBER(SEARCH("SELL",Tableau4849[[#This Row],[COMMAND]]))),"SELLSTOP",""))</f>
        <v>BUYSTOP</v>
      </c>
      <c r="AK118" s="35" t="str">
        <f>IFERROR(SUBSTITUTE(Tableau4849[[#This Row],[PRICE]],",","."),"")</f>
        <v>1.06483</v>
      </c>
      <c r="AL118" s="35" t="str">
        <f>IF(Tableau4849[[#This Row],[INDEX]]&lt;3,"",Tableau4849[[#This Row],[IDENTITE]])</f>
        <v>1 RBRB B 1.0633 M1M1</v>
      </c>
      <c r="AM118" s="35" t="str">
        <f>IF(Tableau4849[[#This Row],[INDEX]]&lt;3,"",Tableau4849[[#This Row],[DEVISE]])</f>
        <v>EURUSD</v>
      </c>
      <c r="AN118" s="35">
        <f>IFERROR(IF(Tableau4849[[#This Row],[INDEX]]&lt;3,"",Tableau4849[[#This Row],[ATTEINT]]),100000)</f>
        <v>100000</v>
      </c>
      <c r="AO118" s="35">
        <f>IF(Tableau4849[[#This Row],[INDEX]]&lt;3,"",Tableau4849[[#This Row],[COMPTE]])</f>
        <v>925832</v>
      </c>
      <c r="AP118" s="35" t="str">
        <f>IF(Tableau4849[[#This Row],[INDEX]]&lt;3,"","NON")</f>
        <v>NON</v>
      </c>
      <c r="AQ118" s="35" t="str">
        <f>IF(Tableau4849[[#This Row],[INDEX]]&lt;3,"",IF(Tableau4849[[#This Row],[0,5]]&lt;0,"NEGATIF",""))</f>
        <v>NEGATIF</v>
      </c>
    </row>
    <row r="119" spans="1:43" x14ac:dyDescent="0.25">
      <c r="A119" s="24">
        <v>27</v>
      </c>
      <c r="B119" s="32">
        <v>44923.411712962959</v>
      </c>
      <c r="C119" s="26">
        <v>925832</v>
      </c>
      <c r="D119" s="24" t="s">
        <v>0</v>
      </c>
      <c r="E119" s="24" t="s">
        <v>47</v>
      </c>
      <c r="F119" s="24">
        <v>1.0646899999999999</v>
      </c>
      <c r="G119" s="26">
        <v>3000</v>
      </c>
      <c r="H119" s="27" t="s">
        <v>163</v>
      </c>
      <c r="I119" s="28" t="str">
        <f>IF(IFERROR(_xlfn.XLOOKUP(Tableau4849[[#This Row],[SL]],'[1]Tickets (2)'!J116:J910,'[1]Tickets (2)'!I119:I913),"")=0,"",IFERROR(_xlfn.XLOOKUP(Tableau4849[[#This Row],[SL]],'[1]Tickets (2)'!J116:J910,'[1]Tickets (2)'!I119:I913),""))</f>
        <v/>
      </c>
      <c r="J119">
        <v>1</v>
      </c>
      <c r="K11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19" s="33">
        <v>44923.631425115738</v>
      </c>
      <c r="N119" s="3" t="str">
        <f>IF(Tableau4849[[#This Row],[T CLOSE]]&gt;[1]CONFIGURATION!$K$4,Tableau4849[[#This Row],[IDENTITE]],"")</f>
        <v/>
      </c>
      <c r="O119" s="26">
        <f>IFERROR(Tableau4849[[#This Row],[SL]]/(Tableau4849[[#This Row],[VOLUME]]/$I$5),0)</f>
        <v>0</v>
      </c>
      <c r="P119" s="26" t="str">
        <f>Tableau4849[[#This Row],[COMMAND]]</f>
        <v>BUY</v>
      </c>
      <c r="Q11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1.0632 M1M1</v>
      </c>
      <c r="R119" s="29">
        <v>-1126</v>
      </c>
      <c r="S119" s="26" t="str">
        <f>IF(Tableau4849[[#This Row],[ETAT]]="LOSE",IF(IFERROR(ABS(SUBSTITUTE(Tableau4849[[#This Row],[PRICE]],".",",")-'[1]Deal ticket'!$B$16)*1000,"")&lt;=$S$5,"GO","WAIT"),"")</f>
        <v/>
      </c>
      <c r="T11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19" s="34" t="str">
        <f>IF(Tableau4849[[#This Row],[ETAT]]="LOSE",IF(IFERROR(ABS(SUBSTITUTE(Tableau4849[[#This Row],[PRICE]],".",",")-'[1]Deal ticket'!$B$16)*1000,"")&lt;=$U$5,"GO","WAIT"),"")</f>
        <v/>
      </c>
      <c r="V119" s="26">
        <f>IF(Tableau4849[[#This Row],[INDEX]]&lt;3,"",SUMIFS(Tableau4849[SL],Tableau4849[Colonne5],Tableau4849[[#This Row],[Colonne5]])+$S$4)</f>
        <v>1</v>
      </c>
      <c r="W119" s="34" t="str">
        <f>IF(Tableau4849[[#This Row],[ETAT]]="LOSE",IF(IFERROR(ABS(SUBSTITUTE(Tableau4849[[#This Row],[PRICE]],".",",")-'[1]Deal ticket'!$B$16)*1000,"")&lt;=$W$5,"GO","WAIT"),"")</f>
        <v/>
      </c>
      <c r="X11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1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1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1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19" s="26">
        <f>IF(AND(Tableau4849[[#This Row],[3,8]]=1),Tableau4849[[#This Row],[INDEX]],"")</f>
        <v>27</v>
      </c>
      <c r="AC119" s="26" t="str">
        <f ca="1">IF(IFERROR(_xlfn.XLOOKUP(Tableau4849[[#This Row],[IDENTITE]],[1]!Tableau47[GLOBUY],[1]!Tableau47[GLOBUY]),"")="","",1)</f>
        <v/>
      </c>
      <c r="AD119" s="26" t="str">
        <f>IF(IFERROR(_xlfn.XLOOKUP(Tableau4849[[#This Row],[IDENTITE]],[1]!Tableau47[GLOSELL],[1]!Tableau47[GLOSELL]),"")="","",1)</f>
        <v/>
      </c>
      <c r="AE119" s="26"/>
      <c r="AF119" s="26">
        <f>IF(Tableau4849[[#This Row],[INDEX]]&lt;3,"",IF(Tableau4849[[#This Row],[COMMAND]]="","",IF('[1]Bar history'!$AA$33=1,1,"")))</f>
        <v>1</v>
      </c>
      <c r="AG119" s="26"/>
      <c r="AH119" s="26" t="str">
        <f>IF(IFERROR(_xlfn.XLOOKUP(Tableau4849[[#This Row],[IDENTITE]],[1]!Tableau47[COMMENTAIRE],[1]!Tableau47[CLOTURE]),"")=[1]PARAMETRE!$BK$31,Tableau4849[[#This Row],[INDEX]],"")</f>
        <v/>
      </c>
      <c r="AI119" s="26"/>
      <c r="AJ119" s="35" t="str">
        <f>IF(AND(ISNUMBER(SEARCH("BUY",Tableau4849[[#This Row],[COMMAND]]))),"BUYSTOP",IF(AND(ISNUMBER(SEARCH("SELL",Tableau4849[[#This Row],[COMMAND]]))),"SELLSTOP",""))</f>
        <v>BUYSTOP</v>
      </c>
      <c r="AK119" s="35" t="str">
        <f>IFERROR(SUBSTITUTE(Tableau4849[[#This Row],[PRICE]],",","."),"")</f>
        <v>1.06469</v>
      </c>
      <c r="AL119" s="35" t="str">
        <f>IF(Tableau4849[[#This Row],[INDEX]]&lt;3,"",Tableau4849[[#This Row],[IDENTITE]])</f>
        <v>1 RBRB B 1.0632 M1M1</v>
      </c>
      <c r="AM119" s="35" t="str">
        <f>IF(Tableau4849[[#This Row],[INDEX]]&lt;3,"",Tableau4849[[#This Row],[DEVISE]])</f>
        <v>EURUSD</v>
      </c>
      <c r="AN119" s="35">
        <f>IFERROR(IF(Tableau4849[[#This Row],[INDEX]]&lt;3,"",Tableau4849[[#This Row],[ATTEINT]]),100000)</f>
        <v>100000</v>
      </c>
      <c r="AO119" s="35">
        <f>IF(Tableau4849[[#This Row],[INDEX]]&lt;3,"",Tableau4849[[#This Row],[COMPTE]])</f>
        <v>925832</v>
      </c>
      <c r="AP119" s="35" t="str">
        <f>IF(Tableau4849[[#This Row],[INDEX]]&lt;3,"","NON")</f>
        <v>NON</v>
      </c>
      <c r="AQ119" s="35" t="str">
        <f>IF(Tableau4849[[#This Row],[INDEX]]&lt;3,"",IF(Tableau4849[[#This Row],[0,5]]&lt;0,"NEGATIF",""))</f>
        <v>NEGATIF</v>
      </c>
    </row>
    <row r="120" spans="1:43" x14ac:dyDescent="0.25">
      <c r="A120" s="24">
        <v>28</v>
      </c>
      <c r="B120" s="32">
        <v>44923.410185185188</v>
      </c>
      <c r="C120" s="26">
        <v>925832</v>
      </c>
      <c r="D120" s="24" t="s">
        <v>0</v>
      </c>
      <c r="E120" s="24" t="s">
        <v>47</v>
      </c>
      <c r="F120" s="24">
        <v>1.0645800000000001</v>
      </c>
      <c r="G120" s="26">
        <v>3000</v>
      </c>
      <c r="H120" s="27" t="s">
        <v>165</v>
      </c>
      <c r="I120" s="28" t="str">
        <f>IF(IFERROR(_xlfn.XLOOKUP(Tableau4849[[#This Row],[SL]],'[1]Tickets (2)'!J117:J911,'[1]Tickets (2)'!I120:I914),"")=0,"",IFERROR(_xlfn.XLOOKUP(Tableau4849[[#This Row],[SL]],'[1]Tickets (2)'!J117:J911,'[1]Tickets (2)'!I120:I914),""))</f>
        <v/>
      </c>
      <c r="J120">
        <v>1</v>
      </c>
      <c r="K12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0" s="33">
        <v>44923.631425115738</v>
      </c>
      <c r="N120" s="3" t="str">
        <f>IF(Tableau4849[[#This Row],[T CLOSE]]&gt;[1]CONFIGURATION!$K$4,Tableau4849[[#This Row],[IDENTITE]],"")</f>
        <v/>
      </c>
      <c r="O120" s="26">
        <f>IFERROR(Tableau4849[[#This Row],[SL]]/(Tableau4849[[#This Row],[VOLUME]]/$I$5),0)</f>
        <v>0</v>
      </c>
      <c r="P120" s="26" t="str">
        <f>Tableau4849[[#This Row],[COMMAND]]</f>
        <v>BUY</v>
      </c>
      <c r="Q12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1.06306 M1M1</v>
      </c>
      <c r="R120" s="29">
        <v>-1136</v>
      </c>
      <c r="S120" s="26" t="str">
        <f>IF(Tableau4849[[#This Row],[ETAT]]="LOSE",IF(IFERROR(ABS(SUBSTITUTE(Tableau4849[[#This Row],[PRICE]],".",",")-'[1]Deal ticket'!$B$16)*1000,"")&lt;=$S$5,"GO","WAIT"),"")</f>
        <v/>
      </c>
      <c r="T12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0" s="34" t="str">
        <f>IF(Tableau4849[[#This Row],[ETAT]]="LOSE",IF(IFERROR(ABS(SUBSTITUTE(Tableau4849[[#This Row],[PRICE]],".",",")-'[1]Deal ticket'!$B$16)*1000,"")&lt;=$U$5,"GO","WAIT"),"")</f>
        <v/>
      </c>
      <c r="V120" s="26">
        <f>IF(Tableau4849[[#This Row],[INDEX]]&lt;3,"",SUMIFS(Tableau4849[SL],Tableau4849[Colonne5],Tableau4849[[#This Row],[Colonne5]])+$S$4)</f>
        <v>1</v>
      </c>
      <c r="W120" s="34" t="str">
        <f>IF(Tableau4849[[#This Row],[ETAT]]="LOSE",IF(IFERROR(ABS(SUBSTITUTE(Tableau4849[[#This Row],[PRICE]],".",",")-'[1]Deal ticket'!$B$16)*1000,"")&lt;=$W$5,"GO","WAIT"),"")</f>
        <v/>
      </c>
      <c r="X12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0" s="26">
        <f>IF(AND(Tableau4849[[#This Row],[3,8]]=1),Tableau4849[[#This Row],[INDEX]],"")</f>
        <v>28</v>
      </c>
      <c r="AC120" s="26" t="str">
        <f ca="1">IF(IFERROR(_xlfn.XLOOKUP(Tableau4849[[#This Row],[IDENTITE]],[1]!Tableau47[GLOBUY],[1]!Tableau47[GLOBUY]),"")="","",1)</f>
        <v/>
      </c>
      <c r="AD120" s="26" t="str">
        <f>IF(IFERROR(_xlfn.XLOOKUP(Tableau4849[[#This Row],[IDENTITE]],[1]!Tableau47[GLOSELL],[1]!Tableau47[GLOSELL]),"")="","",1)</f>
        <v/>
      </c>
      <c r="AE120" s="26"/>
      <c r="AF120" s="26">
        <f>IF(Tableau4849[[#This Row],[INDEX]]&lt;3,"",IF(Tableau4849[[#This Row],[COMMAND]]="","",IF('[1]Bar history'!$AA$33=1,1,"")))</f>
        <v>1</v>
      </c>
      <c r="AG120" s="26"/>
      <c r="AH120" s="26" t="str">
        <f>IF(IFERROR(_xlfn.XLOOKUP(Tableau4849[[#This Row],[IDENTITE]],[1]!Tableau47[COMMENTAIRE],[1]!Tableau47[CLOTURE]),"")=[1]PARAMETRE!$BK$31,Tableau4849[[#This Row],[INDEX]],"")</f>
        <v/>
      </c>
      <c r="AI120" s="26"/>
      <c r="AJ120" s="35" t="str">
        <f>IF(AND(ISNUMBER(SEARCH("BUY",Tableau4849[[#This Row],[COMMAND]]))),"BUYSTOP",IF(AND(ISNUMBER(SEARCH("SELL",Tableau4849[[#This Row],[COMMAND]]))),"SELLSTOP",""))</f>
        <v>BUYSTOP</v>
      </c>
      <c r="AK120" s="35" t="str">
        <f>IFERROR(SUBSTITUTE(Tableau4849[[#This Row],[PRICE]],",","."),"")</f>
        <v>1.06458</v>
      </c>
      <c r="AL120" s="35" t="str">
        <f>IF(Tableau4849[[#This Row],[INDEX]]&lt;3,"",Tableau4849[[#This Row],[IDENTITE]])</f>
        <v>1 RBRB B 1.06306 M1M1</v>
      </c>
      <c r="AM120" s="35" t="str">
        <f>IF(Tableau4849[[#This Row],[INDEX]]&lt;3,"",Tableau4849[[#This Row],[DEVISE]])</f>
        <v>EURUSD</v>
      </c>
      <c r="AN120" s="35">
        <f>IFERROR(IF(Tableau4849[[#This Row],[INDEX]]&lt;3,"",Tableau4849[[#This Row],[ATTEINT]]),100000)</f>
        <v>100000</v>
      </c>
      <c r="AO120" s="35">
        <f>IF(Tableau4849[[#This Row],[INDEX]]&lt;3,"",Tableau4849[[#This Row],[COMPTE]])</f>
        <v>925832</v>
      </c>
      <c r="AP120" s="35" t="str">
        <f>IF(Tableau4849[[#This Row],[INDEX]]&lt;3,"","NON")</f>
        <v>NON</v>
      </c>
      <c r="AQ120" s="35" t="str">
        <f>IF(Tableau4849[[#This Row],[INDEX]]&lt;3,"",IF(Tableau4849[[#This Row],[0,5]]&lt;0,"NEGATIF",""))</f>
        <v>NEGATIF</v>
      </c>
    </row>
    <row r="121" spans="1:43" x14ac:dyDescent="0.25">
      <c r="A121" s="24">
        <v>29</v>
      </c>
      <c r="B121" s="32">
        <v>44923.408437500002</v>
      </c>
      <c r="C121" s="26">
        <v>925832</v>
      </c>
      <c r="D121" s="24" t="s">
        <v>0</v>
      </c>
      <c r="E121" s="24" t="s">
        <v>46</v>
      </c>
      <c r="F121" s="24">
        <v>1.0642199999999999</v>
      </c>
      <c r="G121" s="26">
        <v>3000</v>
      </c>
      <c r="H121" s="27" t="s">
        <v>166</v>
      </c>
      <c r="I121" s="28" t="str">
        <f>IF(IFERROR(_xlfn.XLOOKUP(Tableau4849[[#This Row],[SL]],'[1]Tickets (2)'!J118:J912,'[1]Tickets (2)'!I121:I915),"")=0,"",IFERROR(_xlfn.XLOOKUP(Tableau4849[[#This Row],[SL]],'[1]Tickets (2)'!J118:J912,'[1]Tickets (2)'!I121:I915),""))</f>
        <v/>
      </c>
      <c r="J121">
        <v>1</v>
      </c>
      <c r="K12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1" s="33">
        <v>44923.631425115738</v>
      </c>
      <c r="N121" s="3" t="str">
        <f>IF(Tableau4849[[#This Row],[T CLOSE]]&gt;[1]CONFIGURATION!$K$4,Tableau4849[[#This Row],[IDENTITE]],"")</f>
        <v/>
      </c>
      <c r="O121" s="26">
        <f>IFERROR(Tableau4849[[#This Row],[SL]]/(Tableau4849[[#This Row],[VOLUME]]/$I$5),0)</f>
        <v>0</v>
      </c>
      <c r="P121" s="26" t="str">
        <f>Tableau4849[[#This Row],[COMMAND]]</f>
        <v>SELL</v>
      </c>
      <c r="Q12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1.06426 M1M1</v>
      </c>
      <c r="R121" s="29">
        <v>-1146</v>
      </c>
      <c r="S121" s="26" t="str">
        <f>IF(Tableau4849[[#This Row],[ETAT]]="LOSE",IF(IFERROR(ABS(SUBSTITUTE(Tableau4849[[#This Row],[PRICE]],".",",")-'[1]Deal ticket'!$B$16)*1000,"")&lt;=$S$5,"GO","WAIT"),"")</f>
        <v/>
      </c>
      <c r="T12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1" s="34" t="str">
        <f>IF(Tableau4849[[#This Row],[ETAT]]="LOSE",IF(IFERROR(ABS(SUBSTITUTE(Tableau4849[[#This Row],[PRICE]],".",",")-'[1]Deal ticket'!$B$16)*1000,"")&lt;=$U$5,"GO","WAIT"),"")</f>
        <v/>
      </c>
      <c r="V121" s="26">
        <f>IF(Tableau4849[[#This Row],[INDEX]]&lt;3,"",SUMIFS(Tableau4849[SL],Tableau4849[Colonne5],Tableau4849[[#This Row],[Colonne5]])+$S$4)</f>
        <v>1</v>
      </c>
      <c r="W121" s="34" t="str">
        <f>IF(Tableau4849[[#This Row],[ETAT]]="LOSE",IF(IFERROR(ABS(SUBSTITUTE(Tableau4849[[#This Row],[PRICE]],".",",")-'[1]Deal ticket'!$B$16)*1000,"")&lt;=$W$5,"GO","WAIT"),"")</f>
        <v/>
      </c>
      <c r="X12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1" s="26">
        <f>IF(AND(Tableau4849[[#This Row],[3,8]]=1),Tableau4849[[#This Row],[INDEX]],"")</f>
        <v>29</v>
      </c>
      <c r="AC121" s="26" t="str">
        <f ca="1">IF(IFERROR(_xlfn.XLOOKUP(Tableau4849[[#This Row],[IDENTITE]],[1]!Tableau47[GLOBUY],[1]!Tableau47[GLOBUY]),"")="","",1)</f>
        <v/>
      </c>
      <c r="AD121" s="26" t="str">
        <f>IF(IFERROR(_xlfn.XLOOKUP(Tableau4849[[#This Row],[IDENTITE]],[1]!Tableau47[GLOSELL],[1]!Tableau47[GLOSELL]),"")="","",1)</f>
        <v/>
      </c>
      <c r="AE121" s="26"/>
      <c r="AF121" s="26">
        <f>IF(Tableau4849[[#This Row],[INDEX]]&lt;3,"",IF(Tableau4849[[#This Row],[COMMAND]]="","",IF('[1]Bar history'!$AA$33=1,1,"")))</f>
        <v>1</v>
      </c>
      <c r="AG121" s="26"/>
      <c r="AH121" s="26" t="str">
        <f>IF(IFERROR(_xlfn.XLOOKUP(Tableau4849[[#This Row],[IDENTITE]],[1]!Tableau47[COMMENTAIRE],[1]!Tableau47[CLOTURE]),"")=[1]PARAMETRE!$BK$31,Tableau4849[[#This Row],[INDEX]],"")</f>
        <v/>
      </c>
      <c r="AI121" s="26"/>
      <c r="AJ121" s="35" t="str">
        <f>IF(AND(ISNUMBER(SEARCH("BUY",Tableau4849[[#This Row],[COMMAND]]))),"BUYSTOP",IF(AND(ISNUMBER(SEARCH("SELL",Tableau4849[[#This Row],[COMMAND]]))),"SELLSTOP",""))</f>
        <v>SELLSTOP</v>
      </c>
      <c r="AK121" s="35" t="str">
        <f>IFERROR(SUBSTITUTE(Tableau4849[[#This Row],[PRICE]],",","."),"")</f>
        <v>1.06422</v>
      </c>
      <c r="AL121" s="35" t="str">
        <f>IF(Tableau4849[[#This Row],[INDEX]]&lt;3,"",Tableau4849[[#This Row],[IDENTITE]])</f>
        <v>1 RSRS S 1.06426 M1M1</v>
      </c>
      <c r="AM121" s="35" t="str">
        <f>IF(Tableau4849[[#This Row],[INDEX]]&lt;3,"",Tableau4849[[#This Row],[DEVISE]])</f>
        <v>EURUSD</v>
      </c>
      <c r="AN121" s="35">
        <f>IFERROR(IF(Tableau4849[[#This Row],[INDEX]]&lt;3,"",Tableau4849[[#This Row],[ATTEINT]]),100000)</f>
        <v>100000</v>
      </c>
      <c r="AO121" s="35">
        <f>IF(Tableau4849[[#This Row],[INDEX]]&lt;3,"",Tableau4849[[#This Row],[COMPTE]])</f>
        <v>925832</v>
      </c>
      <c r="AP121" s="35" t="str">
        <f>IF(Tableau4849[[#This Row],[INDEX]]&lt;3,"","NON")</f>
        <v>NON</v>
      </c>
      <c r="AQ121" s="35" t="str">
        <f>IF(Tableau4849[[#This Row],[INDEX]]&lt;3,"",IF(Tableau4849[[#This Row],[0,5]]&lt;0,"NEGATIF",""))</f>
        <v>NEGATIF</v>
      </c>
    </row>
    <row r="122" spans="1:43" x14ac:dyDescent="0.25">
      <c r="A122" s="24">
        <v>30</v>
      </c>
      <c r="B122" s="32">
        <v>44923.408020833333</v>
      </c>
      <c r="C122" s="26">
        <v>925832</v>
      </c>
      <c r="D122" s="24" t="s">
        <v>0</v>
      </c>
      <c r="E122" s="24" t="s">
        <v>47</v>
      </c>
      <c r="F122" s="24">
        <v>1.06464</v>
      </c>
      <c r="G122" s="26">
        <v>3000</v>
      </c>
      <c r="H122" s="27" t="s">
        <v>167</v>
      </c>
      <c r="I122" s="28" t="str">
        <f>IF(IFERROR(_xlfn.XLOOKUP(Tableau4849[[#This Row],[SL]],'[1]Tickets (2)'!J119:J913,'[1]Tickets (2)'!I122:I916),"")=0,"",IFERROR(_xlfn.XLOOKUP(Tableau4849[[#This Row],[SL]],'[1]Tickets (2)'!J119:J913,'[1]Tickets (2)'!I122:I916),""))</f>
        <v/>
      </c>
      <c r="J122">
        <v>1</v>
      </c>
      <c r="K12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2" s="33">
        <v>44923.631425115738</v>
      </c>
      <c r="N122" s="3" t="str">
        <f>IF(Tableau4849[[#This Row],[T CLOSE]]&gt;[1]CONFIGURATION!$K$4,Tableau4849[[#This Row],[IDENTITE]],"")</f>
        <v/>
      </c>
      <c r="O122" s="26">
        <f>IFERROR(Tableau4849[[#This Row],[SL]]/(Tableau4849[[#This Row],[VOLUME]]/$I$5),0)</f>
        <v>0</v>
      </c>
      <c r="P122" s="26" t="str">
        <f>Tableau4849[[#This Row],[COMMAND]]</f>
        <v>BUY</v>
      </c>
      <c r="Q12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 M1M1</v>
      </c>
      <c r="R122" s="29">
        <v>-1156</v>
      </c>
      <c r="S122" s="26" t="str">
        <f>IF(Tableau4849[[#This Row],[ETAT]]="LOSE",IF(IFERROR(ABS(SUBSTITUTE(Tableau4849[[#This Row],[PRICE]],".",",")-'[1]Deal ticket'!$B$16)*1000,"")&lt;=$S$5,"GO","WAIT"),"")</f>
        <v/>
      </c>
      <c r="T12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2" s="34" t="str">
        <f>IF(Tableau4849[[#This Row],[ETAT]]="LOSE",IF(IFERROR(ABS(SUBSTITUTE(Tableau4849[[#This Row],[PRICE]],".",",")-'[1]Deal ticket'!$B$16)*1000,"")&lt;=$U$5,"GO","WAIT"),"")</f>
        <v/>
      </c>
      <c r="V122" s="26">
        <f>IF(Tableau4849[[#This Row],[INDEX]]&lt;3,"",SUMIFS(Tableau4849[SL],Tableau4849[Colonne5],Tableau4849[[#This Row],[Colonne5]])+$S$4)</f>
        <v>1</v>
      </c>
      <c r="W122" s="34" t="str">
        <f>IF(Tableau4849[[#This Row],[ETAT]]="LOSE",IF(IFERROR(ABS(SUBSTITUTE(Tableau4849[[#This Row],[PRICE]],".",",")-'[1]Deal ticket'!$B$16)*1000,"")&lt;=$W$5,"GO","WAIT"),"")</f>
        <v/>
      </c>
      <c r="X12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2" s="26">
        <f>IF(AND(Tableau4849[[#This Row],[3,8]]=1),Tableau4849[[#This Row],[INDEX]],"")</f>
        <v>30</v>
      </c>
      <c r="AC122" s="26" t="str">
        <f ca="1">IF(IFERROR(_xlfn.XLOOKUP(Tableau4849[[#This Row],[IDENTITE]],[1]!Tableau47[GLOBUY],[1]!Tableau47[GLOBUY]),"")="","",1)</f>
        <v/>
      </c>
      <c r="AD122" s="26" t="str">
        <f>IF(IFERROR(_xlfn.XLOOKUP(Tableau4849[[#This Row],[IDENTITE]],[1]!Tableau47[GLOSELL],[1]!Tableau47[GLOSELL]),"")="","",1)</f>
        <v/>
      </c>
      <c r="AE122" s="26"/>
      <c r="AF122" s="26">
        <f>IF(Tableau4849[[#This Row],[INDEX]]&lt;3,"",IF(Tableau4849[[#This Row],[COMMAND]]="","",IF('[1]Bar history'!$AA$33=1,1,"")))</f>
        <v>1</v>
      </c>
      <c r="AG122" s="26"/>
      <c r="AH122" s="26" t="str">
        <f>IF(IFERROR(_xlfn.XLOOKUP(Tableau4849[[#This Row],[IDENTITE]],[1]!Tableau47[COMMENTAIRE],[1]!Tableau47[CLOTURE]),"")=[1]PARAMETRE!$BK$31,Tableau4849[[#This Row],[INDEX]],"")</f>
        <v/>
      </c>
      <c r="AI122" s="26"/>
      <c r="AJ122" s="35" t="str">
        <f>IF(AND(ISNUMBER(SEARCH("BUY",Tableau4849[[#This Row],[COMMAND]]))),"BUYSTOP",IF(AND(ISNUMBER(SEARCH("SELL",Tableau4849[[#This Row],[COMMAND]]))),"SELLSTOP",""))</f>
        <v>BUYSTOP</v>
      </c>
      <c r="AK122" s="35" t="str">
        <f>IFERROR(SUBSTITUTE(Tableau4849[[#This Row],[PRICE]],",","."),"")</f>
        <v>1.06464</v>
      </c>
      <c r="AL122" s="35" t="str">
        <f>IF(Tableau4849[[#This Row],[INDEX]]&lt;3,"",Tableau4849[[#This Row],[IDENTITE]])</f>
        <v>1 RBRB B 1.063 M1M1</v>
      </c>
      <c r="AM122" s="35" t="str">
        <f>IF(Tableau4849[[#This Row],[INDEX]]&lt;3,"",Tableau4849[[#This Row],[DEVISE]])</f>
        <v>EURUSD</v>
      </c>
      <c r="AN122" s="35">
        <f>IFERROR(IF(Tableau4849[[#This Row],[INDEX]]&lt;3,"",Tableau4849[[#This Row],[ATTEINT]]),100000)</f>
        <v>100000</v>
      </c>
      <c r="AO122" s="35">
        <f>IF(Tableau4849[[#This Row],[INDEX]]&lt;3,"",Tableau4849[[#This Row],[COMPTE]])</f>
        <v>925832</v>
      </c>
      <c r="AP122" s="35" t="str">
        <f>IF(Tableau4849[[#This Row],[INDEX]]&lt;3,"","NON")</f>
        <v>NON</v>
      </c>
      <c r="AQ122" s="35" t="str">
        <f>IF(Tableau4849[[#This Row],[INDEX]]&lt;3,"",IF(Tableau4849[[#This Row],[0,5]]&lt;0,"NEGATIF",""))</f>
        <v>NEGATIF</v>
      </c>
    </row>
    <row r="123" spans="1:43" x14ac:dyDescent="0.25">
      <c r="A123" s="24">
        <v>31</v>
      </c>
      <c r="B123" s="32">
        <v>44923.407627314817</v>
      </c>
      <c r="C123" s="26">
        <v>925832</v>
      </c>
      <c r="D123" s="24" t="s">
        <v>0</v>
      </c>
      <c r="E123" s="24" t="s">
        <v>47</v>
      </c>
      <c r="F123" s="24">
        <v>1.0646100000000001</v>
      </c>
      <c r="G123" s="26">
        <v>3000</v>
      </c>
      <c r="H123" s="27" t="s">
        <v>168</v>
      </c>
      <c r="I123" s="28" t="str">
        <f>IF(IFERROR(_xlfn.XLOOKUP(Tableau4849[[#This Row],[SL]],'[1]Tickets (2)'!J120:J914,'[1]Tickets (2)'!I123:I917),"")=0,"",IFERROR(_xlfn.XLOOKUP(Tableau4849[[#This Row],[SL]],'[1]Tickets (2)'!J120:J914,'[1]Tickets (2)'!I123:I917),""))</f>
        <v/>
      </c>
      <c r="J123">
        <v>1</v>
      </c>
      <c r="K12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3" s="33">
        <v>44923.631425115738</v>
      </c>
      <c r="N123" s="3" t="str">
        <f>IF(Tableau4849[[#This Row],[T CLOSE]]&gt;[1]CONFIGURATION!$K$4,Tableau4849[[#This Row],[IDENTITE]],"")</f>
        <v/>
      </c>
      <c r="O123" s="26">
        <f>IFERROR(Tableau4849[[#This Row],[SL]]/(Tableau4849[[#This Row],[VOLUME]]/$I$5),0)</f>
        <v>0</v>
      </c>
      <c r="P123" s="26" t="str">
        <f>Tableau4849[[#This Row],[COMMAND]]</f>
        <v>BUY</v>
      </c>
      <c r="Q12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1.0631 M1M1</v>
      </c>
      <c r="R123" s="29">
        <v>-1166</v>
      </c>
      <c r="S123" s="26" t="str">
        <f>IF(Tableau4849[[#This Row],[ETAT]]="LOSE",IF(IFERROR(ABS(SUBSTITUTE(Tableau4849[[#This Row],[PRICE]],".",",")-'[1]Deal ticket'!$B$16)*1000,"")&lt;=$S$5,"GO","WAIT"),"")</f>
        <v/>
      </c>
      <c r="T12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3" s="34" t="str">
        <f>IF(Tableau4849[[#This Row],[ETAT]]="LOSE",IF(IFERROR(ABS(SUBSTITUTE(Tableau4849[[#This Row],[PRICE]],".",",")-'[1]Deal ticket'!$B$16)*1000,"")&lt;=$U$5,"GO","WAIT"),"")</f>
        <v/>
      </c>
      <c r="V123" s="26">
        <f>IF(Tableau4849[[#This Row],[INDEX]]&lt;3,"",SUMIFS(Tableau4849[SL],Tableau4849[Colonne5],Tableau4849[[#This Row],[Colonne5]])+$S$4)</f>
        <v>1</v>
      </c>
      <c r="W123" s="34" t="str">
        <f>IF(Tableau4849[[#This Row],[ETAT]]="LOSE",IF(IFERROR(ABS(SUBSTITUTE(Tableau4849[[#This Row],[PRICE]],".",",")-'[1]Deal ticket'!$B$16)*1000,"")&lt;=$W$5,"GO","WAIT"),"")</f>
        <v/>
      </c>
      <c r="X12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3" s="26">
        <f>IF(AND(Tableau4849[[#This Row],[3,8]]=1),Tableau4849[[#This Row],[INDEX]],"")</f>
        <v>31</v>
      </c>
      <c r="AC123" s="26" t="str">
        <f ca="1">IF(IFERROR(_xlfn.XLOOKUP(Tableau4849[[#This Row],[IDENTITE]],[1]!Tableau47[GLOBUY],[1]!Tableau47[GLOBUY]),"")="","",1)</f>
        <v/>
      </c>
      <c r="AD123" s="26" t="str">
        <f>IF(IFERROR(_xlfn.XLOOKUP(Tableau4849[[#This Row],[IDENTITE]],[1]!Tableau47[GLOSELL],[1]!Tableau47[GLOSELL]),"")="","",1)</f>
        <v/>
      </c>
      <c r="AE123" s="26"/>
      <c r="AF123" s="26">
        <f>IF(Tableau4849[[#This Row],[INDEX]]&lt;3,"",IF(Tableau4849[[#This Row],[COMMAND]]="","",IF('[1]Bar history'!$AA$33=1,1,"")))</f>
        <v>1</v>
      </c>
      <c r="AG123" s="26"/>
      <c r="AH123" s="26" t="str">
        <f>IF(IFERROR(_xlfn.XLOOKUP(Tableau4849[[#This Row],[IDENTITE]],[1]!Tableau47[COMMENTAIRE],[1]!Tableau47[CLOTURE]),"")=[1]PARAMETRE!$BK$31,Tableau4849[[#This Row],[INDEX]],"")</f>
        <v/>
      </c>
      <c r="AI123" s="26"/>
      <c r="AJ123" s="35" t="str">
        <f>IF(AND(ISNUMBER(SEARCH("BUY",Tableau4849[[#This Row],[COMMAND]]))),"BUYSTOP",IF(AND(ISNUMBER(SEARCH("SELL",Tableau4849[[#This Row],[COMMAND]]))),"SELLSTOP",""))</f>
        <v>BUYSTOP</v>
      </c>
      <c r="AK123" s="35" t="str">
        <f>IFERROR(SUBSTITUTE(Tableau4849[[#This Row],[PRICE]],",","."),"")</f>
        <v>1.06461</v>
      </c>
      <c r="AL123" s="35" t="str">
        <f>IF(Tableau4849[[#This Row],[INDEX]]&lt;3,"",Tableau4849[[#This Row],[IDENTITE]])</f>
        <v>1 RBRB B 1.0631 M1M1</v>
      </c>
      <c r="AM123" s="35" t="str">
        <f>IF(Tableau4849[[#This Row],[INDEX]]&lt;3,"",Tableau4849[[#This Row],[DEVISE]])</f>
        <v>EURUSD</v>
      </c>
      <c r="AN123" s="35">
        <f>IFERROR(IF(Tableau4849[[#This Row],[INDEX]]&lt;3,"",Tableau4849[[#This Row],[ATTEINT]]),100000)</f>
        <v>100000</v>
      </c>
      <c r="AO123" s="35">
        <f>IF(Tableau4849[[#This Row],[INDEX]]&lt;3,"",Tableau4849[[#This Row],[COMPTE]])</f>
        <v>925832</v>
      </c>
      <c r="AP123" s="35" t="str">
        <f>IF(Tableau4849[[#This Row],[INDEX]]&lt;3,"","NON")</f>
        <v>NON</v>
      </c>
      <c r="AQ123" s="35" t="str">
        <f>IF(Tableau4849[[#This Row],[INDEX]]&lt;3,"",IF(Tableau4849[[#This Row],[0,5]]&lt;0,"NEGATIF",""))</f>
        <v>NEGATIF</v>
      </c>
    </row>
    <row r="124" spans="1:43" x14ac:dyDescent="0.25">
      <c r="A124" s="24">
        <v>32</v>
      </c>
      <c r="B124" s="32">
        <v>44923.404930555553</v>
      </c>
      <c r="C124" s="26">
        <v>925832</v>
      </c>
      <c r="D124" s="24" t="s">
        <v>0</v>
      </c>
      <c r="E124" s="24" t="s">
        <v>47</v>
      </c>
      <c r="F124" s="24">
        <v>1.06498</v>
      </c>
      <c r="G124" s="26">
        <v>3000</v>
      </c>
      <c r="H124" s="27" t="s">
        <v>5</v>
      </c>
      <c r="I124" s="28" t="str">
        <f>IF(IFERROR(_xlfn.XLOOKUP(Tableau4849[[#This Row],[SL]],'[1]Tickets (2)'!J121:J915,'[1]Tickets (2)'!I124:I918),"")=0,"",IFERROR(_xlfn.XLOOKUP(Tableau4849[[#This Row],[SL]],'[1]Tickets (2)'!J121:J915,'[1]Tickets (2)'!I124:I918),""))</f>
        <v/>
      </c>
      <c r="J124">
        <v>1</v>
      </c>
      <c r="K12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4" s="33">
        <v>44923.631425115738</v>
      </c>
      <c r="N124" s="3" t="str">
        <f>IF(Tableau4849[[#This Row],[T CLOSE]]&gt;[1]CONFIGURATION!$K$4,Tableau4849[[#This Row],[IDENTITE]],"")</f>
        <v/>
      </c>
      <c r="O124" s="26">
        <f>IFERROR(Tableau4849[[#This Row],[SL]]/(Tableau4849[[#This Row],[VOLUME]]/$I$5),0)</f>
        <v>0</v>
      </c>
      <c r="P124" s="26" t="str">
        <f>Tableau4849[[#This Row],[COMMAND]]</f>
        <v>BUY</v>
      </c>
      <c r="Q12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1.06346 M1M1</v>
      </c>
      <c r="R124" s="29">
        <v>-1176</v>
      </c>
      <c r="S124" s="26" t="str">
        <f>IF(Tableau4849[[#This Row],[ETAT]]="LOSE",IF(IFERROR(ABS(SUBSTITUTE(Tableau4849[[#This Row],[PRICE]],".",",")-'[1]Deal ticket'!$B$16)*1000,"")&lt;=$S$5,"GO","WAIT"),"")</f>
        <v/>
      </c>
      <c r="T12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4" s="34" t="str">
        <f>IF(Tableau4849[[#This Row],[ETAT]]="LOSE",IF(IFERROR(ABS(SUBSTITUTE(Tableau4849[[#This Row],[PRICE]],".",",")-'[1]Deal ticket'!$B$16)*1000,"")&lt;=$U$5,"GO","WAIT"),"")</f>
        <v/>
      </c>
      <c r="V124" s="26">
        <f>IF(Tableau4849[[#This Row],[INDEX]]&lt;3,"",SUMIFS(Tableau4849[SL],Tableau4849[Colonne5],Tableau4849[[#This Row],[Colonne5]])+$S$4)</f>
        <v>1</v>
      </c>
      <c r="W124" s="34" t="str">
        <f>IF(Tableau4849[[#This Row],[ETAT]]="LOSE",IF(IFERROR(ABS(SUBSTITUTE(Tableau4849[[#This Row],[PRICE]],".",",")-'[1]Deal ticket'!$B$16)*1000,"")&lt;=$W$5,"GO","WAIT"),"")</f>
        <v/>
      </c>
      <c r="X12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4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4" s="26">
        <f>IF(AND(Tableau4849[[#This Row],[3,8]]=1),Tableau4849[[#This Row],[INDEX]],"")</f>
        <v>32</v>
      </c>
      <c r="AC124" s="26" t="str">
        <f ca="1">IF(IFERROR(_xlfn.XLOOKUP(Tableau4849[[#This Row],[IDENTITE]],[1]!Tableau47[GLOBUY],[1]!Tableau47[GLOBUY]),"")="","",1)</f>
        <v/>
      </c>
      <c r="AD124" s="26" t="str">
        <f>IF(IFERROR(_xlfn.XLOOKUP(Tableau4849[[#This Row],[IDENTITE]],[1]!Tableau47[GLOSELL],[1]!Tableau47[GLOSELL]),"")="","",1)</f>
        <v/>
      </c>
      <c r="AE124" s="26"/>
      <c r="AF124" s="26">
        <f>IF(Tableau4849[[#This Row],[INDEX]]&lt;3,"",IF(Tableau4849[[#This Row],[COMMAND]]="","",IF('[1]Bar history'!$AA$33=1,1,"")))</f>
        <v>1</v>
      </c>
      <c r="AG124" s="26"/>
      <c r="AH124" s="26" t="str">
        <f>IF(IFERROR(_xlfn.XLOOKUP(Tableau4849[[#This Row],[IDENTITE]],[1]!Tableau47[COMMENTAIRE],[1]!Tableau47[CLOTURE]),"")=[1]PARAMETRE!$BK$31,Tableau4849[[#This Row],[INDEX]],"")</f>
        <v/>
      </c>
      <c r="AI124" s="26"/>
      <c r="AJ124" s="35" t="str">
        <f>IF(AND(ISNUMBER(SEARCH("BUY",Tableau4849[[#This Row],[COMMAND]]))),"BUYSTOP",IF(AND(ISNUMBER(SEARCH("SELL",Tableau4849[[#This Row],[COMMAND]]))),"SELLSTOP",""))</f>
        <v>BUYSTOP</v>
      </c>
      <c r="AK124" s="35" t="str">
        <f>IFERROR(SUBSTITUTE(Tableau4849[[#This Row],[PRICE]],",","."),"")</f>
        <v>1.06498</v>
      </c>
      <c r="AL124" s="35" t="str">
        <f>IF(Tableau4849[[#This Row],[INDEX]]&lt;3,"",Tableau4849[[#This Row],[IDENTITE]])</f>
        <v>1 RBRB B 1.06346 M1M1</v>
      </c>
      <c r="AM124" s="35" t="str">
        <f>IF(Tableau4849[[#This Row],[INDEX]]&lt;3,"",Tableau4849[[#This Row],[DEVISE]])</f>
        <v>EURUSD</v>
      </c>
      <c r="AN124" s="35">
        <f>IFERROR(IF(Tableau4849[[#This Row],[INDEX]]&lt;3,"",Tableau4849[[#This Row],[ATTEINT]]),100000)</f>
        <v>100000</v>
      </c>
      <c r="AO124" s="35">
        <f>IF(Tableau4849[[#This Row],[INDEX]]&lt;3,"",Tableau4849[[#This Row],[COMPTE]])</f>
        <v>925832</v>
      </c>
      <c r="AP124" s="35" t="str">
        <f>IF(Tableau4849[[#This Row],[INDEX]]&lt;3,"","NON")</f>
        <v>NON</v>
      </c>
      <c r="AQ124" s="35" t="str">
        <f>IF(Tableau4849[[#This Row],[INDEX]]&lt;3,"",IF(Tableau4849[[#This Row],[0,5]]&lt;0,"NEGATIF",""))</f>
        <v>NEGATIF</v>
      </c>
    </row>
    <row r="125" spans="1:43" x14ac:dyDescent="0.25">
      <c r="A125" s="24">
        <v>33</v>
      </c>
      <c r="B125" s="32">
        <v>44923.379930555559</v>
      </c>
      <c r="C125" s="26">
        <v>925832</v>
      </c>
      <c r="D125" s="24" t="s">
        <v>0</v>
      </c>
      <c r="E125" s="24" t="s">
        <v>47</v>
      </c>
      <c r="F125" s="24">
        <v>1.0650500000000001</v>
      </c>
      <c r="G125" s="26">
        <v>3000</v>
      </c>
      <c r="H125" s="27" t="s">
        <v>169</v>
      </c>
      <c r="I125" s="28" t="str">
        <f>IF(IFERROR(_xlfn.XLOOKUP(Tableau4849[[#This Row],[SL]],'[1]Tickets (2)'!J122:J916,'[1]Tickets (2)'!I125:I919),"")=0,"",IFERROR(_xlfn.XLOOKUP(Tableau4849[[#This Row],[SL]],'[1]Tickets (2)'!J122:J916,'[1]Tickets (2)'!I125:I919),""))</f>
        <v/>
      </c>
      <c r="J125">
        <v>1</v>
      </c>
      <c r="K12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5" s="33">
        <v>44923.631425115738</v>
      </c>
      <c r="N125" s="3" t="str">
        <f>IF(Tableau4849[[#This Row],[T CLOSE]]&gt;[1]CONFIGURATION!$K$4,Tableau4849[[#This Row],[IDENTITE]],"")</f>
        <v/>
      </c>
      <c r="O125" s="26">
        <f>IFERROR(Tableau4849[[#This Row],[SL]]/(Tableau4849[[#This Row],[VOLUME]]/$I$5),0)</f>
        <v>0</v>
      </c>
      <c r="P125" s="26" t="str">
        <f>Tableau4849[[#This Row],[COMMAND]]</f>
        <v>BUY</v>
      </c>
      <c r="Q12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1.06336 M1M1</v>
      </c>
      <c r="R125" s="29">
        <v>-346</v>
      </c>
      <c r="S125" s="26" t="str">
        <f>IF(Tableau4849[[#This Row],[ETAT]]="LOSE",IF(IFERROR(ABS(SUBSTITUTE(Tableau4849[[#This Row],[PRICE]],".",",")-'[1]Deal ticket'!$B$16)*1000,"")&lt;=$S$5,"GO","WAIT"),"")</f>
        <v/>
      </c>
      <c r="T12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5" s="34" t="str">
        <f>IF(Tableau4849[[#This Row],[ETAT]]="LOSE",IF(IFERROR(ABS(SUBSTITUTE(Tableau4849[[#This Row],[PRICE]],".",",")-'[1]Deal ticket'!$B$16)*1000,"")&lt;=$U$5,"GO","WAIT"),"")</f>
        <v/>
      </c>
      <c r="V125" s="26">
        <f>IF(Tableau4849[[#This Row],[INDEX]]&lt;3,"",SUMIFS(Tableau4849[SL],Tableau4849[Colonne5],Tableau4849[[#This Row],[Colonne5]])+$S$4)</f>
        <v>1</v>
      </c>
      <c r="W125" s="34" t="str">
        <f>IF(Tableau4849[[#This Row],[ETAT]]="LOSE",IF(IFERROR(ABS(SUBSTITUTE(Tableau4849[[#This Row],[PRICE]],".",",")-'[1]Deal ticket'!$B$16)*1000,"")&lt;=$W$5,"GO","WAIT"),"")</f>
        <v/>
      </c>
      <c r="X12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5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5" s="26">
        <f>IF(AND(Tableau4849[[#This Row],[3,8]]=1),Tableau4849[[#This Row],[INDEX]],"")</f>
        <v>33</v>
      </c>
      <c r="AC125" s="26" t="str">
        <f ca="1">IF(IFERROR(_xlfn.XLOOKUP(Tableau4849[[#This Row],[IDENTITE]],[1]!Tableau47[GLOBUY],[1]!Tableau47[GLOBUY]),"")="","",1)</f>
        <v/>
      </c>
      <c r="AD125" s="26" t="str">
        <f>IF(IFERROR(_xlfn.XLOOKUP(Tableau4849[[#This Row],[IDENTITE]],[1]!Tableau47[GLOSELL],[1]!Tableau47[GLOSELL]),"")="","",1)</f>
        <v/>
      </c>
      <c r="AE125" s="26"/>
      <c r="AF125" s="26">
        <f>IF(Tableau4849[[#This Row],[INDEX]]&lt;3,"",IF(Tableau4849[[#This Row],[COMMAND]]="","",IF('[1]Bar history'!$AA$33=1,1,"")))</f>
        <v>1</v>
      </c>
      <c r="AG125" s="26"/>
      <c r="AH125" s="26" t="str">
        <f>IF(IFERROR(_xlfn.XLOOKUP(Tableau4849[[#This Row],[IDENTITE]],[1]!Tableau47[COMMENTAIRE],[1]!Tableau47[CLOTURE]),"")=[1]PARAMETRE!$BK$31,Tableau4849[[#This Row],[INDEX]],"")</f>
        <v/>
      </c>
      <c r="AI125" s="26"/>
      <c r="AJ125" s="35" t="str">
        <f>IF(AND(ISNUMBER(SEARCH("BUY",Tableau4849[[#This Row],[COMMAND]]))),"BUYSTOP",IF(AND(ISNUMBER(SEARCH("SELL",Tableau4849[[#This Row],[COMMAND]]))),"SELLSTOP",""))</f>
        <v>BUYSTOP</v>
      </c>
      <c r="AK125" s="35" t="str">
        <f>IFERROR(SUBSTITUTE(Tableau4849[[#This Row],[PRICE]],",","."),"")</f>
        <v>1.06505</v>
      </c>
      <c r="AL125" s="35" t="str">
        <f>IF(Tableau4849[[#This Row],[INDEX]]&lt;3,"",Tableau4849[[#This Row],[IDENTITE]])</f>
        <v>1 RBRB B 1.06336 M1M1</v>
      </c>
      <c r="AM125" s="35" t="str">
        <f>IF(Tableau4849[[#This Row],[INDEX]]&lt;3,"",Tableau4849[[#This Row],[DEVISE]])</f>
        <v>EURUSD</v>
      </c>
      <c r="AN125" s="35">
        <f>IFERROR(IF(Tableau4849[[#This Row],[INDEX]]&lt;3,"",Tableau4849[[#This Row],[ATTEINT]]),100000)</f>
        <v>100000</v>
      </c>
      <c r="AO125" s="35">
        <f>IF(Tableau4849[[#This Row],[INDEX]]&lt;3,"",Tableau4849[[#This Row],[COMPTE]])</f>
        <v>925832</v>
      </c>
      <c r="AP125" s="35" t="str">
        <f>IF(Tableau4849[[#This Row],[INDEX]]&lt;3,"","NON")</f>
        <v>NON</v>
      </c>
      <c r="AQ125" s="35" t="str">
        <f>IF(Tableau4849[[#This Row],[INDEX]]&lt;3,"",IF(Tableau4849[[#This Row],[0,5]]&lt;0,"NEGATIF",""))</f>
        <v>NEGATIF</v>
      </c>
    </row>
    <row r="126" spans="1:43" x14ac:dyDescent="0.25">
      <c r="A126" s="24">
        <v>34</v>
      </c>
      <c r="B126" s="32">
        <v>44923.379652777781</v>
      </c>
      <c r="C126" s="26">
        <v>925832</v>
      </c>
      <c r="D126" s="24" t="s">
        <v>0</v>
      </c>
      <c r="E126" s="24" t="s">
        <v>47</v>
      </c>
      <c r="F126" s="24">
        <v>1.0650500000000001</v>
      </c>
      <c r="G126" s="26">
        <v>3000</v>
      </c>
      <c r="H126" s="27" t="s">
        <v>170</v>
      </c>
      <c r="I126" s="28" t="str">
        <f>IF(IFERROR(_xlfn.XLOOKUP(Tableau4849[[#This Row],[SL]],'[1]Tickets (2)'!J123:J917,'[1]Tickets (2)'!I126:I920),"")=0,"",IFERROR(_xlfn.XLOOKUP(Tableau4849[[#This Row],[SL]],'[1]Tickets (2)'!J123:J917,'[1]Tickets (2)'!I126:I920),""))</f>
        <v/>
      </c>
      <c r="J126">
        <v>1</v>
      </c>
      <c r="K12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6" s="33">
        <v>44923.631425115738</v>
      </c>
      <c r="N126" s="3" t="str">
        <f>IF(Tableau4849[[#This Row],[T CLOSE]]&gt;[1]CONFIGURATION!$K$4,Tableau4849[[#This Row],[IDENTITE]],"")</f>
        <v/>
      </c>
      <c r="O126" s="26">
        <f>IFERROR(Tableau4849[[#This Row],[SL]]/(Tableau4849[[#This Row],[VOLUME]]/$I$5),0)</f>
        <v>0</v>
      </c>
      <c r="P126" s="26" t="str">
        <f>Tableau4849[[#This Row],[COMMAND]]</f>
        <v>BUY</v>
      </c>
      <c r="Q12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1.06355 M1M1</v>
      </c>
      <c r="R126" s="29">
        <v>-356</v>
      </c>
      <c r="S126" s="26" t="str">
        <f>IF(Tableau4849[[#This Row],[ETAT]]="LOSE",IF(IFERROR(ABS(SUBSTITUTE(Tableau4849[[#This Row],[PRICE]],".",",")-'[1]Deal ticket'!$B$16)*1000,"")&lt;=$S$5,"GO","WAIT"),"")</f>
        <v/>
      </c>
      <c r="T12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6" s="34" t="str">
        <f>IF(Tableau4849[[#This Row],[ETAT]]="LOSE",IF(IFERROR(ABS(SUBSTITUTE(Tableau4849[[#This Row],[PRICE]],".",",")-'[1]Deal ticket'!$B$16)*1000,"")&lt;=$U$5,"GO","WAIT"),"")</f>
        <v/>
      </c>
      <c r="V126" s="26">
        <f>IF(Tableau4849[[#This Row],[INDEX]]&lt;3,"",SUMIFS(Tableau4849[SL],Tableau4849[Colonne5],Tableau4849[[#This Row],[Colonne5]])+$S$4)</f>
        <v>1</v>
      </c>
      <c r="W126" s="34" t="str">
        <f>IF(Tableau4849[[#This Row],[ETAT]]="LOSE",IF(IFERROR(ABS(SUBSTITUTE(Tableau4849[[#This Row],[PRICE]],".",",")-'[1]Deal ticket'!$B$16)*1000,"")&lt;=$W$5,"GO","WAIT"),"")</f>
        <v/>
      </c>
      <c r="X12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6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6" s="26">
        <f>IF(AND(Tableau4849[[#This Row],[3,8]]=1),Tableau4849[[#This Row],[INDEX]],"")</f>
        <v>34</v>
      </c>
      <c r="AC126" s="26" t="str">
        <f ca="1">IF(IFERROR(_xlfn.XLOOKUP(Tableau4849[[#This Row],[IDENTITE]],[1]!Tableau47[GLOBUY],[1]!Tableau47[GLOBUY]),"")="","",1)</f>
        <v/>
      </c>
      <c r="AD126" s="26" t="str">
        <f>IF(IFERROR(_xlfn.XLOOKUP(Tableau4849[[#This Row],[IDENTITE]],[1]!Tableau47[GLOSELL],[1]!Tableau47[GLOSELL]),"")="","",1)</f>
        <v/>
      </c>
      <c r="AE126" s="26"/>
      <c r="AF126" s="26">
        <f>IF(Tableau4849[[#This Row],[INDEX]]&lt;3,"",IF(Tableau4849[[#This Row],[COMMAND]]="","",IF('[1]Bar history'!$AA$33=1,1,"")))</f>
        <v>1</v>
      </c>
      <c r="AG126" s="26"/>
      <c r="AH126" s="26" t="str">
        <f>IF(IFERROR(_xlfn.XLOOKUP(Tableau4849[[#This Row],[IDENTITE]],[1]!Tableau47[COMMENTAIRE],[1]!Tableau47[CLOTURE]),"")=[1]PARAMETRE!$BK$31,Tableau4849[[#This Row],[INDEX]],"")</f>
        <v/>
      </c>
      <c r="AI126" s="26"/>
      <c r="AJ126" s="35" t="str">
        <f>IF(AND(ISNUMBER(SEARCH("BUY",Tableau4849[[#This Row],[COMMAND]]))),"BUYSTOP",IF(AND(ISNUMBER(SEARCH("SELL",Tableau4849[[#This Row],[COMMAND]]))),"SELLSTOP",""))</f>
        <v>BUYSTOP</v>
      </c>
      <c r="AK126" s="35" t="str">
        <f>IFERROR(SUBSTITUTE(Tableau4849[[#This Row],[PRICE]],",","."),"")</f>
        <v>1.06505</v>
      </c>
      <c r="AL126" s="35" t="str">
        <f>IF(Tableau4849[[#This Row],[INDEX]]&lt;3,"",Tableau4849[[#This Row],[IDENTITE]])</f>
        <v>1 RBRB B 1.06355 M1M1</v>
      </c>
      <c r="AM126" s="35" t="str">
        <f>IF(Tableau4849[[#This Row],[INDEX]]&lt;3,"",Tableau4849[[#This Row],[DEVISE]])</f>
        <v>EURUSD</v>
      </c>
      <c r="AN126" s="35">
        <f>IFERROR(IF(Tableau4849[[#This Row],[INDEX]]&lt;3,"",Tableau4849[[#This Row],[ATTEINT]]),100000)</f>
        <v>100000</v>
      </c>
      <c r="AO126" s="35">
        <f>IF(Tableau4849[[#This Row],[INDEX]]&lt;3,"",Tableau4849[[#This Row],[COMPTE]])</f>
        <v>925832</v>
      </c>
      <c r="AP126" s="35" t="str">
        <f>IF(Tableau4849[[#This Row],[INDEX]]&lt;3,"","NON")</f>
        <v>NON</v>
      </c>
      <c r="AQ126" s="35" t="str">
        <f>IF(Tableau4849[[#This Row],[INDEX]]&lt;3,"",IF(Tableau4849[[#This Row],[0,5]]&lt;0,"NEGATIF",""))</f>
        <v>NEGATIF</v>
      </c>
    </row>
    <row r="127" spans="1:43" x14ac:dyDescent="0.25">
      <c r="A127" s="24">
        <v>35</v>
      </c>
      <c r="B127" s="32">
        <v>44923.379351851851</v>
      </c>
      <c r="C127" s="26">
        <v>925832</v>
      </c>
      <c r="D127" s="24" t="s">
        <v>0</v>
      </c>
      <c r="E127" s="24" t="s">
        <v>47</v>
      </c>
      <c r="F127" s="24">
        <v>1.0650999999999999</v>
      </c>
      <c r="G127" s="26">
        <v>4000</v>
      </c>
      <c r="H127" s="27" t="s">
        <v>171</v>
      </c>
      <c r="I127" s="28" t="str">
        <f>IF(IFERROR(_xlfn.XLOOKUP(Tableau4849[[#This Row],[SL]],'[1]Tickets (2)'!J124:J918,'[1]Tickets (2)'!I127:I921),"")=0,"",IFERROR(_xlfn.XLOOKUP(Tableau4849[[#This Row],[SL]],'[1]Tickets (2)'!J124:J918,'[1]Tickets (2)'!I127:I921),""))</f>
        <v/>
      </c>
      <c r="J127">
        <v>1</v>
      </c>
      <c r="K12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7" s="33">
        <v>44923.631425115738</v>
      </c>
      <c r="N127" s="3" t="str">
        <f>IF(Tableau4849[[#This Row],[T CLOSE]]&gt;[1]CONFIGURATION!$K$4,Tableau4849[[#This Row],[IDENTITE]],"")</f>
        <v/>
      </c>
      <c r="O127" s="26">
        <f>IFERROR(Tableau4849[[#This Row],[SL]]/(Tableau4849[[#This Row],[VOLUME]]/$I$5),0)</f>
        <v>0</v>
      </c>
      <c r="P127" s="26" t="str">
        <f>Tableau4849[[#This Row],[COMMAND]]</f>
        <v>BUY</v>
      </c>
      <c r="Q12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1.06357 M1M1</v>
      </c>
      <c r="R127" s="29">
        <v>-366</v>
      </c>
      <c r="S127" s="26" t="str">
        <f>IF(Tableau4849[[#This Row],[ETAT]]="LOSE",IF(IFERROR(ABS(SUBSTITUTE(Tableau4849[[#This Row],[PRICE]],".",",")-'[1]Deal ticket'!$B$16)*1000,"")&lt;=$S$5,"GO","WAIT"),"")</f>
        <v/>
      </c>
      <c r="T12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7" s="34" t="str">
        <f>IF(Tableau4849[[#This Row],[ETAT]]="LOSE",IF(IFERROR(ABS(SUBSTITUTE(Tableau4849[[#This Row],[PRICE]],".",",")-'[1]Deal ticket'!$B$16)*1000,"")&lt;=$U$5,"GO","WAIT"),"")</f>
        <v/>
      </c>
      <c r="V127" s="26">
        <f>IF(Tableau4849[[#This Row],[INDEX]]&lt;3,"",SUMIFS(Tableau4849[SL],Tableau4849[Colonne5],Tableau4849[[#This Row],[Colonne5]])+$S$4)</f>
        <v>1</v>
      </c>
      <c r="W127" s="34" t="str">
        <f>IF(Tableau4849[[#This Row],[ETAT]]="LOSE",IF(IFERROR(ABS(SUBSTITUTE(Tableau4849[[#This Row],[PRICE]],".",",")-'[1]Deal ticket'!$B$16)*1000,"")&lt;=$W$5,"GO","WAIT"),"")</f>
        <v/>
      </c>
      <c r="X12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7" s="26">
        <f>IF(AND(Tableau4849[[#This Row],[3,8]]=1),Tableau4849[[#This Row],[INDEX]],"")</f>
        <v>35</v>
      </c>
      <c r="AC127" s="26" t="str">
        <f ca="1">IF(IFERROR(_xlfn.XLOOKUP(Tableau4849[[#This Row],[IDENTITE]],[1]!Tableau47[GLOBUY],[1]!Tableau47[GLOBUY]),"")="","",1)</f>
        <v/>
      </c>
      <c r="AD127" s="26" t="str">
        <f>IF(IFERROR(_xlfn.XLOOKUP(Tableau4849[[#This Row],[IDENTITE]],[1]!Tableau47[GLOSELL],[1]!Tableau47[GLOSELL]),"")="","",1)</f>
        <v/>
      </c>
      <c r="AE127" s="26"/>
      <c r="AF127" s="26">
        <f>IF(Tableau4849[[#This Row],[INDEX]]&lt;3,"",IF(Tableau4849[[#This Row],[COMMAND]]="","",IF('[1]Bar history'!$AA$33=1,1,"")))</f>
        <v>1</v>
      </c>
      <c r="AG127" s="26"/>
      <c r="AH127" s="26" t="str">
        <f>IF(IFERROR(_xlfn.XLOOKUP(Tableau4849[[#This Row],[IDENTITE]],[1]!Tableau47[COMMENTAIRE],[1]!Tableau47[CLOTURE]),"")=[1]PARAMETRE!$BK$31,Tableau4849[[#This Row],[INDEX]],"")</f>
        <v/>
      </c>
      <c r="AI127" s="26"/>
      <c r="AJ127" s="35" t="str">
        <f>IF(AND(ISNUMBER(SEARCH("BUY",Tableau4849[[#This Row],[COMMAND]]))),"BUYSTOP",IF(AND(ISNUMBER(SEARCH("SELL",Tableau4849[[#This Row],[COMMAND]]))),"SELLSTOP",""))</f>
        <v>BUYSTOP</v>
      </c>
      <c r="AK127" s="35" t="str">
        <f>IFERROR(SUBSTITUTE(Tableau4849[[#This Row],[PRICE]],",","."),"")</f>
        <v>1.0651</v>
      </c>
      <c r="AL127" s="35" t="str">
        <f>IF(Tableau4849[[#This Row],[INDEX]]&lt;3,"",Tableau4849[[#This Row],[IDENTITE]])</f>
        <v>1 RBRB B 1.06357 M1M1</v>
      </c>
      <c r="AM127" s="35" t="str">
        <f>IF(Tableau4849[[#This Row],[INDEX]]&lt;3,"",Tableau4849[[#This Row],[DEVISE]])</f>
        <v>EURUSD</v>
      </c>
      <c r="AN127" s="35">
        <f>IFERROR(IF(Tableau4849[[#This Row],[INDEX]]&lt;3,"",Tableau4849[[#This Row],[ATTEINT]]),100000)</f>
        <v>100000</v>
      </c>
      <c r="AO127" s="35">
        <f>IF(Tableau4849[[#This Row],[INDEX]]&lt;3,"",Tableau4849[[#This Row],[COMPTE]])</f>
        <v>925832</v>
      </c>
      <c r="AP127" s="35" t="str">
        <f>IF(Tableau4849[[#This Row],[INDEX]]&lt;3,"","NON")</f>
        <v>NON</v>
      </c>
      <c r="AQ127" s="35" t="str">
        <f>IF(Tableau4849[[#This Row],[INDEX]]&lt;3,"",IF(Tableau4849[[#This Row],[0,5]]&lt;0,"NEGATIF",""))</f>
        <v>NEGATIF</v>
      </c>
    </row>
    <row r="128" spans="1:43" x14ac:dyDescent="0.25">
      <c r="A128" s="24">
        <v>36</v>
      </c>
      <c r="B128" s="32">
        <v>44923.378750000003</v>
      </c>
      <c r="C128" s="26">
        <v>925832</v>
      </c>
      <c r="D128" s="24" t="s">
        <v>0</v>
      </c>
      <c r="E128" s="24" t="s">
        <v>47</v>
      </c>
      <c r="F128" s="24">
        <v>1.0651299999999999</v>
      </c>
      <c r="G128" s="26">
        <v>3000</v>
      </c>
      <c r="H128" s="27" t="s">
        <v>173</v>
      </c>
      <c r="I128" s="28" t="str">
        <f>IF(IFERROR(_xlfn.XLOOKUP(Tableau4849[[#This Row],[SL]],'[1]Tickets (2)'!J125:J919,'[1]Tickets (2)'!I128:I922),"")=0,"",IFERROR(_xlfn.XLOOKUP(Tableau4849[[#This Row],[SL]],'[1]Tickets (2)'!J125:J919,'[1]Tickets (2)'!I128:I922),""))</f>
        <v/>
      </c>
      <c r="J128">
        <v>1</v>
      </c>
      <c r="K12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8" s="33">
        <v>44923.631425115738</v>
      </c>
      <c r="N128" s="3" t="str">
        <f>IF(Tableau4849[[#This Row],[T CLOSE]]&gt;[1]CONFIGURATION!$K$4,Tableau4849[[#This Row],[IDENTITE]],"")</f>
        <v/>
      </c>
      <c r="O128" s="26">
        <f>IFERROR(Tableau4849[[#This Row],[SL]]/(Tableau4849[[#This Row],[VOLUME]]/$I$5),0)</f>
        <v>0</v>
      </c>
      <c r="P128" s="26" t="str">
        <f>Tableau4849[[#This Row],[COMMAND]]</f>
        <v>BUY</v>
      </c>
      <c r="Q12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1.06363 M1M1</v>
      </c>
      <c r="R128" s="29">
        <v>-376</v>
      </c>
      <c r="S128" s="26" t="str">
        <f>IF(Tableau4849[[#This Row],[ETAT]]="LOSE",IF(IFERROR(ABS(SUBSTITUTE(Tableau4849[[#This Row],[PRICE]],".",",")-'[1]Deal ticket'!$B$16)*1000,"")&lt;=$S$5,"GO","WAIT"),"")</f>
        <v/>
      </c>
      <c r="T12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8" s="34" t="str">
        <f>IF(Tableau4849[[#This Row],[ETAT]]="LOSE",IF(IFERROR(ABS(SUBSTITUTE(Tableau4849[[#This Row],[PRICE]],".",",")-'[1]Deal ticket'!$B$16)*1000,"")&lt;=$U$5,"GO","WAIT"),"")</f>
        <v/>
      </c>
      <c r="V128" s="26">
        <f>IF(Tableau4849[[#This Row],[INDEX]]&lt;3,"",SUMIFS(Tableau4849[SL],Tableau4849[Colonne5],Tableau4849[[#This Row],[Colonne5]])+$S$4)</f>
        <v>1</v>
      </c>
      <c r="W128" s="34" t="str">
        <f>IF(Tableau4849[[#This Row],[ETAT]]="LOSE",IF(IFERROR(ABS(SUBSTITUTE(Tableau4849[[#This Row],[PRICE]],".",",")-'[1]Deal ticket'!$B$16)*1000,"")&lt;=$W$5,"GO","WAIT"),"")</f>
        <v/>
      </c>
      <c r="X12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8" s="26">
        <f>IF(AND(Tableau4849[[#This Row],[3,8]]=1),Tableau4849[[#This Row],[INDEX]],"")</f>
        <v>36</v>
      </c>
      <c r="AC128" s="26" t="str">
        <f ca="1">IF(IFERROR(_xlfn.XLOOKUP(Tableau4849[[#This Row],[IDENTITE]],[1]!Tableau47[GLOBUY],[1]!Tableau47[GLOBUY]),"")="","",1)</f>
        <v/>
      </c>
      <c r="AD128" s="26" t="str">
        <f>IF(IFERROR(_xlfn.XLOOKUP(Tableau4849[[#This Row],[IDENTITE]],[1]!Tableau47[GLOSELL],[1]!Tableau47[GLOSELL]),"")="","",1)</f>
        <v/>
      </c>
      <c r="AE128" s="26"/>
      <c r="AF128" s="26">
        <f>IF(Tableau4849[[#This Row],[INDEX]]&lt;3,"",IF(Tableau4849[[#This Row],[COMMAND]]="","",IF('[1]Bar history'!$AA$33=1,1,"")))</f>
        <v>1</v>
      </c>
      <c r="AG128" s="26"/>
      <c r="AH128" s="26" t="str">
        <f>IF(IFERROR(_xlfn.XLOOKUP(Tableau4849[[#This Row],[IDENTITE]],[1]!Tableau47[COMMENTAIRE],[1]!Tableau47[CLOTURE]),"")=[1]PARAMETRE!$BK$31,Tableau4849[[#This Row],[INDEX]],"")</f>
        <v/>
      </c>
      <c r="AI128" s="26"/>
      <c r="AJ128" s="35" t="str">
        <f>IF(AND(ISNUMBER(SEARCH("BUY",Tableau4849[[#This Row],[COMMAND]]))),"BUYSTOP",IF(AND(ISNUMBER(SEARCH("SELL",Tableau4849[[#This Row],[COMMAND]]))),"SELLSTOP",""))</f>
        <v>BUYSTOP</v>
      </c>
      <c r="AK128" s="35" t="str">
        <f>IFERROR(SUBSTITUTE(Tableau4849[[#This Row],[PRICE]],",","."),"")</f>
        <v>1.06513</v>
      </c>
      <c r="AL128" s="35" t="str">
        <f>IF(Tableau4849[[#This Row],[INDEX]]&lt;3,"",Tableau4849[[#This Row],[IDENTITE]])</f>
        <v>1 RBRB B 1.06363 M1M1</v>
      </c>
      <c r="AM128" s="35" t="str">
        <f>IF(Tableau4849[[#This Row],[INDEX]]&lt;3,"",Tableau4849[[#This Row],[DEVISE]])</f>
        <v>EURUSD</v>
      </c>
      <c r="AN128" s="35">
        <f>IFERROR(IF(Tableau4849[[#This Row],[INDEX]]&lt;3,"",Tableau4849[[#This Row],[ATTEINT]]),100000)</f>
        <v>100000</v>
      </c>
      <c r="AO128" s="35">
        <f>IF(Tableau4849[[#This Row],[INDEX]]&lt;3,"",Tableau4849[[#This Row],[COMPTE]])</f>
        <v>925832</v>
      </c>
      <c r="AP128" s="35" t="str">
        <f>IF(Tableau4849[[#This Row],[INDEX]]&lt;3,"","NON")</f>
        <v>NON</v>
      </c>
      <c r="AQ128" s="35" t="str">
        <f>IF(Tableau4849[[#This Row],[INDEX]]&lt;3,"",IF(Tableau4849[[#This Row],[0,5]]&lt;0,"NEGATIF",""))</f>
        <v>NEGATIF</v>
      </c>
    </row>
    <row r="129" spans="1:43" x14ac:dyDescent="0.25">
      <c r="A129" s="24">
        <v>37</v>
      </c>
      <c r="B129" s="32">
        <v>44923.377847222226</v>
      </c>
      <c r="C129" s="26">
        <v>925832</v>
      </c>
      <c r="D129" s="24" t="s">
        <v>0</v>
      </c>
      <c r="E129" s="24" t="s">
        <v>47</v>
      </c>
      <c r="F129" s="24">
        <v>1.0653699999999999</v>
      </c>
      <c r="G129" s="26">
        <v>13000</v>
      </c>
      <c r="H129" s="27" t="s">
        <v>175</v>
      </c>
      <c r="I129" s="28" t="str">
        <f>IF(IFERROR(_xlfn.XLOOKUP(Tableau4849[[#This Row],[SL]],'[1]Tickets (2)'!J126:J920,'[1]Tickets (2)'!I129:I923),"")=0,"",IFERROR(_xlfn.XLOOKUP(Tableau4849[[#This Row],[SL]],'[1]Tickets (2)'!J126:J920,'[1]Tickets (2)'!I129:I923),""))</f>
        <v/>
      </c>
      <c r="J129">
        <v>1</v>
      </c>
      <c r="K12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29" s="33">
        <v>44923.631425115738</v>
      </c>
      <c r="N129" s="3" t="str">
        <f>IF(Tableau4849[[#This Row],[T CLOSE]]&gt;[1]CONFIGURATION!$K$4,Tableau4849[[#This Row],[IDENTITE]],"")</f>
        <v/>
      </c>
      <c r="O129" s="26">
        <f>IFERROR(Tableau4849[[#This Row],[SL]]/(Tableau4849[[#This Row],[VOLUME]]/$I$5),0)</f>
        <v>0</v>
      </c>
      <c r="P129" s="26" t="str">
        <f>Tableau4849[[#This Row],[COMMAND]]</f>
        <v>BUY</v>
      </c>
      <c r="Q12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1.20231 M1M1</v>
      </c>
      <c r="R129" s="29">
        <v>-386</v>
      </c>
      <c r="S129" s="26" t="str">
        <f>IF(Tableau4849[[#This Row],[ETAT]]="LOSE",IF(IFERROR(ABS(SUBSTITUTE(Tableau4849[[#This Row],[PRICE]],".",",")-'[1]Deal ticket'!$B$16)*1000,"")&lt;=$S$5,"GO","WAIT"),"")</f>
        <v/>
      </c>
      <c r="T12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29" s="34" t="str">
        <f>IF(Tableau4849[[#This Row],[ETAT]]="LOSE",IF(IFERROR(ABS(SUBSTITUTE(Tableau4849[[#This Row],[PRICE]],".",",")-'[1]Deal ticket'!$B$16)*1000,"")&lt;=$U$5,"GO","WAIT"),"")</f>
        <v/>
      </c>
      <c r="V129" s="26">
        <f>IF(Tableau4849[[#This Row],[INDEX]]&lt;3,"",SUMIFS(Tableau4849[SL],Tableau4849[Colonne5],Tableau4849[[#This Row],[Colonne5]])+$S$4)</f>
        <v>1</v>
      </c>
      <c r="W129" s="34" t="str">
        <f>IF(Tableau4849[[#This Row],[ETAT]]="LOSE",IF(IFERROR(ABS(SUBSTITUTE(Tableau4849[[#This Row],[PRICE]],".",",")-'[1]Deal ticket'!$B$16)*1000,"")&lt;=$W$5,"GO","WAIT"),"")</f>
        <v/>
      </c>
      <c r="X12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2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2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2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29" s="26">
        <f>IF(AND(Tableau4849[[#This Row],[3,8]]=1),Tableau4849[[#This Row],[INDEX]],"")</f>
        <v>37</v>
      </c>
      <c r="AC129" s="26" t="str">
        <f ca="1">IF(IFERROR(_xlfn.XLOOKUP(Tableau4849[[#This Row],[IDENTITE]],[1]!Tableau47[GLOBUY],[1]!Tableau47[GLOBUY]),"")="","",1)</f>
        <v/>
      </c>
      <c r="AD129" s="26" t="str">
        <f>IF(IFERROR(_xlfn.XLOOKUP(Tableau4849[[#This Row],[IDENTITE]],[1]!Tableau47[GLOSELL],[1]!Tableau47[GLOSELL]),"")="","",1)</f>
        <v/>
      </c>
      <c r="AE129" s="26"/>
      <c r="AF129" s="26">
        <f>IF(Tableau4849[[#This Row],[INDEX]]&lt;3,"",IF(Tableau4849[[#This Row],[COMMAND]]="","",IF('[1]Bar history'!$AA$33=1,1,"")))</f>
        <v>1</v>
      </c>
      <c r="AG129" s="26"/>
      <c r="AH129" s="26" t="str">
        <f>IF(IFERROR(_xlfn.XLOOKUP(Tableau4849[[#This Row],[IDENTITE]],[1]!Tableau47[COMMENTAIRE],[1]!Tableau47[CLOTURE]),"")=[1]PARAMETRE!$BK$31,Tableau4849[[#This Row],[INDEX]],"")</f>
        <v/>
      </c>
      <c r="AI129" s="26"/>
      <c r="AJ129" s="35" t="str">
        <f>IF(AND(ISNUMBER(SEARCH("BUY",Tableau4849[[#This Row],[COMMAND]]))),"BUYSTOP",IF(AND(ISNUMBER(SEARCH("SELL",Tableau4849[[#This Row],[COMMAND]]))),"SELLSTOP",""))</f>
        <v>BUYSTOP</v>
      </c>
      <c r="AK129" s="35" t="str">
        <f>IFERROR(SUBSTITUTE(Tableau4849[[#This Row],[PRICE]],",","."),"")</f>
        <v>1.06537</v>
      </c>
      <c r="AL129" s="35" t="str">
        <f>IF(Tableau4849[[#This Row],[INDEX]]&lt;3,"",Tableau4849[[#This Row],[IDENTITE]])</f>
        <v>1 RBRB B 1.20231 M1M1</v>
      </c>
      <c r="AM129" s="35" t="str">
        <f>IF(Tableau4849[[#This Row],[INDEX]]&lt;3,"",Tableau4849[[#This Row],[DEVISE]])</f>
        <v>EURUSD</v>
      </c>
      <c r="AN129" s="35">
        <f>IFERROR(IF(Tableau4849[[#This Row],[INDEX]]&lt;3,"",Tableau4849[[#This Row],[ATTEINT]]),100000)</f>
        <v>100000</v>
      </c>
      <c r="AO129" s="35">
        <f>IF(Tableau4849[[#This Row],[INDEX]]&lt;3,"",Tableau4849[[#This Row],[COMPTE]])</f>
        <v>925832</v>
      </c>
      <c r="AP129" s="35" t="str">
        <f>IF(Tableau4849[[#This Row],[INDEX]]&lt;3,"","NON")</f>
        <v>NON</v>
      </c>
      <c r="AQ129" s="35" t="str">
        <f>IF(Tableau4849[[#This Row],[INDEX]]&lt;3,"",IF(Tableau4849[[#This Row],[0,5]]&lt;0,"NEGATIF",""))</f>
        <v>NEGATIF</v>
      </c>
    </row>
    <row r="130" spans="1:43" x14ac:dyDescent="0.25">
      <c r="A130" s="24">
        <v>38</v>
      </c>
      <c r="B130" s="32">
        <v>44923.371701388889</v>
      </c>
      <c r="C130" s="26">
        <v>925832</v>
      </c>
      <c r="D130" s="24" t="s">
        <v>0</v>
      </c>
      <c r="E130" s="24" t="s">
        <v>47</v>
      </c>
      <c r="F130" s="24">
        <v>1.0653900000000001</v>
      </c>
      <c r="G130" s="26">
        <v>9000</v>
      </c>
      <c r="H130" s="27" t="s">
        <v>176</v>
      </c>
      <c r="I130" s="28" t="str">
        <f>IF(IFERROR(_xlfn.XLOOKUP(Tableau4849[[#This Row],[SL]],'[1]Tickets (2)'!J127:J921,'[1]Tickets (2)'!I130:I924),"")=0,"",IFERROR(_xlfn.XLOOKUP(Tableau4849[[#This Row],[SL]],'[1]Tickets (2)'!J127:J921,'[1]Tickets (2)'!I130:I924),""))</f>
        <v/>
      </c>
      <c r="J130">
        <v>1</v>
      </c>
      <c r="K13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0" s="33">
        <v>44923.631425115738</v>
      </c>
      <c r="N130" s="3" t="str">
        <f>IF(Tableau4849[[#This Row],[T CLOSE]]&gt;[1]CONFIGURATION!$K$4,Tableau4849[[#This Row],[IDENTITE]],"")</f>
        <v/>
      </c>
      <c r="O130" s="26">
        <f>IFERROR(Tableau4849[[#This Row],[SL]]/(Tableau4849[[#This Row],[VOLUME]]/$I$5),0)</f>
        <v>0</v>
      </c>
      <c r="P130" s="26" t="str">
        <f>Tableau4849[[#This Row],[COMMAND]]</f>
        <v>BUY</v>
      </c>
      <c r="Q13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1.2022 M1M1</v>
      </c>
      <c r="R130" s="29">
        <v>-396</v>
      </c>
      <c r="S130" s="26" t="str">
        <f>IF(Tableau4849[[#This Row],[ETAT]]="LOSE",IF(IFERROR(ABS(SUBSTITUTE(Tableau4849[[#This Row],[PRICE]],".",",")-'[1]Deal ticket'!$B$16)*1000,"")&lt;=$S$5,"GO","WAIT"),"")</f>
        <v/>
      </c>
      <c r="T13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0" s="34" t="str">
        <f>IF(Tableau4849[[#This Row],[ETAT]]="LOSE",IF(IFERROR(ABS(SUBSTITUTE(Tableau4849[[#This Row],[PRICE]],".",",")-'[1]Deal ticket'!$B$16)*1000,"")&lt;=$U$5,"GO","WAIT"),"")</f>
        <v/>
      </c>
      <c r="V130" s="26">
        <f>IF(Tableau4849[[#This Row],[INDEX]]&lt;3,"",SUMIFS(Tableau4849[SL],Tableau4849[Colonne5],Tableau4849[[#This Row],[Colonne5]])+$S$4)</f>
        <v>1</v>
      </c>
      <c r="W130" s="34" t="str">
        <f>IF(Tableau4849[[#This Row],[ETAT]]="LOSE",IF(IFERROR(ABS(SUBSTITUTE(Tableau4849[[#This Row],[PRICE]],".",",")-'[1]Deal ticket'!$B$16)*1000,"")&lt;=$W$5,"GO","WAIT"),"")</f>
        <v/>
      </c>
      <c r="X13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30" s="26">
        <f>IF(AND(Tableau4849[[#This Row],[3,8]]=1),Tableau4849[[#This Row],[INDEX]],"")</f>
        <v>38</v>
      </c>
      <c r="AC130" s="26" t="str">
        <f ca="1">IF(IFERROR(_xlfn.XLOOKUP(Tableau4849[[#This Row],[IDENTITE]],[1]!Tableau47[GLOBUY],[1]!Tableau47[GLOBUY]),"")="","",1)</f>
        <v/>
      </c>
      <c r="AD130" s="26" t="str">
        <f>IF(IFERROR(_xlfn.XLOOKUP(Tableau4849[[#This Row],[IDENTITE]],[1]!Tableau47[GLOSELL],[1]!Tableau47[GLOSELL]),"")="","",1)</f>
        <v/>
      </c>
      <c r="AE130" s="26"/>
      <c r="AF130" s="26">
        <f>IF(Tableau4849[[#This Row],[INDEX]]&lt;3,"",IF(Tableau4849[[#This Row],[COMMAND]]="","",IF('[1]Bar history'!$AA$33=1,1,"")))</f>
        <v>1</v>
      </c>
      <c r="AG130" s="26"/>
      <c r="AH130" s="26" t="str">
        <f>IF(IFERROR(_xlfn.XLOOKUP(Tableau4849[[#This Row],[IDENTITE]],[1]!Tableau47[COMMENTAIRE],[1]!Tableau47[CLOTURE]),"")=[1]PARAMETRE!$BK$31,Tableau4849[[#This Row],[INDEX]],"")</f>
        <v/>
      </c>
      <c r="AI130" s="26"/>
      <c r="AJ130" s="35" t="str">
        <f>IF(AND(ISNUMBER(SEARCH("BUY",Tableau4849[[#This Row],[COMMAND]]))),"BUYSTOP",IF(AND(ISNUMBER(SEARCH("SELL",Tableau4849[[#This Row],[COMMAND]]))),"SELLSTOP",""))</f>
        <v>BUYSTOP</v>
      </c>
      <c r="AK130" s="35" t="str">
        <f>IFERROR(SUBSTITUTE(Tableau4849[[#This Row],[PRICE]],",","."),"")</f>
        <v>1.06539</v>
      </c>
      <c r="AL130" s="35" t="str">
        <f>IF(Tableau4849[[#This Row],[INDEX]]&lt;3,"",Tableau4849[[#This Row],[IDENTITE]])</f>
        <v>1 RBRB B 1.2022 M1M1</v>
      </c>
      <c r="AM130" s="35" t="str">
        <f>IF(Tableau4849[[#This Row],[INDEX]]&lt;3,"",Tableau4849[[#This Row],[DEVISE]])</f>
        <v>EURUSD</v>
      </c>
      <c r="AN130" s="35">
        <f>IFERROR(IF(Tableau4849[[#This Row],[INDEX]]&lt;3,"",Tableau4849[[#This Row],[ATTEINT]]),100000)</f>
        <v>100000</v>
      </c>
      <c r="AO130" s="35">
        <f>IF(Tableau4849[[#This Row],[INDEX]]&lt;3,"",Tableau4849[[#This Row],[COMPTE]])</f>
        <v>925832</v>
      </c>
      <c r="AP130" s="35" t="str">
        <f>IF(Tableau4849[[#This Row],[INDEX]]&lt;3,"","NON")</f>
        <v>NON</v>
      </c>
      <c r="AQ130" s="35" t="str">
        <f>IF(Tableau4849[[#This Row],[INDEX]]&lt;3,"",IF(Tableau4849[[#This Row],[0,5]]&lt;0,"NEGATIF",""))</f>
        <v>NEGATIF</v>
      </c>
    </row>
    <row r="131" spans="1:43" x14ac:dyDescent="0.25">
      <c r="A131" s="24">
        <v>39</v>
      </c>
      <c r="B131" s="32">
        <v>44923.371354166666</v>
      </c>
      <c r="C131" s="26">
        <v>925832</v>
      </c>
      <c r="D131" s="24" t="s">
        <v>0</v>
      </c>
      <c r="E131" s="24" t="s">
        <v>47</v>
      </c>
      <c r="F131" s="24">
        <v>1.06542</v>
      </c>
      <c r="G131" s="26">
        <v>3000</v>
      </c>
      <c r="H131" s="27" t="s">
        <v>6</v>
      </c>
      <c r="I131" s="28" t="str">
        <f>IF(IFERROR(_xlfn.XLOOKUP(Tableau4849[[#This Row],[SL]],'[1]Tickets (2)'!J128:J922,'[1]Tickets (2)'!I131:I925),"")=0,"",IFERROR(_xlfn.XLOOKUP(Tableau4849[[#This Row],[SL]],'[1]Tickets (2)'!J128:J922,'[1]Tickets (2)'!I131:I925),""))</f>
        <v/>
      </c>
      <c r="J131">
        <v>1</v>
      </c>
      <c r="K13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1" s="33">
        <v>44923.631425115738</v>
      </c>
      <c r="N131" s="3" t="str">
        <f>IF(Tableau4849[[#This Row],[T CLOSE]]&gt;[1]CONFIGURATION!$K$4,Tableau4849[[#This Row],[IDENTITE]],"")</f>
        <v/>
      </c>
      <c r="O131" s="26">
        <f>IFERROR(Tableau4849[[#This Row],[SL]]/(Tableau4849[[#This Row],[VOLUME]]/$I$5),0)</f>
        <v>0</v>
      </c>
      <c r="P131" s="26" t="str">
        <f>Tableau4849[[#This Row],[COMMAND]]</f>
        <v>BUY</v>
      </c>
      <c r="Q13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1.06393 M1M1</v>
      </c>
      <c r="R131" s="29">
        <v>-406</v>
      </c>
      <c r="S131" s="26" t="str">
        <f>IF(Tableau4849[[#This Row],[ETAT]]="LOSE",IF(IFERROR(ABS(SUBSTITUTE(Tableau4849[[#This Row],[PRICE]],".",",")-'[1]Deal ticket'!$B$16)*1000,"")&lt;=$S$5,"GO","WAIT"),"")</f>
        <v/>
      </c>
      <c r="T13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1" s="34" t="str">
        <f>IF(Tableau4849[[#This Row],[ETAT]]="LOSE",IF(IFERROR(ABS(SUBSTITUTE(Tableau4849[[#This Row],[PRICE]],".",",")-'[1]Deal ticket'!$B$16)*1000,"")&lt;=$U$5,"GO","WAIT"),"")</f>
        <v/>
      </c>
      <c r="V131" s="26">
        <f>IF(Tableau4849[[#This Row],[INDEX]]&lt;3,"",SUMIFS(Tableau4849[SL],Tableau4849[Colonne5],Tableau4849[[#This Row],[Colonne5]])+$S$4)</f>
        <v>1</v>
      </c>
      <c r="W131" s="34" t="str">
        <f>IF(Tableau4849[[#This Row],[ETAT]]="LOSE",IF(IFERROR(ABS(SUBSTITUTE(Tableau4849[[#This Row],[PRICE]],".",",")-'[1]Deal ticket'!$B$16)*1000,"")&lt;=$W$5,"GO","WAIT"),"")</f>
        <v/>
      </c>
      <c r="X13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31" s="26">
        <f>IF(AND(Tableau4849[[#This Row],[3,8]]=1),Tableau4849[[#This Row],[INDEX]],"")</f>
        <v>39</v>
      </c>
      <c r="AC131" s="26" t="str">
        <f ca="1">IF(IFERROR(_xlfn.XLOOKUP(Tableau4849[[#This Row],[IDENTITE]],[1]!Tableau47[GLOBUY],[1]!Tableau47[GLOBUY]),"")="","",1)</f>
        <v/>
      </c>
      <c r="AD131" s="26" t="str">
        <f>IF(IFERROR(_xlfn.XLOOKUP(Tableau4849[[#This Row],[IDENTITE]],[1]!Tableau47[GLOSELL],[1]!Tableau47[GLOSELL]),"")="","",1)</f>
        <v/>
      </c>
      <c r="AE131" s="26"/>
      <c r="AF131" s="26">
        <f>IF(Tableau4849[[#This Row],[INDEX]]&lt;3,"",IF(Tableau4849[[#This Row],[COMMAND]]="","",IF('[1]Bar history'!$AA$33=1,1,"")))</f>
        <v>1</v>
      </c>
      <c r="AG131" s="26"/>
      <c r="AH131" s="26" t="str">
        <f>IF(IFERROR(_xlfn.XLOOKUP(Tableau4849[[#This Row],[IDENTITE]],[1]!Tableau47[COMMENTAIRE],[1]!Tableau47[CLOTURE]),"")=[1]PARAMETRE!$BK$31,Tableau4849[[#This Row],[INDEX]],"")</f>
        <v/>
      </c>
      <c r="AI131" s="26"/>
      <c r="AJ131" s="35" t="str">
        <f>IF(AND(ISNUMBER(SEARCH("BUY",Tableau4849[[#This Row],[COMMAND]]))),"BUYSTOP",IF(AND(ISNUMBER(SEARCH("SELL",Tableau4849[[#This Row],[COMMAND]]))),"SELLSTOP",""))</f>
        <v>BUYSTOP</v>
      </c>
      <c r="AK131" s="35" t="str">
        <f>IFERROR(SUBSTITUTE(Tableau4849[[#This Row],[PRICE]],",","."),"")</f>
        <v>1.06542</v>
      </c>
      <c r="AL131" s="35" t="str">
        <f>IF(Tableau4849[[#This Row],[INDEX]]&lt;3,"",Tableau4849[[#This Row],[IDENTITE]])</f>
        <v>1 RBRB B 1.06393 M1M1</v>
      </c>
      <c r="AM131" s="35" t="str">
        <f>IF(Tableau4849[[#This Row],[INDEX]]&lt;3,"",Tableau4849[[#This Row],[DEVISE]])</f>
        <v>EURUSD</v>
      </c>
      <c r="AN131" s="35">
        <f>IFERROR(IF(Tableau4849[[#This Row],[INDEX]]&lt;3,"",Tableau4849[[#This Row],[ATTEINT]]),100000)</f>
        <v>100000</v>
      </c>
      <c r="AO131" s="35">
        <f>IF(Tableau4849[[#This Row],[INDEX]]&lt;3,"",Tableau4849[[#This Row],[COMPTE]])</f>
        <v>925832</v>
      </c>
      <c r="AP131" s="35" t="str">
        <f>IF(Tableau4849[[#This Row],[INDEX]]&lt;3,"","NON")</f>
        <v>NON</v>
      </c>
      <c r="AQ131" s="35" t="str">
        <f>IF(Tableau4849[[#This Row],[INDEX]]&lt;3,"",IF(Tableau4849[[#This Row],[0,5]]&lt;0,"NEGATIF",""))</f>
        <v>NEGATIF</v>
      </c>
    </row>
    <row r="132" spans="1:43" x14ac:dyDescent="0.25">
      <c r="A132" s="24">
        <v>40</v>
      </c>
      <c r="B132" s="32">
        <v>44923.370648148149</v>
      </c>
      <c r="C132" s="26">
        <v>925832</v>
      </c>
      <c r="D132" s="24" t="s">
        <v>0</v>
      </c>
      <c r="E132" s="24" t="s">
        <v>47</v>
      </c>
      <c r="F132" s="24">
        <v>1.06551</v>
      </c>
      <c r="G132" s="26">
        <v>52000</v>
      </c>
      <c r="H132" s="27" t="s">
        <v>179</v>
      </c>
      <c r="I132" s="28" t="str">
        <f>IF(IFERROR(_xlfn.XLOOKUP(Tableau4849[[#This Row],[SL]],'[1]Tickets (2)'!J129:J923,'[1]Tickets (2)'!I132:I926),"")=0,"",IFERROR(_xlfn.XLOOKUP(Tableau4849[[#This Row],[SL]],'[1]Tickets (2)'!J129:J923,'[1]Tickets (2)'!I132:I926),""))</f>
        <v/>
      </c>
      <c r="J132">
        <v>1</v>
      </c>
      <c r="K13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2" s="33">
        <v>44923.631425115738</v>
      </c>
      <c r="N132" s="3" t="str">
        <f>IF(Tableau4849[[#This Row],[T CLOSE]]&gt;[1]CONFIGURATION!$K$4,Tableau4849[[#This Row],[IDENTITE]],"")</f>
        <v/>
      </c>
      <c r="O132" s="26">
        <f>IFERROR(Tableau4849[[#This Row],[SL]]/(Tableau4849[[#This Row],[VOLUME]]/$I$5),0)</f>
        <v>0</v>
      </c>
      <c r="P132" s="26" t="str">
        <f>Tableau4849[[#This Row],[COMMAND]]</f>
        <v>BUY</v>
      </c>
      <c r="Q13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1.06398 M1M1</v>
      </c>
      <c r="R132" s="29">
        <v>-416</v>
      </c>
      <c r="S132" s="26" t="str">
        <f>IF(Tableau4849[[#This Row],[ETAT]]="LOSE",IF(IFERROR(ABS(SUBSTITUTE(Tableau4849[[#This Row],[PRICE]],".",",")-'[1]Deal ticket'!$B$16)*1000,"")&lt;=$S$5,"GO","WAIT"),"")</f>
        <v/>
      </c>
      <c r="T13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2" s="34" t="str">
        <f>IF(Tableau4849[[#This Row],[ETAT]]="LOSE",IF(IFERROR(ABS(SUBSTITUTE(Tableau4849[[#This Row],[PRICE]],".",",")-'[1]Deal ticket'!$B$16)*1000,"")&lt;=$U$5,"GO","WAIT"),"")</f>
        <v/>
      </c>
      <c r="V132" s="26">
        <f>IF(Tableau4849[[#This Row],[INDEX]]&lt;3,"",SUMIFS(Tableau4849[SL],Tableau4849[Colonne5],Tableau4849[[#This Row],[Colonne5]])+$S$4)</f>
        <v>1</v>
      </c>
      <c r="W132" s="34" t="str">
        <f>IF(Tableau4849[[#This Row],[ETAT]]="LOSE",IF(IFERROR(ABS(SUBSTITUTE(Tableau4849[[#This Row],[PRICE]],".",",")-'[1]Deal ticket'!$B$16)*1000,"")&lt;=$W$5,"GO","WAIT"),"")</f>
        <v/>
      </c>
      <c r="X13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32" s="26">
        <f>IF(AND(Tableau4849[[#This Row],[3,8]]=1),Tableau4849[[#This Row],[INDEX]],"")</f>
        <v>40</v>
      </c>
      <c r="AC132" s="26" t="str">
        <f ca="1">IF(IFERROR(_xlfn.XLOOKUP(Tableau4849[[#This Row],[IDENTITE]],[1]!Tableau47[GLOBUY],[1]!Tableau47[GLOBUY]),"")="","",1)</f>
        <v/>
      </c>
      <c r="AD132" s="26" t="str">
        <f>IF(IFERROR(_xlfn.XLOOKUP(Tableau4849[[#This Row],[IDENTITE]],[1]!Tableau47[GLOSELL],[1]!Tableau47[GLOSELL]),"")="","",1)</f>
        <v/>
      </c>
      <c r="AE132" s="26"/>
      <c r="AF132" s="26">
        <f>IF(Tableau4849[[#This Row],[INDEX]]&lt;3,"",IF(Tableau4849[[#This Row],[COMMAND]]="","",IF('[1]Bar history'!$AA$33=1,1,"")))</f>
        <v>1</v>
      </c>
      <c r="AG132" s="26"/>
      <c r="AH132" s="26" t="str">
        <f>IF(IFERROR(_xlfn.XLOOKUP(Tableau4849[[#This Row],[IDENTITE]],[1]!Tableau47[COMMENTAIRE],[1]!Tableau47[CLOTURE]),"")=[1]PARAMETRE!$BK$31,Tableau4849[[#This Row],[INDEX]],"")</f>
        <v/>
      </c>
      <c r="AI132" s="26"/>
      <c r="AJ132" s="35" t="str">
        <f>IF(AND(ISNUMBER(SEARCH("BUY",Tableau4849[[#This Row],[COMMAND]]))),"BUYSTOP",IF(AND(ISNUMBER(SEARCH("SELL",Tableau4849[[#This Row],[COMMAND]]))),"SELLSTOP",""))</f>
        <v>BUYSTOP</v>
      </c>
      <c r="AK132" s="35" t="str">
        <f>IFERROR(SUBSTITUTE(Tableau4849[[#This Row],[PRICE]],",","."),"")</f>
        <v>1.06551</v>
      </c>
      <c r="AL132" s="35" t="str">
        <f>IF(Tableau4849[[#This Row],[INDEX]]&lt;3,"",Tableau4849[[#This Row],[IDENTITE]])</f>
        <v>1 RBRB B 1.06398 M1M1</v>
      </c>
      <c r="AM132" s="35" t="str">
        <f>IF(Tableau4849[[#This Row],[INDEX]]&lt;3,"",Tableau4849[[#This Row],[DEVISE]])</f>
        <v>EURUSD</v>
      </c>
      <c r="AN132" s="35">
        <f>IFERROR(IF(Tableau4849[[#This Row],[INDEX]]&lt;3,"",Tableau4849[[#This Row],[ATTEINT]]),100000)</f>
        <v>100000</v>
      </c>
      <c r="AO132" s="35">
        <f>IF(Tableau4849[[#This Row],[INDEX]]&lt;3,"",Tableau4849[[#This Row],[COMPTE]])</f>
        <v>925832</v>
      </c>
      <c r="AP132" s="35" t="str">
        <f>IF(Tableau4849[[#This Row],[INDEX]]&lt;3,"","NON")</f>
        <v>NON</v>
      </c>
      <c r="AQ132" s="35" t="str">
        <f>IF(Tableau4849[[#This Row],[INDEX]]&lt;3,"",IF(Tableau4849[[#This Row],[0,5]]&lt;0,"NEGATIF",""))</f>
        <v>NEGATIF</v>
      </c>
    </row>
    <row r="133" spans="1:43" x14ac:dyDescent="0.25">
      <c r="A133" s="24">
        <v>41</v>
      </c>
      <c r="B133" s="32">
        <v>44923.370300925926</v>
      </c>
      <c r="C133" s="26">
        <v>925832</v>
      </c>
      <c r="D133" s="24" t="s">
        <v>0</v>
      </c>
      <c r="E133" s="24" t="s">
        <v>47</v>
      </c>
      <c r="F133" s="24">
        <v>1.06545</v>
      </c>
      <c r="G133" s="26">
        <v>37000</v>
      </c>
      <c r="H133" s="27" t="s">
        <v>181</v>
      </c>
      <c r="I133" s="28" t="str">
        <f>IF(IFERROR(_xlfn.XLOOKUP(Tableau4849[[#This Row],[SL]],'[1]Tickets (2)'!J130:J924,'[1]Tickets (2)'!I133:I927),"")=0,"",IFERROR(_xlfn.XLOOKUP(Tableau4849[[#This Row],[SL]],'[1]Tickets (2)'!J130:J924,'[1]Tickets (2)'!I133:I927),""))</f>
        <v/>
      </c>
      <c r="J133">
        <v>1</v>
      </c>
      <c r="K13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3" s="33">
        <v>44923.631425115738</v>
      </c>
      <c r="N133" s="3" t="str">
        <f>IF(Tableau4849[[#This Row],[T CLOSE]]&gt;[1]CONFIGURATION!$K$4,Tableau4849[[#This Row],[IDENTITE]],"")</f>
        <v/>
      </c>
      <c r="O133" s="26">
        <f>IFERROR(Tableau4849[[#This Row],[SL]]/(Tableau4849[[#This Row],[VOLUME]]/$I$5),0)</f>
        <v>0</v>
      </c>
      <c r="P133" s="26" t="str">
        <f>Tableau4849[[#This Row],[COMMAND]]</f>
        <v>BUY</v>
      </c>
      <c r="Q13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1.20282 M1M1</v>
      </c>
      <c r="R133" s="29">
        <v>12</v>
      </c>
      <c r="S133" s="26" t="str">
        <f>IF(Tableau4849[[#This Row],[ETAT]]="LOSE",IF(IFERROR(ABS(SUBSTITUTE(Tableau4849[[#This Row],[PRICE]],".",",")-'[1]Deal ticket'!$B$16)*1000,"")&lt;=$S$5,"GO","WAIT"),"")</f>
        <v/>
      </c>
      <c r="T13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3" s="34" t="str">
        <f>IF(Tableau4849[[#This Row],[ETAT]]="LOSE",IF(IFERROR(ABS(SUBSTITUTE(Tableau4849[[#This Row],[PRICE]],".",",")-'[1]Deal ticket'!$B$16)*1000,"")&lt;=$U$5,"GO","WAIT"),"")</f>
        <v/>
      </c>
      <c r="V133" s="26">
        <f>IF(Tableau4849[[#This Row],[INDEX]]&lt;3,"",SUMIFS(Tableau4849[SL],Tableau4849[Colonne5],Tableau4849[[#This Row],[Colonne5]])+$S$4)</f>
        <v>1</v>
      </c>
      <c r="W133" s="34" t="str">
        <f>IF(Tableau4849[[#This Row],[ETAT]]="LOSE",IF(IFERROR(ABS(SUBSTITUTE(Tableau4849[[#This Row],[PRICE]],".",",")-'[1]Deal ticket'!$B$16)*1000,"")&lt;=$W$5,"GO","WAIT"),"")</f>
        <v/>
      </c>
      <c r="X13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3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33" s="26" t="str">
        <f>IF(AND(Tableau4849[[#This Row],[3,8]]=1),Tableau4849[[#This Row],[INDEX]],"")</f>
        <v/>
      </c>
      <c r="AC133" s="26" t="str">
        <f ca="1">IF(IFERROR(_xlfn.XLOOKUP(Tableau4849[[#This Row],[IDENTITE]],[1]!Tableau47[GLOBUY],[1]!Tableau47[GLOBUY]),"")="","",1)</f>
        <v/>
      </c>
      <c r="AD133" s="26" t="str">
        <f>IF(IFERROR(_xlfn.XLOOKUP(Tableau4849[[#This Row],[IDENTITE]],[1]!Tableau47[GLOSELL],[1]!Tableau47[GLOSELL]),"")="","",1)</f>
        <v/>
      </c>
      <c r="AE133" s="26"/>
      <c r="AF133" s="26">
        <f>IF(Tableau4849[[#This Row],[INDEX]]&lt;3,"",IF(Tableau4849[[#This Row],[COMMAND]]="","",IF('[1]Bar history'!$AA$33=1,1,"")))</f>
        <v>1</v>
      </c>
      <c r="AG133" s="26"/>
      <c r="AH133" s="26" t="str">
        <f>IF(IFERROR(_xlfn.XLOOKUP(Tableau4849[[#This Row],[IDENTITE]],[1]!Tableau47[COMMENTAIRE],[1]!Tableau47[CLOTURE]),"")=[1]PARAMETRE!$BK$31,Tableau4849[[#This Row],[INDEX]],"")</f>
        <v/>
      </c>
      <c r="AI133" s="26"/>
      <c r="AJ133" s="35" t="str">
        <f>IF(AND(ISNUMBER(SEARCH("BUY",Tableau4849[[#This Row],[COMMAND]]))),"BUYSTOP",IF(AND(ISNUMBER(SEARCH("SELL",Tableau4849[[#This Row],[COMMAND]]))),"SELLSTOP",""))</f>
        <v>BUYSTOP</v>
      </c>
      <c r="AK133" s="35" t="str">
        <f>IFERROR(SUBSTITUTE(Tableau4849[[#This Row],[PRICE]],",","."),"")</f>
        <v>1.06545</v>
      </c>
      <c r="AL133" s="35" t="str">
        <f>IF(Tableau4849[[#This Row],[INDEX]]&lt;3,"",Tableau4849[[#This Row],[IDENTITE]])</f>
        <v>1 RBRB B 1.20282 M1M1</v>
      </c>
      <c r="AM133" s="35" t="str">
        <f>IF(Tableau4849[[#This Row],[INDEX]]&lt;3,"",Tableau4849[[#This Row],[DEVISE]])</f>
        <v>EURUSD</v>
      </c>
      <c r="AN133" s="35">
        <f>IFERROR(IF(Tableau4849[[#This Row],[INDEX]]&lt;3,"",Tableau4849[[#This Row],[ATTEINT]]),100000)</f>
        <v>100000</v>
      </c>
      <c r="AO133" s="35">
        <f>IF(Tableau4849[[#This Row],[INDEX]]&lt;3,"",Tableau4849[[#This Row],[COMPTE]])</f>
        <v>925832</v>
      </c>
      <c r="AP133" s="35" t="str">
        <f>IF(Tableau4849[[#This Row],[INDEX]]&lt;3,"","NON")</f>
        <v>NON</v>
      </c>
      <c r="AQ133" s="35" t="str">
        <f>IF(Tableau4849[[#This Row],[INDEX]]&lt;3,"",IF(Tableau4849[[#This Row],[0,5]]&lt;0,"NEGATIF",""))</f>
        <v/>
      </c>
    </row>
    <row r="134" spans="1:43" x14ac:dyDescent="0.25">
      <c r="A134" s="24">
        <v>42</v>
      </c>
      <c r="B134" s="32">
        <v>44923.370023148149</v>
      </c>
      <c r="C134" s="26">
        <v>925832</v>
      </c>
      <c r="D134" s="24" t="s">
        <v>0</v>
      </c>
      <c r="E134" s="24" t="s">
        <v>47</v>
      </c>
      <c r="F134" s="24">
        <v>1.0654399999999999</v>
      </c>
      <c r="G134" s="26">
        <v>24000</v>
      </c>
      <c r="H134" s="27" t="s">
        <v>183</v>
      </c>
      <c r="I134" s="28" t="str">
        <f>IF(IFERROR(_xlfn.XLOOKUP(Tableau4849[[#This Row],[SL]],'[1]Tickets (2)'!J131:J925,'[1]Tickets (2)'!I134:I928),"")=0,"",IFERROR(_xlfn.XLOOKUP(Tableau4849[[#This Row],[SL]],'[1]Tickets (2)'!J131:J925,'[1]Tickets (2)'!I134:I928),""))</f>
        <v/>
      </c>
      <c r="J134">
        <v>1</v>
      </c>
      <c r="K13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4" s="33">
        <v>44923.631425115738</v>
      </c>
      <c r="N134" s="3" t="str">
        <f>IF(Tableau4849[[#This Row],[T CLOSE]]&gt;[1]CONFIGURATION!$K$4,Tableau4849[[#This Row],[IDENTITE]],"")</f>
        <v/>
      </c>
      <c r="O134" s="26">
        <f>IFERROR(Tableau4849[[#This Row],[SL]]/(Tableau4849[[#This Row],[VOLUME]]/$I$5),0)</f>
        <v>0</v>
      </c>
      <c r="P134" s="26" t="str">
        <f>Tableau4849[[#This Row],[COMMAND]]</f>
        <v>BUY</v>
      </c>
      <c r="Q13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1.20257 M1M1</v>
      </c>
      <c r="R134" s="29">
        <v>13</v>
      </c>
      <c r="S134" s="26" t="str">
        <f>IF(Tableau4849[[#This Row],[ETAT]]="LOSE",IF(IFERROR(ABS(SUBSTITUTE(Tableau4849[[#This Row],[PRICE]],".",",")-'[1]Deal ticket'!$B$16)*1000,"")&lt;=$S$5,"GO","WAIT"),"")</f>
        <v/>
      </c>
      <c r="T13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4" s="34" t="str">
        <f>IF(Tableau4849[[#This Row],[ETAT]]="LOSE",IF(IFERROR(ABS(SUBSTITUTE(Tableau4849[[#This Row],[PRICE]],".",",")-'[1]Deal ticket'!$B$16)*1000,"")&lt;=$U$5,"GO","WAIT"),"")</f>
        <v/>
      </c>
      <c r="V134" s="26">
        <f>IF(Tableau4849[[#This Row],[INDEX]]&lt;3,"",SUMIFS(Tableau4849[SL],Tableau4849[Colonne5],Tableau4849[[#This Row],[Colonne5]])+$S$4)</f>
        <v>1</v>
      </c>
      <c r="W134" s="34" t="str">
        <f>IF(Tableau4849[[#This Row],[ETAT]]="LOSE",IF(IFERROR(ABS(SUBSTITUTE(Tableau4849[[#This Row],[PRICE]],".",",")-'[1]Deal ticket'!$B$16)*1000,"")&lt;=$W$5,"GO","WAIT"),"")</f>
        <v/>
      </c>
      <c r="X13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4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34" s="26" t="str">
        <f>IF(AND(Tableau4849[[#This Row],[3,8]]=1),Tableau4849[[#This Row],[INDEX]],"")</f>
        <v/>
      </c>
      <c r="AC134" s="26" t="str">
        <f ca="1">IF(IFERROR(_xlfn.XLOOKUP(Tableau4849[[#This Row],[IDENTITE]],[1]!Tableau47[GLOBUY],[1]!Tableau47[GLOBUY]),"")="","",1)</f>
        <v/>
      </c>
      <c r="AD134" s="26" t="str">
        <f>IF(IFERROR(_xlfn.XLOOKUP(Tableau4849[[#This Row],[IDENTITE]],[1]!Tableau47[GLOSELL],[1]!Tableau47[GLOSELL]),"")="","",1)</f>
        <v/>
      </c>
      <c r="AE134" s="26"/>
      <c r="AF134" s="26">
        <f>IF(Tableau4849[[#This Row],[INDEX]]&lt;3,"",IF(Tableau4849[[#This Row],[COMMAND]]="","",IF('[1]Bar history'!$AA$33=1,1,"")))</f>
        <v>1</v>
      </c>
      <c r="AG134" s="26"/>
      <c r="AH134" s="26" t="str">
        <f>IF(IFERROR(_xlfn.XLOOKUP(Tableau4849[[#This Row],[IDENTITE]],[1]!Tableau47[COMMENTAIRE],[1]!Tableau47[CLOTURE]),"")=[1]PARAMETRE!$BK$31,Tableau4849[[#This Row],[INDEX]],"")</f>
        <v/>
      </c>
      <c r="AI134" s="26"/>
      <c r="AJ134" s="35" t="str">
        <f>IF(AND(ISNUMBER(SEARCH("BUY",Tableau4849[[#This Row],[COMMAND]]))),"BUYSTOP",IF(AND(ISNUMBER(SEARCH("SELL",Tableau4849[[#This Row],[COMMAND]]))),"SELLSTOP",""))</f>
        <v>BUYSTOP</v>
      </c>
      <c r="AK134" s="35" t="str">
        <f>IFERROR(SUBSTITUTE(Tableau4849[[#This Row],[PRICE]],",","."),"")</f>
        <v>1.06544</v>
      </c>
      <c r="AL134" s="35" t="str">
        <f>IF(Tableau4849[[#This Row],[INDEX]]&lt;3,"",Tableau4849[[#This Row],[IDENTITE]])</f>
        <v>1 RBRB B 1.20257 M1M1</v>
      </c>
      <c r="AM134" s="35" t="str">
        <f>IF(Tableau4849[[#This Row],[INDEX]]&lt;3,"",Tableau4849[[#This Row],[DEVISE]])</f>
        <v>EURUSD</v>
      </c>
      <c r="AN134" s="35">
        <f>IFERROR(IF(Tableau4849[[#This Row],[INDEX]]&lt;3,"",Tableau4849[[#This Row],[ATTEINT]]),100000)</f>
        <v>100000</v>
      </c>
      <c r="AO134" s="35">
        <f>IF(Tableau4849[[#This Row],[INDEX]]&lt;3,"",Tableau4849[[#This Row],[COMPTE]])</f>
        <v>925832</v>
      </c>
      <c r="AP134" s="35" t="str">
        <f>IF(Tableau4849[[#This Row],[INDEX]]&lt;3,"","NON")</f>
        <v>NON</v>
      </c>
      <c r="AQ134" s="35" t="str">
        <f>IF(Tableau4849[[#This Row],[INDEX]]&lt;3,"",IF(Tableau4849[[#This Row],[0,5]]&lt;0,"NEGATIF",""))</f>
        <v/>
      </c>
    </row>
    <row r="135" spans="1:43" x14ac:dyDescent="0.25">
      <c r="A135" s="24">
        <v>43</v>
      </c>
      <c r="B135" s="32">
        <v>44923.369791666664</v>
      </c>
      <c r="C135" s="26">
        <v>925832</v>
      </c>
      <c r="D135" s="24" t="s">
        <v>0</v>
      </c>
      <c r="E135" s="24" t="s">
        <v>47</v>
      </c>
      <c r="F135" s="24">
        <v>1.06545</v>
      </c>
      <c r="G135" s="26">
        <v>24000</v>
      </c>
      <c r="H135" s="27" t="s">
        <v>184</v>
      </c>
      <c r="I135" s="28" t="str">
        <f>IF(IFERROR(_xlfn.XLOOKUP(Tableau4849[[#This Row],[SL]],'[1]Tickets (2)'!J132:J926,'[1]Tickets (2)'!I135:I929),"")=0,"",IFERROR(_xlfn.XLOOKUP(Tableau4849[[#This Row],[SL]],'[1]Tickets (2)'!J132:J926,'[1]Tickets (2)'!I135:I929),""))</f>
        <v/>
      </c>
      <c r="J135">
        <v>1</v>
      </c>
      <c r="K13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5" s="33">
        <v>44923.631425115738</v>
      </c>
      <c r="N135" s="3" t="str">
        <f>IF(Tableau4849[[#This Row],[T CLOSE]]&gt;[1]CONFIGURATION!$K$4,Tableau4849[[#This Row],[IDENTITE]],"")</f>
        <v/>
      </c>
      <c r="O135" s="26">
        <f>IFERROR(Tableau4849[[#This Row],[SL]]/(Tableau4849[[#This Row],[VOLUME]]/$I$5),0)</f>
        <v>0</v>
      </c>
      <c r="P135" s="26" t="str">
        <f>Tableau4849[[#This Row],[COMMAND]]</f>
        <v>BUY</v>
      </c>
      <c r="Q13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1.20245 M1M1</v>
      </c>
      <c r="R135" s="29">
        <v>14</v>
      </c>
      <c r="S135" s="26" t="str">
        <f>IF(Tableau4849[[#This Row],[ETAT]]="LOSE",IF(IFERROR(ABS(SUBSTITUTE(Tableau4849[[#This Row],[PRICE]],".",",")-'[1]Deal ticket'!$B$16)*1000,"")&lt;=$S$5,"GO","WAIT"),"")</f>
        <v/>
      </c>
      <c r="T13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5" s="34" t="str">
        <f>IF(Tableau4849[[#This Row],[ETAT]]="LOSE",IF(IFERROR(ABS(SUBSTITUTE(Tableau4849[[#This Row],[PRICE]],".",",")-'[1]Deal ticket'!$B$16)*1000,"")&lt;=$U$5,"GO","WAIT"),"")</f>
        <v/>
      </c>
      <c r="V135" s="26">
        <f>IF(Tableau4849[[#This Row],[INDEX]]&lt;3,"",SUMIFS(Tableau4849[SL],Tableau4849[Colonne5],Tableau4849[[#This Row],[Colonne5]])+$S$4)</f>
        <v>1</v>
      </c>
      <c r="W135" s="34" t="str">
        <f>IF(Tableau4849[[#This Row],[ETAT]]="LOSE",IF(IFERROR(ABS(SUBSTITUTE(Tableau4849[[#This Row],[PRICE]],".",",")-'[1]Deal ticket'!$B$16)*1000,"")&lt;=$W$5,"GO","WAIT"),"")</f>
        <v/>
      </c>
      <c r="X13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5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35" s="26" t="str">
        <f>IF(AND(Tableau4849[[#This Row],[3,8]]=1),Tableau4849[[#This Row],[INDEX]],"")</f>
        <v/>
      </c>
      <c r="AC135" s="26" t="str">
        <f ca="1">IF(IFERROR(_xlfn.XLOOKUP(Tableau4849[[#This Row],[IDENTITE]],[1]!Tableau47[GLOBUY],[1]!Tableau47[GLOBUY]),"")="","",1)</f>
        <v/>
      </c>
      <c r="AD135" s="26" t="str">
        <f>IF(IFERROR(_xlfn.XLOOKUP(Tableau4849[[#This Row],[IDENTITE]],[1]!Tableau47[GLOSELL],[1]!Tableau47[GLOSELL]),"")="","",1)</f>
        <v/>
      </c>
      <c r="AE135" s="26"/>
      <c r="AF135" s="26">
        <f>IF(Tableau4849[[#This Row],[INDEX]]&lt;3,"",IF(Tableau4849[[#This Row],[COMMAND]]="","",IF('[1]Bar history'!$AA$33=1,1,"")))</f>
        <v>1</v>
      </c>
      <c r="AG135" s="26"/>
      <c r="AH135" s="26" t="str">
        <f>IF(IFERROR(_xlfn.XLOOKUP(Tableau4849[[#This Row],[IDENTITE]],[1]!Tableau47[COMMENTAIRE],[1]!Tableau47[CLOTURE]),"")=[1]PARAMETRE!$BK$31,Tableau4849[[#This Row],[INDEX]],"")</f>
        <v/>
      </c>
      <c r="AI135" s="26"/>
      <c r="AJ135" s="35" t="str">
        <f>IF(AND(ISNUMBER(SEARCH("BUY",Tableau4849[[#This Row],[COMMAND]]))),"BUYSTOP",IF(AND(ISNUMBER(SEARCH("SELL",Tableau4849[[#This Row],[COMMAND]]))),"SELLSTOP",""))</f>
        <v>BUYSTOP</v>
      </c>
      <c r="AK135" s="35" t="str">
        <f>IFERROR(SUBSTITUTE(Tableau4849[[#This Row],[PRICE]],",","."),"")</f>
        <v>1.06545</v>
      </c>
      <c r="AL135" s="35" t="str">
        <f>IF(Tableau4849[[#This Row],[INDEX]]&lt;3,"",Tableau4849[[#This Row],[IDENTITE]])</f>
        <v>1 RBRB B 1.20245 M1M1</v>
      </c>
      <c r="AM135" s="35" t="str">
        <f>IF(Tableau4849[[#This Row],[INDEX]]&lt;3,"",Tableau4849[[#This Row],[DEVISE]])</f>
        <v>EURUSD</v>
      </c>
      <c r="AN135" s="35">
        <f>IFERROR(IF(Tableau4849[[#This Row],[INDEX]]&lt;3,"",Tableau4849[[#This Row],[ATTEINT]]),100000)</f>
        <v>100000</v>
      </c>
      <c r="AO135" s="35">
        <f>IF(Tableau4849[[#This Row],[INDEX]]&lt;3,"",Tableau4849[[#This Row],[COMPTE]])</f>
        <v>925832</v>
      </c>
      <c r="AP135" s="35" t="str">
        <f>IF(Tableau4849[[#This Row],[INDEX]]&lt;3,"","NON")</f>
        <v>NON</v>
      </c>
      <c r="AQ135" s="35" t="str">
        <f>IF(Tableau4849[[#This Row],[INDEX]]&lt;3,"",IF(Tableau4849[[#This Row],[0,5]]&lt;0,"NEGATIF",""))</f>
        <v/>
      </c>
    </row>
    <row r="136" spans="1:43" x14ac:dyDescent="0.25">
      <c r="A136" s="24">
        <v>44</v>
      </c>
      <c r="B136" s="32">
        <v>44923.369537037041</v>
      </c>
      <c r="C136" s="26">
        <v>925832</v>
      </c>
      <c r="D136" s="24" t="s">
        <v>0</v>
      </c>
      <c r="E136" s="24" t="s">
        <v>47</v>
      </c>
      <c r="F136" s="24">
        <v>1.0654300000000001</v>
      </c>
      <c r="G136" s="26">
        <v>8000</v>
      </c>
      <c r="H136" s="27" t="s">
        <v>186</v>
      </c>
      <c r="I136" s="28" t="str">
        <f>IF(IFERROR(_xlfn.XLOOKUP(Tableau4849[[#This Row],[SL]],'[1]Tickets (2)'!J133:J927,'[1]Tickets (2)'!I136:I930),"")=0,"",IFERROR(_xlfn.XLOOKUP(Tableau4849[[#This Row],[SL]],'[1]Tickets (2)'!J133:J927,'[1]Tickets (2)'!I136:I930),""))</f>
        <v/>
      </c>
      <c r="J136">
        <v>1</v>
      </c>
      <c r="K13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6" s="33">
        <v>44923.631425115738</v>
      </c>
      <c r="N136" s="3" t="str">
        <f>IF(Tableau4849[[#This Row],[T CLOSE]]&gt;[1]CONFIGURATION!$K$4,Tableau4849[[#This Row],[IDENTITE]],"")</f>
        <v/>
      </c>
      <c r="O136" s="26">
        <f>IFERROR(Tableau4849[[#This Row],[SL]]/(Tableau4849[[#This Row],[VOLUME]]/$I$5),0)</f>
        <v>0</v>
      </c>
      <c r="P136" s="26" t="str">
        <f>Tableau4849[[#This Row],[COMMAND]]</f>
        <v>BUY</v>
      </c>
      <c r="Q13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1.20313 M1M1</v>
      </c>
      <c r="R136" s="29">
        <v>15</v>
      </c>
      <c r="S136" s="26" t="str">
        <f>IF(Tableau4849[[#This Row],[ETAT]]="LOSE",IF(IFERROR(ABS(SUBSTITUTE(Tableau4849[[#This Row],[PRICE]],".",",")-'[1]Deal ticket'!$B$16)*1000,"")&lt;=$S$5,"GO","WAIT"),"")</f>
        <v/>
      </c>
      <c r="T13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6" s="34" t="str">
        <f>IF(Tableau4849[[#This Row],[ETAT]]="LOSE",IF(IFERROR(ABS(SUBSTITUTE(Tableau4849[[#This Row],[PRICE]],".",",")-'[1]Deal ticket'!$B$16)*1000,"")&lt;=$U$5,"GO","WAIT"),"")</f>
        <v/>
      </c>
      <c r="V136" s="26">
        <f>IF(Tableau4849[[#This Row],[INDEX]]&lt;3,"",SUMIFS(Tableau4849[SL],Tableau4849[Colonne5],Tableau4849[[#This Row],[Colonne5]])+$S$4)</f>
        <v>1</v>
      </c>
      <c r="W136" s="34" t="str">
        <f>IF(Tableau4849[[#This Row],[ETAT]]="LOSE",IF(IFERROR(ABS(SUBSTITUTE(Tableau4849[[#This Row],[PRICE]],".",",")-'[1]Deal ticket'!$B$16)*1000,"")&lt;=$W$5,"GO","WAIT"),"")</f>
        <v/>
      </c>
      <c r="X13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6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36" s="26" t="str">
        <f>IF(AND(Tableau4849[[#This Row],[3,8]]=1),Tableau4849[[#This Row],[INDEX]],"")</f>
        <v/>
      </c>
      <c r="AC136" s="26" t="str">
        <f ca="1">IF(IFERROR(_xlfn.XLOOKUP(Tableau4849[[#This Row],[IDENTITE]],[1]!Tableau47[GLOBUY],[1]!Tableau47[GLOBUY]),"")="","",1)</f>
        <v/>
      </c>
      <c r="AD136" s="26" t="str">
        <f>IF(IFERROR(_xlfn.XLOOKUP(Tableau4849[[#This Row],[IDENTITE]],[1]!Tableau47[GLOSELL],[1]!Tableau47[GLOSELL]),"")="","",1)</f>
        <v/>
      </c>
      <c r="AE136" s="26"/>
      <c r="AF136" s="26">
        <f>IF(Tableau4849[[#This Row],[INDEX]]&lt;3,"",IF(Tableau4849[[#This Row],[COMMAND]]="","",IF('[1]Bar history'!$AA$33=1,1,"")))</f>
        <v>1</v>
      </c>
      <c r="AG136" s="26"/>
      <c r="AH136" s="26" t="str">
        <f>IF(IFERROR(_xlfn.XLOOKUP(Tableau4849[[#This Row],[IDENTITE]],[1]!Tableau47[COMMENTAIRE],[1]!Tableau47[CLOTURE]),"")=[1]PARAMETRE!$BK$31,Tableau4849[[#This Row],[INDEX]],"")</f>
        <v/>
      </c>
      <c r="AI136" s="26"/>
      <c r="AJ136" s="35" t="str">
        <f>IF(AND(ISNUMBER(SEARCH("BUY",Tableau4849[[#This Row],[COMMAND]]))),"BUYSTOP",IF(AND(ISNUMBER(SEARCH("SELL",Tableau4849[[#This Row],[COMMAND]]))),"SELLSTOP",""))</f>
        <v>BUYSTOP</v>
      </c>
      <c r="AK136" s="35" t="str">
        <f>IFERROR(SUBSTITUTE(Tableau4849[[#This Row],[PRICE]],",","."),"")</f>
        <v>1.06543</v>
      </c>
      <c r="AL136" s="35" t="str">
        <f>IF(Tableau4849[[#This Row],[INDEX]]&lt;3,"",Tableau4849[[#This Row],[IDENTITE]])</f>
        <v>1 RBRB B 1.20313 M1M1</v>
      </c>
      <c r="AM136" s="35" t="str">
        <f>IF(Tableau4849[[#This Row],[INDEX]]&lt;3,"",Tableau4849[[#This Row],[DEVISE]])</f>
        <v>EURUSD</v>
      </c>
      <c r="AN136" s="35">
        <f>IFERROR(IF(Tableau4849[[#This Row],[INDEX]]&lt;3,"",Tableau4849[[#This Row],[ATTEINT]]),100000)</f>
        <v>100000</v>
      </c>
      <c r="AO136" s="35">
        <f>IF(Tableau4849[[#This Row],[INDEX]]&lt;3,"",Tableau4849[[#This Row],[COMPTE]])</f>
        <v>925832</v>
      </c>
      <c r="AP136" s="35" t="str">
        <f>IF(Tableau4849[[#This Row],[INDEX]]&lt;3,"","NON")</f>
        <v>NON</v>
      </c>
      <c r="AQ136" s="35" t="str">
        <f>IF(Tableau4849[[#This Row],[INDEX]]&lt;3,"",IF(Tableau4849[[#This Row],[0,5]]&lt;0,"NEGATIF",""))</f>
        <v/>
      </c>
    </row>
    <row r="137" spans="1:43" x14ac:dyDescent="0.25">
      <c r="A137" s="24">
        <v>45</v>
      </c>
      <c r="B137" s="32">
        <v>44923.368900462963</v>
      </c>
      <c r="C137" s="26">
        <v>925832</v>
      </c>
      <c r="D137" s="24" t="s">
        <v>0</v>
      </c>
      <c r="E137" s="24" t="s">
        <v>47</v>
      </c>
      <c r="F137" s="24">
        <v>1.0655300000000001</v>
      </c>
      <c r="G137" s="26">
        <v>65000</v>
      </c>
      <c r="H137" s="27" t="s">
        <v>188</v>
      </c>
      <c r="I137" s="28" t="str">
        <f>IF(IFERROR(_xlfn.XLOOKUP(Tableau4849[[#This Row],[SL]],'[1]Tickets (2)'!J134:J928,'[1]Tickets (2)'!I137:I931),"")=0,"",IFERROR(_xlfn.XLOOKUP(Tableau4849[[#This Row],[SL]],'[1]Tickets (2)'!J134:J928,'[1]Tickets (2)'!I137:I931),""))</f>
        <v/>
      </c>
      <c r="J137">
        <v>1</v>
      </c>
      <c r="K13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7" s="33">
        <v>44923.631425115738</v>
      </c>
      <c r="N137" s="3" t="str">
        <f>IF(Tableau4849[[#This Row],[T CLOSE]]&gt;[1]CONFIGURATION!$K$4,Tableau4849[[#This Row],[IDENTITE]],"")</f>
        <v/>
      </c>
      <c r="O137" s="26">
        <f>IFERROR(Tableau4849[[#This Row],[SL]]/(Tableau4849[[#This Row],[VOLUME]]/$I$5),0)</f>
        <v>0</v>
      </c>
      <c r="P137" s="26" t="str">
        <f>Tableau4849[[#This Row],[COMMAND]]</f>
        <v>BUY</v>
      </c>
      <c r="Q13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1.06403 M1M1</v>
      </c>
      <c r="R137" s="29">
        <v>16</v>
      </c>
      <c r="S137" s="26" t="str">
        <f>IF(Tableau4849[[#This Row],[ETAT]]="LOSE",IF(IFERROR(ABS(SUBSTITUTE(Tableau4849[[#This Row],[PRICE]],".",",")-'[1]Deal ticket'!$B$16)*1000,"")&lt;=$S$5,"GO","WAIT"),"")</f>
        <v/>
      </c>
      <c r="T13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7" s="34" t="str">
        <f>IF(Tableau4849[[#This Row],[ETAT]]="LOSE",IF(IFERROR(ABS(SUBSTITUTE(Tableau4849[[#This Row],[PRICE]],".",",")-'[1]Deal ticket'!$B$16)*1000,"")&lt;=$U$5,"GO","WAIT"),"")</f>
        <v/>
      </c>
      <c r="V137" s="26">
        <f>IF(Tableau4849[[#This Row],[INDEX]]&lt;3,"",SUMIFS(Tableau4849[SL],Tableau4849[Colonne5],Tableau4849[[#This Row],[Colonne5]])+$S$4)</f>
        <v>1</v>
      </c>
      <c r="W137" s="34" t="str">
        <f>IF(Tableau4849[[#This Row],[ETAT]]="LOSE",IF(IFERROR(ABS(SUBSTITUTE(Tableau4849[[#This Row],[PRICE]],".",",")-'[1]Deal ticket'!$B$16)*1000,"")&lt;=$W$5,"GO","WAIT"),"")</f>
        <v/>
      </c>
      <c r="X13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7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37" s="26" t="str">
        <f>IF(AND(Tableau4849[[#This Row],[3,8]]=1),Tableau4849[[#This Row],[INDEX]],"")</f>
        <v/>
      </c>
      <c r="AC137" s="26" t="str">
        <f ca="1">IF(IFERROR(_xlfn.XLOOKUP(Tableau4849[[#This Row],[IDENTITE]],[1]!Tableau47[GLOBUY],[1]!Tableau47[GLOBUY]),"")="","",1)</f>
        <v/>
      </c>
      <c r="AD137" s="26" t="str">
        <f>IF(IFERROR(_xlfn.XLOOKUP(Tableau4849[[#This Row],[IDENTITE]],[1]!Tableau47[GLOSELL],[1]!Tableau47[GLOSELL]),"")="","",1)</f>
        <v/>
      </c>
      <c r="AE137" s="26"/>
      <c r="AF137" s="26">
        <f>IF(Tableau4849[[#This Row],[INDEX]]&lt;3,"",IF(Tableau4849[[#This Row],[COMMAND]]="","",IF('[1]Bar history'!$AA$33=1,1,"")))</f>
        <v>1</v>
      </c>
      <c r="AG137" s="26"/>
      <c r="AH137" s="26" t="str">
        <f>IF(IFERROR(_xlfn.XLOOKUP(Tableau4849[[#This Row],[IDENTITE]],[1]!Tableau47[COMMENTAIRE],[1]!Tableau47[CLOTURE]),"")=[1]PARAMETRE!$BK$31,Tableau4849[[#This Row],[INDEX]],"")</f>
        <v/>
      </c>
      <c r="AI137" s="26"/>
      <c r="AJ137" s="35" t="str">
        <f>IF(AND(ISNUMBER(SEARCH("BUY",Tableau4849[[#This Row],[COMMAND]]))),"BUYSTOP",IF(AND(ISNUMBER(SEARCH("SELL",Tableau4849[[#This Row],[COMMAND]]))),"SELLSTOP",""))</f>
        <v>BUYSTOP</v>
      </c>
      <c r="AK137" s="35" t="str">
        <f>IFERROR(SUBSTITUTE(Tableau4849[[#This Row],[PRICE]],",","."),"")</f>
        <v>1.06553</v>
      </c>
      <c r="AL137" s="35" t="str">
        <f>IF(Tableau4849[[#This Row],[INDEX]]&lt;3,"",Tableau4849[[#This Row],[IDENTITE]])</f>
        <v>1 RBRB B 1.06403 M1M1</v>
      </c>
      <c r="AM137" s="35" t="str">
        <f>IF(Tableau4849[[#This Row],[INDEX]]&lt;3,"",Tableau4849[[#This Row],[DEVISE]])</f>
        <v>EURUSD</v>
      </c>
      <c r="AN137" s="35">
        <f>IFERROR(IF(Tableau4849[[#This Row],[INDEX]]&lt;3,"",Tableau4849[[#This Row],[ATTEINT]]),100000)</f>
        <v>100000</v>
      </c>
      <c r="AO137" s="35">
        <f>IF(Tableau4849[[#This Row],[INDEX]]&lt;3,"",Tableau4849[[#This Row],[COMPTE]])</f>
        <v>925832</v>
      </c>
      <c r="AP137" s="35" t="str">
        <f>IF(Tableau4849[[#This Row],[INDEX]]&lt;3,"","NON")</f>
        <v>NON</v>
      </c>
      <c r="AQ137" s="35" t="str">
        <f>IF(Tableau4849[[#This Row],[INDEX]]&lt;3,"",IF(Tableau4849[[#This Row],[0,5]]&lt;0,"NEGATIF",""))</f>
        <v/>
      </c>
    </row>
    <row r="138" spans="1:43" x14ac:dyDescent="0.25">
      <c r="A138" s="24">
        <v>46</v>
      </c>
      <c r="B138" s="32">
        <v>44923.338703703703</v>
      </c>
      <c r="C138" s="26">
        <v>925832</v>
      </c>
      <c r="D138" s="24" t="s">
        <v>0</v>
      </c>
      <c r="E138" s="24" t="s">
        <v>46</v>
      </c>
      <c r="F138" s="24">
        <v>1.0629500000000001</v>
      </c>
      <c r="G138" s="26">
        <v>4000</v>
      </c>
      <c r="H138" s="27" t="s">
        <v>190</v>
      </c>
      <c r="I138" s="28" t="str">
        <f>IF(IFERROR(_xlfn.XLOOKUP(Tableau4849[[#This Row],[SL]],'[1]Tickets (2)'!J135:J929,'[1]Tickets (2)'!I138:I932),"")=0,"",IFERROR(_xlfn.XLOOKUP(Tableau4849[[#This Row],[SL]],'[1]Tickets (2)'!J135:J929,'[1]Tickets (2)'!I138:I932),""))</f>
        <v/>
      </c>
      <c r="J138">
        <v>1</v>
      </c>
      <c r="K13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8" s="33">
        <v>44923.631425115738</v>
      </c>
      <c r="N138" s="3" t="str">
        <f>IF(Tableau4849[[#This Row],[T CLOSE]]&gt;[1]CONFIGURATION!$K$4,Tableau4849[[#This Row],[IDENTITE]],"")</f>
        <v/>
      </c>
      <c r="O138" s="26">
        <f>IFERROR(Tableau4849[[#This Row],[SL]]/(Tableau4849[[#This Row],[VOLUME]]/$I$5),0)</f>
        <v>0</v>
      </c>
      <c r="P138" s="26" t="str">
        <f>Tableau4849[[#This Row],[COMMAND]]</f>
        <v>SELL</v>
      </c>
      <c r="Q13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 M1M1</v>
      </c>
      <c r="R138" s="29">
        <v>17</v>
      </c>
      <c r="S138" s="26" t="str">
        <f>IF(Tableau4849[[#This Row],[ETAT]]="LOSE",IF(IFERROR(ABS(SUBSTITUTE(Tableau4849[[#This Row],[PRICE]],".",",")-'[1]Deal ticket'!$B$16)*1000,"")&lt;=$S$5,"GO","WAIT"),"")</f>
        <v/>
      </c>
      <c r="T13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8" s="34" t="str">
        <f>IF(Tableau4849[[#This Row],[ETAT]]="LOSE",IF(IFERROR(ABS(SUBSTITUTE(Tableau4849[[#This Row],[PRICE]],".",",")-'[1]Deal ticket'!$B$16)*1000,"")&lt;=$U$5,"GO","WAIT"),"")</f>
        <v/>
      </c>
      <c r="V138" s="26">
        <f>IF(Tableau4849[[#This Row],[INDEX]]&lt;3,"",SUMIFS(Tableau4849[SL],Tableau4849[Colonne5],Tableau4849[[#This Row],[Colonne5]])+$S$4)</f>
        <v>1</v>
      </c>
      <c r="W138" s="34" t="str">
        <f>IF(Tableau4849[[#This Row],[ETAT]]="LOSE",IF(IFERROR(ABS(SUBSTITUTE(Tableau4849[[#This Row],[PRICE]],".",",")-'[1]Deal ticket'!$B$16)*1000,"")&lt;=$W$5,"GO","WAIT"),"")</f>
        <v/>
      </c>
      <c r="X13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8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38" s="26" t="str">
        <f>IF(AND(Tableau4849[[#This Row],[3,8]]=1),Tableau4849[[#This Row],[INDEX]],"")</f>
        <v/>
      </c>
      <c r="AC138" s="26" t="str">
        <f ca="1">IF(IFERROR(_xlfn.XLOOKUP(Tableau4849[[#This Row],[IDENTITE]],[1]!Tableau47[GLOBUY],[1]!Tableau47[GLOBUY]),"")="","",1)</f>
        <v/>
      </c>
      <c r="AD138" s="26" t="str">
        <f>IF(IFERROR(_xlfn.XLOOKUP(Tableau4849[[#This Row],[IDENTITE]],[1]!Tableau47[GLOSELL],[1]!Tableau47[GLOSELL]),"")="","",1)</f>
        <v/>
      </c>
      <c r="AE138" s="26"/>
      <c r="AF138" s="26">
        <f>IF(Tableau4849[[#This Row],[INDEX]]&lt;3,"",IF(Tableau4849[[#This Row],[COMMAND]]="","",IF('[1]Bar history'!$AA$33=1,1,"")))</f>
        <v>1</v>
      </c>
      <c r="AG138" s="26"/>
      <c r="AH138" s="26" t="str">
        <f>IF(IFERROR(_xlfn.XLOOKUP(Tableau4849[[#This Row],[IDENTITE]],[1]!Tableau47[COMMENTAIRE],[1]!Tableau47[CLOTURE]),"")=[1]PARAMETRE!$BK$31,Tableau4849[[#This Row],[INDEX]],"")</f>
        <v/>
      </c>
      <c r="AI138" s="26"/>
      <c r="AJ138" s="35" t="str">
        <f>IF(AND(ISNUMBER(SEARCH("BUY",Tableau4849[[#This Row],[COMMAND]]))),"BUYSTOP",IF(AND(ISNUMBER(SEARCH("SELL",Tableau4849[[#This Row],[COMMAND]]))),"SELLSTOP",""))</f>
        <v>SELLSTOP</v>
      </c>
      <c r="AK138" s="35" t="str">
        <f>IFERROR(SUBSTITUTE(Tableau4849[[#This Row],[PRICE]],",","."),"")</f>
        <v>1.06295</v>
      </c>
      <c r="AL138" s="35" t="str">
        <f>IF(Tableau4849[[#This Row],[INDEX]]&lt;3,"",Tableau4849[[#This Row],[IDENTITE]])</f>
        <v>1 RSRS S 1.063 M1M1</v>
      </c>
      <c r="AM138" s="35" t="str">
        <f>IF(Tableau4849[[#This Row],[INDEX]]&lt;3,"",Tableau4849[[#This Row],[DEVISE]])</f>
        <v>EURUSD</v>
      </c>
      <c r="AN138" s="35">
        <f>IFERROR(IF(Tableau4849[[#This Row],[INDEX]]&lt;3,"",Tableau4849[[#This Row],[ATTEINT]]),100000)</f>
        <v>100000</v>
      </c>
      <c r="AO138" s="35">
        <f>IF(Tableau4849[[#This Row],[INDEX]]&lt;3,"",Tableau4849[[#This Row],[COMPTE]])</f>
        <v>925832</v>
      </c>
      <c r="AP138" s="35" t="str">
        <f>IF(Tableau4849[[#This Row],[INDEX]]&lt;3,"","NON")</f>
        <v>NON</v>
      </c>
      <c r="AQ138" s="35" t="str">
        <f>IF(Tableau4849[[#This Row],[INDEX]]&lt;3,"",IF(Tableau4849[[#This Row],[0,5]]&lt;0,"NEGATIF",""))</f>
        <v/>
      </c>
    </row>
    <row r="139" spans="1:43" x14ac:dyDescent="0.25">
      <c r="A139" s="24">
        <v>47</v>
      </c>
      <c r="B139" s="32">
        <v>44923.338483796295</v>
      </c>
      <c r="C139" s="26">
        <v>925832</v>
      </c>
      <c r="D139" s="24" t="s">
        <v>0</v>
      </c>
      <c r="E139" s="24" t="s">
        <v>46</v>
      </c>
      <c r="F139" s="24">
        <v>1.06308</v>
      </c>
      <c r="G139" s="26">
        <v>4000</v>
      </c>
      <c r="H139" s="27" t="s">
        <v>191</v>
      </c>
      <c r="I139" s="28" t="str">
        <f>IF(IFERROR(_xlfn.XLOOKUP(Tableau4849[[#This Row],[SL]],'[1]Tickets (2)'!J136:J930,'[1]Tickets (2)'!I139:I933),"")=0,"",IFERROR(_xlfn.XLOOKUP(Tableau4849[[#This Row],[SL]],'[1]Tickets (2)'!J136:J930,'[1]Tickets (2)'!I139:I933),""))</f>
        <v/>
      </c>
      <c r="J139">
        <v>1</v>
      </c>
      <c r="K13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39" s="33">
        <v>44923.631425115738</v>
      </c>
      <c r="N139" s="3" t="str">
        <f>IF(Tableau4849[[#This Row],[T CLOSE]]&gt;[1]CONFIGURATION!$K$4,Tableau4849[[#This Row],[IDENTITE]],"")</f>
        <v/>
      </c>
      <c r="O139" s="26">
        <f>IFERROR(Tableau4849[[#This Row],[SL]]/(Tableau4849[[#This Row],[VOLUME]]/$I$5),0)</f>
        <v>0</v>
      </c>
      <c r="P139" s="26" t="str">
        <f>Tableau4849[[#This Row],[COMMAND]]</f>
        <v>SELL</v>
      </c>
      <c r="Q13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1.06308 M1M1</v>
      </c>
      <c r="R139" s="29">
        <v>-256</v>
      </c>
      <c r="S139" s="26" t="str">
        <f>IF(Tableau4849[[#This Row],[ETAT]]="LOSE",IF(IFERROR(ABS(SUBSTITUTE(Tableau4849[[#This Row],[PRICE]],".",",")-'[1]Deal ticket'!$B$16)*1000,"")&lt;=$S$5,"GO","WAIT"),"")</f>
        <v/>
      </c>
      <c r="T13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39" s="34" t="str">
        <f>IF(Tableau4849[[#This Row],[ETAT]]="LOSE",IF(IFERROR(ABS(SUBSTITUTE(Tableau4849[[#This Row],[PRICE]],".",",")-'[1]Deal ticket'!$B$16)*1000,"")&lt;=$U$5,"GO","WAIT"),"")</f>
        <v/>
      </c>
      <c r="V139" s="26">
        <f>IF(Tableau4849[[#This Row],[INDEX]]&lt;3,"",SUMIFS(Tableau4849[SL],Tableau4849[Colonne5],Tableau4849[[#This Row],[Colonne5]])+$S$4)</f>
        <v>1</v>
      </c>
      <c r="W139" s="34" t="str">
        <f>IF(Tableau4849[[#This Row],[ETAT]]="LOSE",IF(IFERROR(ABS(SUBSTITUTE(Tableau4849[[#This Row],[PRICE]],".",",")-'[1]Deal ticket'!$B$16)*1000,"")&lt;=$W$5,"GO","WAIT"),"")</f>
        <v/>
      </c>
      <c r="X13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3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3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3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39" s="26">
        <f>IF(AND(Tableau4849[[#This Row],[3,8]]=1),Tableau4849[[#This Row],[INDEX]],"")</f>
        <v>47</v>
      </c>
      <c r="AC139" s="26" t="str">
        <f ca="1">IF(IFERROR(_xlfn.XLOOKUP(Tableau4849[[#This Row],[IDENTITE]],[1]!Tableau47[GLOBUY],[1]!Tableau47[GLOBUY]),"")="","",1)</f>
        <v/>
      </c>
      <c r="AD139" s="26" t="str">
        <f>IF(IFERROR(_xlfn.XLOOKUP(Tableau4849[[#This Row],[IDENTITE]],[1]!Tableau47[GLOSELL],[1]!Tableau47[GLOSELL]),"")="","",1)</f>
        <v/>
      </c>
      <c r="AE139" s="26"/>
      <c r="AF139" s="26">
        <f>IF(Tableau4849[[#This Row],[INDEX]]&lt;3,"",IF(Tableau4849[[#This Row],[COMMAND]]="","",IF('[1]Bar history'!$AA$33=1,1,"")))</f>
        <v>1</v>
      </c>
      <c r="AG139" s="26"/>
      <c r="AH139" s="26" t="str">
        <f>IF(IFERROR(_xlfn.XLOOKUP(Tableau4849[[#This Row],[IDENTITE]],[1]!Tableau47[COMMENTAIRE],[1]!Tableau47[CLOTURE]),"")=[1]PARAMETRE!$BK$31,Tableau4849[[#This Row],[INDEX]],"")</f>
        <v/>
      </c>
      <c r="AI139" s="26"/>
      <c r="AJ139" s="35" t="str">
        <f>IF(AND(ISNUMBER(SEARCH("BUY",Tableau4849[[#This Row],[COMMAND]]))),"BUYSTOP",IF(AND(ISNUMBER(SEARCH("SELL",Tableau4849[[#This Row],[COMMAND]]))),"SELLSTOP",""))</f>
        <v>SELLSTOP</v>
      </c>
      <c r="AK139" s="35" t="str">
        <f>IFERROR(SUBSTITUTE(Tableau4849[[#This Row],[PRICE]],",","."),"")</f>
        <v>1.06308</v>
      </c>
      <c r="AL139" s="35" t="str">
        <f>IF(Tableau4849[[#This Row],[INDEX]]&lt;3,"",Tableau4849[[#This Row],[IDENTITE]])</f>
        <v>1 RSRS S 1.06308 M1M1</v>
      </c>
      <c r="AM139" s="35" t="str">
        <f>IF(Tableau4849[[#This Row],[INDEX]]&lt;3,"",Tableau4849[[#This Row],[DEVISE]])</f>
        <v>EURUSD</v>
      </c>
      <c r="AN139" s="35">
        <f>IFERROR(IF(Tableau4849[[#This Row],[INDEX]]&lt;3,"",Tableau4849[[#This Row],[ATTEINT]]),100000)</f>
        <v>100000</v>
      </c>
      <c r="AO139" s="35">
        <f>IF(Tableau4849[[#This Row],[INDEX]]&lt;3,"",Tableau4849[[#This Row],[COMPTE]])</f>
        <v>925832</v>
      </c>
      <c r="AP139" s="35" t="str">
        <f>IF(Tableau4849[[#This Row],[INDEX]]&lt;3,"","NON")</f>
        <v>NON</v>
      </c>
      <c r="AQ139" s="35" t="str">
        <f>IF(Tableau4849[[#This Row],[INDEX]]&lt;3,"",IF(Tableau4849[[#This Row],[0,5]]&lt;0,"NEGATIF",""))</f>
        <v>NEGATIF</v>
      </c>
    </row>
    <row r="140" spans="1:43" x14ac:dyDescent="0.25">
      <c r="A140" s="24">
        <v>48</v>
      </c>
      <c r="B140" s="32">
        <v>44923.33834490741</v>
      </c>
      <c r="C140" s="26">
        <v>925832</v>
      </c>
      <c r="D140" s="24" t="s">
        <v>0</v>
      </c>
      <c r="E140" s="24" t="s">
        <v>46</v>
      </c>
      <c r="F140" s="24">
        <v>1.0630200000000001</v>
      </c>
      <c r="G140" s="26">
        <v>4000</v>
      </c>
      <c r="H140" s="27" t="s">
        <v>193</v>
      </c>
      <c r="I140" s="28" t="str">
        <f>IF(IFERROR(_xlfn.XLOOKUP(Tableau4849[[#This Row],[SL]],'[1]Tickets (2)'!J137:J931,'[1]Tickets (2)'!I140:I934),"")=0,"",IFERROR(_xlfn.XLOOKUP(Tableau4849[[#This Row],[SL]],'[1]Tickets (2)'!J137:J931,'[1]Tickets (2)'!I140:I934),""))</f>
        <v/>
      </c>
      <c r="J140">
        <v>1</v>
      </c>
      <c r="K14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0" s="33">
        <v>44923.631425115738</v>
      </c>
      <c r="N140" s="3" t="str">
        <f>IF(Tableau4849[[#This Row],[T CLOSE]]&gt;[1]CONFIGURATION!$K$4,Tableau4849[[#This Row],[IDENTITE]],"")</f>
        <v/>
      </c>
      <c r="O140" s="26">
        <f>IFERROR(Tableau4849[[#This Row],[SL]]/(Tableau4849[[#This Row],[VOLUME]]/$I$5),0)</f>
        <v>0</v>
      </c>
      <c r="P140" s="26" t="str">
        <f>Tableau4849[[#This Row],[COMMAND]]</f>
        <v>SELL</v>
      </c>
      <c r="Q14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1.06302 M1M1</v>
      </c>
      <c r="R140" s="29">
        <v>-266</v>
      </c>
      <c r="S140" s="26" t="str">
        <f>IF(Tableau4849[[#This Row],[ETAT]]="LOSE",IF(IFERROR(ABS(SUBSTITUTE(Tableau4849[[#This Row],[PRICE]],".",",")-'[1]Deal ticket'!$B$16)*1000,"")&lt;=$S$5,"GO","WAIT"),"")</f>
        <v/>
      </c>
      <c r="T14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0" s="34" t="str">
        <f>IF(Tableau4849[[#This Row],[ETAT]]="LOSE",IF(IFERROR(ABS(SUBSTITUTE(Tableau4849[[#This Row],[PRICE]],".",",")-'[1]Deal ticket'!$B$16)*1000,"")&lt;=$U$5,"GO","WAIT"),"")</f>
        <v/>
      </c>
      <c r="V140" s="26">
        <f>IF(Tableau4849[[#This Row],[INDEX]]&lt;3,"",SUMIFS(Tableau4849[SL],Tableau4849[Colonne5],Tableau4849[[#This Row],[Colonne5]])+$S$4)</f>
        <v>1</v>
      </c>
      <c r="W140" s="34" t="str">
        <f>IF(Tableau4849[[#This Row],[ETAT]]="LOSE",IF(IFERROR(ABS(SUBSTITUTE(Tableau4849[[#This Row],[PRICE]],".",",")-'[1]Deal ticket'!$B$16)*1000,"")&lt;=$W$5,"GO","WAIT"),"")</f>
        <v/>
      </c>
      <c r="X14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40" s="26">
        <f>IF(AND(Tableau4849[[#This Row],[3,8]]=1),Tableau4849[[#This Row],[INDEX]],"")</f>
        <v>48</v>
      </c>
      <c r="AC140" s="26" t="str">
        <f ca="1">IF(IFERROR(_xlfn.XLOOKUP(Tableau4849[[#This Row],[IDENTITE]],[1]!Tableau47[GLOBUY],[1]!Tableau47[GLOBUY]),"")="","",1)</f>
        <v/>
      </c>
      <c r="AD140" s="26" t="str">
        <f>IF(IFERROR(_xlfn.XLOOKUP(Tableau4849[[#This Row],[IDENTITE]],[1]!Tableau47[GLOSELL],[1]!Tableau47[GLOSELL]),"")="","",1)</f>
        <v/>
      </c>
      <c r="AE140" s="26"/>
      <c r="AF140" s="26">
        <f>IF(Tableau4849[[#This Row],[INDEX]]&lt;3,"",IF(Tableau4849[[#This Row],[COMMAND]]="","",IF('[1]Bar history'!$AA$33=1,1,"")))</f>
        <v>1</v>
      </c>
      <c r="AG140" s="26"/>
      <c r="AH140" s="26" t="str">
        <f>IF(IFERROR(_xlfn.XLOOKUP(Tableau4849[[#This Row],[IDENTITE]],[1]!Tableau47[COMMENTAIRE],[1]!Tableau47[CLOTURE]),"")=[1]PARAMETRE!$BK$31,Tableau4849[[#This Row],[INDEX]],"")</f>
        <v/>
      </c>
      <c r="AI140" s="26"/>
      <c r="AJ140" s="35" t="str">
        <f>IF(AND(ISNUMBER(SEARCH("BUY",Tableau4849[[#This Row],[COMMAND]]))),"BUYSTOP",IF(AND(ISNUMBER(SEARCH("SELL",Tableau4849[[#This Row],[COMMAND]]))),"SELLSTOP",""))</f>
        <v>SELLSTOP</v>
      </c>
      <c r="AK140" s="35" t="str">
        <f>IFERROR(SUBSTITUTE(Tableau4849[[#This Row],[PRICE]],",","."),"")</f>
        <v>1.06302</v>
      </c>
      <c r="AL140" s="35" t="str">
        <f>IF(Tableau4849[[#This Row],[INDEX]]&lt;3,"",Tableau4849[[#This Row],[IDENTITE]])</f>
        <v>1 RSRS S 1.06302 M1M1</v>
      </c>
      <c r="AM140" s="35" t="str">
        <f>IF(Tableau4849[[#This Row],[INDEX]]&lt;3,"",Tableau4849[[#This Row],[DEVISE]])</f>
        <v>EURUSD</v>
      </c>
      <c r="AN140" s="35">
        <f>IFERROR(IF(Tableau4849[[#This Row],[INDEX]]&lt;3,"",Tableau4849[[#This Row],[ATTEINT]]),100000)</f>
        <v>100000</v>
      </c>
      <c r="AO140" s="35">
        <f>IF(Tableau4849[[#This Row],[INDEX]]&lt;3,"",Tableau4849[[#This Row],[COMPTE]])</f>
        <v>925832</v>
      </c>
      <c r="AP140" s="35" t="str">
        <f>IF(Tableau4849[[#This Row],[INDEX]]&lt;3,"","NON")</f>
        <v>NON</v>
      </c>
      <c r="AQ140" s="35" t="str">
        <f>IF(Tableau4849[[#This Row],[INDEX]]&lt;3,"",IF(Tableau4849[[#This Row],[0,5]]&lt;0,"NEGATIF",""))</f>
        <v>NEGATIF</v>
      </c>
    </row>
    <row r="141" spans="1:43" x14ac:dyDescent="0.25">
      <c r="A141" s="24">
        <v>49</v>
      </c>
      <c r="B141" s="32">
        <v>44923.338136574072</v>
      </c>
      <c r="C141" s="26">
        <v>925832</v>
      </c>
      <c r="D141" s="24" t="s">
        <v>0</v>
      </c>
      <c r="E141" s="24" t="s">
        <v>46</v>
      </c>
      <c r="F141" s="24">
        <v>1.06291</v>
      </c>
      <c r="G141" s="26">
        <v>4000</v>
      </c>
      <c r="H141" s="27" t="s">
        <v>194</v>
      </c>
      <c r="I141" s="28" t="str">
        <f>IF(IFERROR(_xlfn.XLOOKUP(Tableau4849[[#This Row],[SL]],'[1]Tickets (2)'!J138:J932,'[1]Tickets (2)'!I141:I935),"")=0,"",IFERROR(_xlfn.XLOOKUP(Tableau4849[[#This Row],[SL]],'[1]Tickets (2)'!J138:J932,'[1]Tickets (2)'!I141:I935),""))</f>
        <v/>
      </c>
      <c r="J141">
        <v>1</v>
      </c>
      <c r="K14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1" s="33">
        <v>44923.631425115738</v>
      </c>
      <c r="N141" s="3" t="str">
        <f>IF(Tableau4849[[#This Row],[T CLOSE]]&gt;[1]CONFIGURATION!$K$4,Tableau4849[[#This Row],[IDENTITE]],"")</f>
        <v/>
      </c>
      <c r="O141" s="26">
        <f>IFERROR(Tableau4849[[#This Row],[SL]]/(Tableau4849[[#This Row],[VOLUME]]/$I$5),0)</f>
        <v>0</v>
      </c>
      <c r="P141" s="26" t="str">
        <f>Tableau4849[[#This Row],[COMMAND]]</f>
        <v>SELL</v>
      </c>
      <c r="Q14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1.06291 M1M1</v>
      </c>
      <c r="R141" s="29">
        <v>-276</v>
      </c>
      <c r="S141" s="26" t="str">
        <f>IF(Tableau4849[[#This Row],[ETAT]]="LOSE",IF(IFERROR(ABS(SUBSTITUTE(Tableau4849[[#This Row],[PRICE]],".",",")-'[1]Deal ticket'!$B$16)*1000,"")&lt;=$S$5,"GO","WAIT"),"")</f>
        <v/>
      </c>
      <c r="T14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1" s="34" t="str">
        <f>IF(Tableau4849[[#This Row],[ETAT]]="LOSE",IF(IFERROR(ABS(SUBSTITUTE(Tableau4849[[#This Row],[PRICE]],".",",")-'[1]Deal ticket'!$B$16)*1000,"")&lt;=$U$5,"GO","WAIT"),"")</f>
        <v/>
      </c>
      <c r="V141" s="26">
        <f>IF(Tableau4849[[#This Row],[INDEX]]&lt;3,"",SUMIFS(Tableau4849[SL],Tableau4849[Colonne5],Tableau4849[[#This Row],[Colonne5]])+$S$4)</f>
        <v>1</v>
      </c>
      <c r="W141" s="34" t="str">
        <f>IF(Tableau4849[[#This Row],[ETAT]]="LOSE",IF(IFERROR(ABS(SUBSTITUTE(Tableau4849[[#This Row],[PRICE]],".",",")-'[1]Deal ticket'!$B$16)*1000,"")&lt;=$W$5,"GO","WAIT"),"")</f>
        <v/>
      </c>
      <c r="X14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41" s="26">
        <f>IF(AND(Tableau4849[[#This Row],[3,8]]=1),Tableau4849[[#This Row],[INDEX]],"")</f>
        <v>49</v>
      </c>
      <c r="AC141" s="26" t="str">
        <f ca="1">IF(IFERROR(_xlfn.XLOOKUP(Tableau4849[[#This Row],[IDENTITE]],[1]!Tableau47[GLOBUY],[1]!Tableau47[GLOBUY]),"")="","",1)</f>
        <v/>
      </c>
      <c r="AD141" s="26" t="str">
        <f>IF(IFERROR(_xlfn.XLOOKUP(Tableau4849[[#This Row],[IDENTITE]],[1]!Tableau47[GLOSELL],[1]!Tableau47[GLOSELL]),"")="","",1)</f>
        <v/>
      </c>
      <c r="AE141" s="26"/>
      <c r="AF141" s="26">
        <f>IF(Tableau4849[[#This Row],[INDEX]]&lt;3,"",IF(Tableau4849[[#This Row],[COMMAND]]="","",IF('[1]Bar history'!$AA$33=1,1,"")))</f>
        <v>1</v>
      </c>
      <c r="AG141" s="26"/>
      <c r="AH141" s="26" t="str">
        <f>IF(IFERROR(_xlfn.XLOOKUP(Tableau4849[[#This Row],[IDENTITE]],[1]!Tableau47[COMMENTAIRE],[1]!Tableau47[CLOTURE]),"")=[1]PARAMETRE!$BK$31,Tableau4849[[#This Row],[INDEX]],"")</f>
        <v/>
      </c>
      <c r="AI141" s="26"/>
      <c r="AJ141" s="35" t="str">
        <f>IF(AND(ISNUMBER(SEARCH("BUY",Tableau4849[[#This Row],[COMMAND]]))),"BUYSTOP",IF(AND(ISNUMBER(SEARCH("SELL",Tableau4849[[#This Row],[COMMAND]]))),"SELLSTOP",""))</f>
        <v>SELLSTOP</v>
      </c>
      <c r="AK141" s="35" t="str">
        <f>IFERROR(SUBSTITUTE(Tableau4849[[#This Row],[PRICE]],",","."),"")</f>
        <v>1.06291</v>
      </c>
      <c r="AL141" s="35" t="str">
        <f>IF(Tableau4849[[#This Row],[INDEX]]&lt;3,"",Tableau4849[[#This Row],[IDENTITE]])</f>
        <v>1 RSRS S 1.06291 M1M1</v>
      </c>
      <c r="AM141" s="35" t="str">
        <f>IF(Tableau4849[[#This Row],[INDEX]]&lt;3,"",Tableau4849[[#This Row],[DEVISE]])</f>
        <v>EURUSD</v>
      </c>
      <c r="AN141" s="35">
        <f>IFERROR(IF(Tableau4849[[#This Row],[INDEX]]&lt;3,"",Tableau4849[[#This Row],[ATTEINT]]),100000)</f>
        <v>100000</v>
      </c>
      <c r="AO141" s="35">
        <f>IF(Tableau4849[[#This Row],[INDEX]]&lt;3,"",Tableau4849[[#This Row],[COMPTE]])</f>
        <v>925832</v>
      </c>
      <c r="AP141" s="35" t="str">
        <f>IF(Tableau4849[[#This Row],[INDEX]]&lt;3,"","NON")</f>
        <v>NON</v>
      </c>
      <c r="AQ141" s="35" t="str">
        <f>IF(Tableau4849[[#This Row],[INDEX]]&lt;3,"",IF(Tableau4849[[#This Row],[0,5]]&lt;0,"NEGATIF",""))</f>
        <v>NEGATIF</v>
      </c>
    </row>
    <row r="142" spans="1:43" x14ac:dyDescent="0.25">
      <c r="A142" s="24">
        <v>50</v>
      </c>
      <c r="B142" s="32">
        <v>44923.337881944448</v>
      </c>
      <c r="C142" s="26">
        <v>925832</v>
      </c>
      <c r="D142" s="24" t="s">
        <v>0</v>
      </c>
      <c r="E142" s="24" t="s">
        <v>46</v>
      </c>
      <c r="F142" s="24">
        <v>1.06284</v>
      </c>
      <c r="G142" s="26">
        <v>17000</v>
      </c>
      <c r="H142" s="27" t="s">
        <v>196</v>
      </c>
      <c r="I142" s="28" t="str">
        <f>IF(IFERROR(_xlfn.XLOOKUP(Tableau4849[[#This Row],[SL]],'[1]Tickets (2)'!J139:J933,'[1]Tickets (2)'!I142:I936),"")=0,"",IFERROR(_xlfn.XLOOKUP(Tableau4849[[#This Row],[SL]],'[1]Tickets (2)'!J139:J933,'[1]Tickets (2)'!I142:I936),""))</f>
        <v/>
      </c>
      <c r="J142">
        <v>1</v>
      </c>
      <c r="K14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2" s="33">
        <v>44923.631425115738</v>
      </c>
      <c r="N142" s="3" t="str">
        <f>IF(Tableau4849[[#This Row],[T CLOSE]]&gt;[1]CONFIGURATION!$K$4,Tableau4849[[#This Row],[IDENTITE]],"")</f>
        <v/>
      </c>
      <c r="O142" s="26">
        <f>IFERROR(Tableau4849[[#This Row],[SL]]/(Tableau4849[[#This Row],[VOLUME]]/$I$5),0)</f>
        <v>0</v>
      </c>
      <c r="P142" s="26" t="str">
        <f>Tableau4849[[#This Row],[COMMAND]]</f>
        <v>SELL</v>
      </c>
      <c r="Q14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1.06284 M1M1</v>
      </c>
      <c r="R142" s="29">
        <v>-286</v>
      </c>
      <c r="S142" s="26" t="str">
        <f>IF(Tableau4849[[#This Row],[ETAT]]="LOSE",IF(IFERROR(ABS(SUBSTITUTE(Tableau4849[[#This Row],[PRICE]],".",",")-'[1]Deal ticket'!$B$16)*1000,"")&lt;=$S$5,"GO","WAIT"),"")</f>
        <v/>
      </c>
      <c r="T14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2" s="34" t="str">
        <f>IF(Tableau4849[[#This Row],[ETAT]]="LOSE",IF(IFERROR(ABS(SUBSTITUTE(Tableau4849[[#This Row],[PRICE]],".",",")-'[1]Deal ticket'!$B$16)*1000,"")&lt;=$U$5,"GO","WAIT"),"")</f>
        <v/>
      </c>
      <c r="V142" s="26">
        <f>IF(Tableau4849[[#This Row],[INDEX]]&lt;3,"",SUMIFS(Tableau4849[SL],Tableau4849[Colonne5],Tableau4849[[#This Row],[Colonne5]])+$S$4)</f>
        <v>1</v>
      </c>
      <c r="W142" s="34" t="str">
        <f>IF(Tableau4849[[#This Row],[ETAT]]="LOSE",IF(IFERROR(ABS(SUBSTITUTE(Tableau4849[[#This Row],[PRICE]],".",",")-'[1]Deal ticket'!$B$16)*1000,"")&lt;=$W$5,"GO","WAIT"),"")</f>
        <v/>
      </c>
      <c r="X14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42" s="26">
        <f>IF(AND(Tableau4849[[#This Row],[3,8]]=1),Tableau4849[[#This Row],[INDEX]],"")</f>
        <v>50</v>
      </c>
      <c r="AC142" s="26" t="str">
        <f ca="1">IF(IFERROR(_xlfn.XLOOKUP(Tableau4849[[#This Row],[IDENTITE]],[1]!Tableau47[GLOBUY],[1]!Tableau47[GLOBUY]),"")="","",1)</f>
        <v/>
      </c>
      <c r="AD142" s="26" t="str">
        <f>IF(IFERROR(_xlfn.XLOOKUP(Tableau4849[[#This Row],[IDENTITE]],[1]!Tableau47[GLOSELL],[1]!Tableau47[GLOSELL]),"")="","",1)</f>
        <v/>
      </c>
      <c r="AE142" s="26"/>
      <c r="AF142" s="26">
        <f>IF(Tableau4849[[#This Row],[INDEX]]&lt;3,"",IF(Tableau4849[[#This Row],[COMMAND]]="","",IF('[1]Bar history'!$AA$33=1,1,"")))</f>
        <v>1</v>
      </c>
      <c r="AG142" s="26"/>
      <c r="AH142" s="26" t="str">
        <f>IF(IFERROR(_xlfn.XLOOKUP(Tableau4849[[#This Row],[IDENTITE]],[1]!Tableau47[COMMENTAIRE],[1]!Tableau47[CLOTURE]),"")=[1]PARAMETRE!$BK$31,Tableau4849[[#This Row],[INDEX]],"")</f>
        <v/>
      </c>
      <c r="AI142" s="26"/>
      <c r="AJ142" s="35" t="str">
        <f>IF(AND(ISNUMBER(SEARCH("BUY",Tableau4849[[#This Row],[COMMAND]]))),"BUYSTOP",IF(AND(ISNUMBER(SEARCH("SELL",Tableau4849[[#This Row],[COMMAND]]))),"SELLSTOP",""))</f>
        <v>SELLSTOP</v>
      </c>
      <c r="AK142" s="35" t="str">
        <f>IFERROR(SUBSTITUTE(Tableau4849[[#This Row],[PRICE]],",","."),"")</f>
        <v>1.06284</v>
      </c>
      <c r="AL142" s="35" t="str">
        <f>IF(Tableau4849[[#This Row],[INDEX]]&lt;3,"",Tableau4849[[#This Row],[IDENTITE]])</f>
        <v>1 RSRS S 1.06284 M1M1</v>
      </c>
      <c r="AM142" s="35" t="str">
        <f>IF(Tableau4849[[#This Row],[INDEX]]&lt;3,"",Tableau4849[[#This Row],[DEVISE]])</f>
        <v>EURUSD</v>
      </c>
      <c r="AN142" s="35">
        <f>IFERROR(IF(Tableau4849[[#This Row],[INDEX]]&lt;3,"",Tableau4849[[#This Row],[ATTEINT]]),100000)</f>
        <v>100000</v>
      </c>
      <c r="AO142" s="35">
        <f>IF(Tableau4849[[#This Row],[INDEX]]&lt;3,"",Tableau4849[[#This Row],[COMPTE]])</f>
        <v>925832</v>
      </c>
      <c r="AP142" s="35" t="str">
        <f>IF(Tableau4849[[#This Row],[INDEX]]&lt;3,"","NON")</f>
        <v>NON</v>
      </c>
      <c r="AQ142" s="35" t="str">
        <f>IF(Tableau4849[[#This Row],[INDEX]]&lt;3,"",IF(Tableau4849[[#This Row],[0,5]]&lt;0,"NEGATIF",""))</f>
        <v>NEGATIF</v>
      </c>
    </row>
    <row r="143" spans="1:43" x14ac:dyDescent="0.25">
      <c r="A143" s="24">
        <v>51</v>
      </c>
      <c r="B143" s="32">
        <v>44923.337604166663</v>
      </c>
      <c r="C143" s="26">
        <v>925832</v>
      </c>
      <c r="D143" s="24" t="s">
        <v>0</v>
      </c>
      <c r="E143" s="24" t="s">
        <v>46</v>
      </c>
      <c r="F143" s="24">
        <v>1.06277</v>
      </c>
      <c r="G143" s="26">
        <v>19000</v>
      </c>
      <c r="H143" s="27" t="s">
        <v>198</v>
      </c>
      <c r="I143" s="28" t="str">
        <f>IF(IFERROR(_xlfn.XLOOKUP(Tableau4849[[#This Row],[SL]],'[1]Tickets (2)'!J140:J934,'[1]Tickets (2)'!I143:I937),"")=0,"",IFERROR(_xlfn.XLOOKUP(Tableau4849[[#This Row],[SL]],'[1]Tickets (2)'!J140:J934,'[1]Tickets (2)'!I143:I937),""))</f>
        <v/>
      </c>
      <c r="J143">
        <v>1</v>
      </c>
      <c r="K14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3" s="33">
        <v>44923.631425115738</v>
      </c>
      <c r="N143" s="3" t="str">
        <f>IF(Tableau4849[[#This Row],[T CLOSE]]&gt;[1]CONFIGURATION!$K$4,Tableau4849[[#This Row],[IDENTITE]],"")</f>
        <v/>
      </c>
      <c r="O143" s="26">
        <f>IFERROR(Tableau4849[[#This Row],[SL]]/(Tableau4849[[#This Row],[VOLUME]]/$I$5),0)</f>
        <v>0</v>
      </c>
      <c r="P143" s="26" t="str">
        <f>Tableau4849[[#This Row],[COMMAND]]</f>
        <v>SELL</v>
      </c>
      <c r="Q14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1.06277 M1M1</v>
      </c>
      <c r="R143" s="29">
        <v>-296</v>
      </c>
      <c r="S143" s="26" t="str">
        <f>IF(Tableau4849[[#This Row],[ETAT]]="LOSE",IF(IFERROR(ABS(SUBSTITUTE(Tableau4849[[#This Row],[PRICE]],".",",")-'[1]Deal ticket'!$B$16)*1000,"")&lt;=$S$5,"GO","WAIT"),"")</f>
        <v/>
      </c>
      <c r="T14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3" s="34" t="str">
        <f>IF(Tableau4849[[#This Row],[ETAT]]="LOSE",IF(IFERROR(ABS(SUBSTITUTE(Tableau4849[[#This Row],[PRICE]],".",",")-'[1]Deal ticket'!$B$16)*1000,"")&lt;=$U$5,"GO","WAIT"),"")</f>
        <v/>
      </c>
      <c r="V143" s="26">
        <f>IF(Tableau4849[[#This Row],[INDEX]]&lt;3,"",SUMIFS(Tableau4849[SL],Tableau4849[Colonne5],Tableau4849[[#This Row],[Colonne5]])+$S$4)</f>
        <v>1</v>
      </c>
      <c r="W143" s="34" t="str">
        <f>IF(Tableau4849[[#This Row],[ETAT]]="LOSE",IF(IFERROR(ABS(SUBSTITUTE(Tableau4849[[#This Row],[PRICE]],".",",")-'[1]Deal ticket'!$B$16)*1000,"")&lt;=$W$5,"GO","WAIT"),"")</f>
        <v/>
      </c>
      <c r="X14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43" s="26">
        <f>IF(AND(Tableau4849[[#This Row],[3,8]]=1),Tableau4849[[#This Row],[INDEX]],"")</f>
        <v>51</v>
      </c>
      <c r="AC143" s="26" t="str">
        <f ca="1">IF(IFERROR(_xlfn.XLOOKUP(Tableau4849[[#This Row],[IDENTITE]],[1]!Tableau47[GLOBUY],[1]!Tableau47[GLOBUY]),"")="","",1)</f>
        <v/>
      </c>
      <c r="AD143" s="26" t="str">
        <f>IF(IFERROR(_xlfn.XLOOKUP(Tableau4849[[#This Row],[IDENTITE]],[1]!Tableau47[GLOSELL],[1]!Tableau47[GLOSELL]),"")="","",1)</f>
        <v/>
      </c>
      <c r="AE143" s="26"/>
      <c r="AF143" s="26">
        <f>IF(Tableau4849[[#This Row],[INDEX]]&lt;3,"",IF(Tableau4849[[#This Row],[COMMAND]]="","",IF('[1]Bar history'!$AA$33=1,1,"")))</f>
        <v>1</v>
      </c>
      <c r="AG143" s="26"/>
      <c r="AH143" s="26" t="str">
        <f>IF(IFERROR(_xlfn.XLOOKUP(Tableau4849[[#This Row],[IDENTITE]],[1]!Tableau47[COMMENTAIRE],[1]!Tableau47[CLOTURE]),"")=[1]PARAMETRE!$BK$31,Tableau4849[[#This Row],[INDEX]],"")</f>
        <v/>
      </c>
      <c r="AI143" s="26"/>
      <c r="AJ143" s="35" t="str">
        <f>IF(AND(ISNUMBER(SEARCH("BUY",Tableau4849[[#This Row],[COMMAND]]))),"BUYSTOP",IF(AND(ISNUMBER(SEARCH("SELL",Tableau4849[[#This Row],[COMMAND]]))),"SELLSTOP",""))</f>
        <v>SELLSTOP</v>
      </c>
      <c r="AK143" s="35" t="str">
        <f>IFERROR(SUBSTITUTE(Tableau4849[[#This Row],[PRICE]],",","."),"")</f>
        <v>1.06277</v>
      </c>
      <c r="AL143" s="35" t="str">
        <f>IF(Tableau4849[[#This Row],[INDEX]]&lt;3,"",Tableau4849[[#This Row],[IDENTITE]])</f>
        <v>1 RSRS S 1.06277 M1M1</v>
      </c>
      <c r="AM143" s="35" t="str">
        <f>IF(Tableau4849[[#This Row],[INDEX]]&lt;3,"",Tableau4849[[#This Row],[DEVISE]])</f>
        <v>EURUSD</v>
      </c>
      <c r="AN143" s="35">
        <f>IFERROR(IF(Tableau4849[[#This Row],[INDEX]]&lt;3,"",Tableau4849[[#This Row],[ATTEINT]]),100000)</f>
        <v>100000</v>
      </c>
      <c r="AO143" s="35">
        <f>IF(Tableau4849[[#This Row],[INDEX]]&lt;3,"",Tableau4849[[#This Row],[COMPTE]])</f>
        <v>925832</v>
      </c>
      <c r="AP143" s="35" t="str">
        <f>IF(Tableau4849[[#This Row],[INDEX]]&lt;3,"","NON")</f>
        <v>NON</v>
      </c>
      <c r="AQ143" s="35" t="str">
        <f>IF(Tableau4849[[#This Row],[INDEX]]&lt;3,"",IF(Tableau4849[[#This Row],[0,5]]&lt;0,"NEGATIF",""))</f>
        <v>NEGATIF</v>
      </c>
    </row>
    <row r="144" spans="1:43" x14ac:dyDescent="0.25">
      <c r="A144" s="24">
        <v>52</v>
      </c>
      <c r="B144" s="32">
        <v>44923.331435185188</v>
      </c>
      <c r="C144" s="26">
        <v>925832</v>
      </c>
      <c r="D144" s="24" t="s">
        <v>0</v>
      </c>
      <c r="E144" s="24" t="s">
        <v>46</v>
      </c>
      <c r="F144" s="24">
        <v>1.06281</v>
      </c>
      <c r="G144" s="26">
        <v>4000</v>
      </c>
      <c r="H144" s="27" t="s">
        <v>200</v>
      </c>
      <c r="I144" s="28" t="str">
        <f>IF(IFERROR(_xlfn.XLOOKUP(Tableau4849[[#This Row],[SL]],'[1]Tickets (2)'!J141:J935,'[1]Tickets (2)'!I144:I938),"")=0,"",IFERROR(_xlfn.XLOOKUP(Tableau4849[[#This Row],[SL]],'[1]Tickets (2)'!J141:J935,'[1]Tickets (2)'!I144:I938),""))</f>
        <v/>
      </c>
      <c r="J144">
        <v>1</v>
      </c>
      <c r="K14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4" s="33">
        <v>44923.631425115738</v>
      </c>
      <c r="N144" s="3" t="str">
        <f>IF(Tableau4849[[#This Row],[T CLOSE]]&gt;[1]CONFIGURATION!$K$4,Tableau4849[[#This Row],[IDENTITE]],"")</f>
        <v/>
      </c>
      <c r="O144" s="26">
        <f>IFERROR(Tableau4849[[#This Row],[SL]]/(Tableau4849[[#This Row],[VOLUME]]/$I$5),0)</f>
        <v>0</v>
      </c>
      <c r="P144" s="26" t="str">
        <f>Tableau4849[[#This Row],[COMMAND]]</f>
        <v>SELL</v>
      </c>
      <c r="Q14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1.06273 M1M1</v>
      </c>
      <c r="R144" s="29">
        <v>23</v>
      </c>
      <c r="S144" s="26" t="str">
        <f>IF(Tableau4849[[#This Row],[ETAT]]="LOSE",IF(IFERROR(ABS(SUBSTITUTE(Tableau4849[[#This Row],[PRICE]],".",",")-'[1]Deal ticket'!$B$16)*1000,"")&lt;=$S$5,"GO","WAIT"),"")</f>
        <v/>
      </c>
      <c r="T14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4" s="34" t="str">
        <f>IF(Tableau4849[[#This Row],[ETAT]]="LOSE",IF(IFERROR(ABS(SUBSTITUTE(Tableau4849[[#This Row],[PRICE]],".",",")-'[1]Deal ticket'!$B$16)*1000,"")&lt;=$U$5,"GO","WAIT"),"")</f>
        <v/>
      </c>
      <c r="V144" s="26">
        <f>IF(Tableau4849[[#This Row],[INDEX]]&lt;3,"",SUMIFS(Tableau4849[SL],Tableau4849[Colonne5],Tableau4849[[#This Row],[Colonne5]])+$S$4)</f>
        <v>1</v>
      </c>
      <c r="W144" s="34" t="str">
        <f>IF(Tableau4849[[#This Row],[ETAT]]="LOSE",IF(IFERROR(ABS(SUBSTITUTE(Tableau4849[[#This Row],[PRICE]],".",",")-'[1]Deal ticket'!$B$16)*1000,"")&lt;=$W$5,"GO","WAIT"),"")</f>
        <v/>
      </c>
      <c r="X14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4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44" s="26" t="str">
        <f>IF(AND(Tableau4849[[#This Row],[3,8]]=1),Tableau4849[[#This Row],[INDEX]],"")</f>
        <v/>
      </c>
      <c r="AC144" s="26" t="str">
        <f ca="1">IF(IFERROR(_xlfn.XLOOKUP(Tableau4849[[#This Row],[IDENTITE]],[1]!Tableau47[GLOBUY],[1]!Tableau47[GLOBUY]),"")="","",1)</f>
        <v/>
      </c>
      <c r="AD144" s="26" t="str">
        <f>IF(IFERROR(_xlfn.XLOOKUP(Tableau4849[[#This Row],[IDENTITE]],[1]!Tableau47[GLOSELL],[1]!Tableau47[GLOSELL]),"")="","",1)</f>
        <v/>
      </c>
      <c r="AE144" s="26"/>
      <c r="AF144" s="26">
        <f>IF(Tableau4849[[#This Row],[INDEX]]&lt;3,"",IF(Tableau4849[[#This Row],[COMMAND]]="","",IF('[1]Bar history'!$AA$33=1,1,"")))</f>
        <v>1</v>
      </c>
      <c r="AG144" s="26"/>
      <c r="AH144" s="26" t="str">
        <f>IF(IFERROR(_xlfn.XLOOKUP(Tableau4849[[#This Row],[IDENTITE]],[1]!Tableau47[COMMENTAIRE],[1]!Tableau47[CLOTURE]),"")=[1]PARAMETRE!$BK$31,Tableau4849[[#This Row],[INDEX]],"")</f>
        <v/>
      </c>
      <c r="AI144" s="26"/>
      <c r="AJ144" s="35" t="str">
        <f>IF(AND(ISNUMBER(SEARCH("BUY",Tableau4849[[#This Row],[COMMAND]]))),"BUYSTOP",IF(AND(ISNUMBER(SEARCH("SELL",Tableau4849[[#This Row],[COMMAND]]))),"SELLSTOP",""))</f>
        <v>SELLSTOP</v>
      </c>
      <c r="AK144" s="35" t="str">
        <f>IFERROR(SUBSTITUTE(Tableau4849[[#This Row],[PRICE]],",","."),"")</f>
        <v>1.06281</v>
      </c>
      <c r="AL144" s="35" t="str">
        <f>IF(Tableau4849[[#This Row],[INDEX]]&lt;3,"",Tableau4849[[#This Row],[IDENTITE]])</f>
        <v>1 RSRS S 1.06273 M1M1</v>
      </c>
      <c r="AM144" s="35" t="str">
        <f>IF(Tableau4849[[#This Row],[INDEX]]&lt;3,"",Tableau4849[[#This Row],[DEVISE]])</f>
        <v>EURUSD</v>
      </c>
      <c r="AN144" s="35">
        <f>IFERROR(IF(Tableau4849[[#This Row],[INDEX]]&lt;3,"",Tableau4849[[#This Row],[ATTEINT]]),100000)</f>
        <v>100000</v>
      </c>
      <c r="AO144" s="35">
        <f>IF(Tableau4849[[#This Row],[INDEX]]&lt;3,"",Tableau4849[[#This Row],[COMPTE]])</f>
        <v>925832</v>
      </c>
      <c r="AP144" s="35" t="str">
        <f>IF(Tableau4849[[#This Row],[INDEX]]&lt;3,"","NON")</f>
        <v>NON</v>
      </c>
      <c r="AQ144" s="35" t="str">
        <f>IF(Tableau4849[[#This Row],[INDEX]]&lt;3,"",IF(Tableau4849[[#This Row],[0,5]]&lt;0,"NEGATIF",""))</f>
        <v/>
      </c>
    </row>
    <row r="145" spans="1:43" x14ac:dyDescent="0.25">
      <c r="A145" s="24">
        <v>53</v>
      </c>
      <c r="B145" s="32">
        <v>44923.331226851849</v>
      </c>
      <c r="C145" s="26">
        <v>925832</v>
      </c>
      <c r="D145" s="24" t="s">
        <v>0</v>
      </c>
      <c r="E145" s="24" t="s">
        <v>46</v>
      </c>
      <c r="F145" s="24">
        <v>1.0627500000000001</v>
      </c>
      <c r="G145" s="26">
        <v>4000</v>
      </c>
      <c r="H145" s="27" t="s">
        <v>201</v>
      </c>
      <c r="I145" s="28" t="str">
        <f>IF(IFERROR(_xlfn.XLOOKUP(Tableau4849[[#This Row],[SL]],'[1]Tickets (2)'!J142:J936,'[1]Tickets (2)'!I145:I939),"")=0,"",IFERROR(_xlfn.XLOOKUP(Tableau4849[[#This Row],[SL]],'[1]Tickets (2)'!J142:J936,'[1]Tickets (2)'!I145:I939),""))</f>
        <v/>
      </c>
      <c r="J145">
        <v>1</v>
      </c>
      <c r="K14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5" s="33">
        <v>44923.631425115738</v>
      </c>
      <c r="N145" s="3" t="str">
        <f>IF(Tableau4849[[#This Row],[T CLOSE]]&gt;[1]CONFIGURATION!$K$4,Tableau4849[[#This Row],[IDENTITE]],"")</f>
        <v/>
      </c>
      <c r="O145" s="26">
        <f>IFERROR(Tableau4849[[#This Row],[SL]]/(Tableau4849[[#This Row],[VOLUME]]/$I$5),0)</f>
        <v>0</v>
      </c>
      <c r="P145" s="26" t="str">
        <f>Tableau4849[[#This Row],[COMMAND]]</f>
        <v>SELL</v>
      </c>
      <c r="Q14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1.06276 M1M1</v>
      </c>
      <c r="R145" s="29">
        <v>16</v>
      </c>
      <c r="S145" s="26" t="str">
        <f>IF(Tableau4849[[#This Row],[ETAT]]="LOSE",IF(IFERROR(ABS(SUBSTITUTE(Tableau4849[[#This Row],[PRICE]],".",",")-'[1]Deal ticket'!$B$16)*1000,"")&lt;=$S$5,"GO","WAIT"),"")</f>
        <v/>
      </c>
      <c r="T14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5" s="34" t="str">
        <f>IF(Tableau4849[[#This Row],[ETAT]]="LOSE",IF(IFERROR(ABS(SUBSTITUTE(Tableau4849[[#This Row],[PRICE]],".",",")-'[1]Deal ticket'!$B$16)*1000,"")&lt;=$U$5,"GO","WAIT"),"")</f>
        <v/>
      </c>
      <c r="V145" s="26">
        <f>IF(Tableau4849[[#This Row],[INDEX]]&lt;3,"",SUMIFS(Tableau4849[SL],Tableau4849[Colonne5],Tableau4849[[#This Row],[Colonne5]])+$S$4)</f>
        <v>1</v>
      </c>
      <c r="W145" s="34" t="str">
        <f>IF(Tableau4849[[#This Row],[ETAT]]="LOSE",IF(IFERROR(ABS(SUBSTITUTE(Tableau4849[[#This Row],[PRICE]],".",",")-'[1]Deal ticket'!$B$16)*1000,"")&lt;=$W$5,"GO","WAIT"),"")</f>
        <v/>
      </c>
      <c r="X14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5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45" s="26" t="str">
        <f>IF(AND(Tableau4849[[#This Row],[3,8]]=1),Tableau4849[[#This Row],[INDEX]],"")</f>
        <v/>
      </c>
      <c r="AC145" s="26" t="str">
        <f ca="1">IF(IFERROR(_xlfn.XLOOKUP(Tableau4849[[#This Row],[IDENTITE]],[1]!Tableau47[GLOBUY],[1]!Tableau47[GLOBUY]),"")="","",1)</f>
        <v/>
      </c>
      <c r="AD145" s="26" t="str">
        <f>IF(IFERROR(_xlfn.XLOOKUP(Tableau4849[[#This Row],[IDENTITE]],[1]!Tableau47[GLOSELL],[1]!Tableau47[GLOSELL]),"")="","",1)</f>
        <v/>
      </c>
      <c r="AE145" s="26"/>
      <c r="AF145" s="26">
        <f>IF(Tableau4849[[#This Row],[INDEX]]&lt;3,"",IF(Tableau4849[[#This Row],[COMMAND]]="","",IF('[1]Bar history'!$AA$33=1,1,"")))</f>
        <v>1</v>
      </c>
      <c r="AG145" s="26"/>
      <c r="AH145" s="26" t="str">
        <f>IF(IFERROR(_xlfn.XLOOKUP(Tableau4849[[#This Row],[IDENTITE]],[1]!Tableau47[COMMENTAIRE],[1]!Tableau47[CLOTURE]),"")=[1]PARAMETRE!$BK$31,Tableau4849[[#This Row],[INDEX]],"")</f>
        <v/>
      </c>
      <c r="AI145" s="26"/>
      <c r="AJ145" s="35" t="str">
        <f>IF(AND(ISNUMBER(SEARCH("BUY",Tableau4849[[#This Row],[COMMAND]]))),"BUYSTOP",IF(AND(ISNUMBER(SEARCH("SELL",Tableau4849[[#This Row],[COMMAND]]))),"SELLSTOP",""))</f>
        <v>SELLSTOP</v>
      </c>
      <c r="AK145" s="35" t="str">
        <f>IFERROR(SUBSTITUTE(Tableau4849[[#This Row],[PRICE]],",","."),"")</f>
        <v>1.06275</v>
      </c>
      <c r="AL145" s="35" t="str">
        <f>IF(Tableau4849[[#This Row],[INDEX]]&lt;3,"",Tableau4849[[#This Row],[IDENTITE]])</f>
        <v>1 RSRS S 1.06276 M1M1</v>
      </c>
      <c r="AM145" s="35" t="str">
        <f>IF(Tableau4849[[#This Row],[INDEX]]&lt;3,"",Tableau4849[[#This Row],[DEVISE]])</f>
        <v>EURUSD</v>
      </c>
      <c r="AN145" s="35">
        <f>IFERROR(IF(Tableau4849[[#This Row],[INDEX]]&lt;3,"",Tableau4849[[#This Row],[ATTEINT]]),100000)</f>
        <v>100000</v>
      </c>
      <c r="AO145" s="35">
        <f>IF(Tableau4849[[#This Row],[INDEX]]&lt;3,"",Tableau4849[[#This Row],[COMPTE]])</f>
        <v>925832</v>
      </c>
      <c r="AP145" s="35" t="str">
        <f>IF(Tableau4849[[#This Row],[INDEX]]&lt;3,"","NON")</f>
        <v>NON</v>
      </c>
      <c r="AQ145" s="35" t="str">
        <f>IF(Tableau4849[[#This Row],[INDEX]]&lt;3,"",IF(Tableau4849[[#This Row],[0,5]]&lt;0,"NEGATIF",""))</f>
        <v/>
      </c>
    </row>
    <row r="146" spans="1:43" x14ac:dyDescent="0.25">
      <c r="A146" s="24">
        <v>54</v>
      </c>
      <c r="B146" s="32">
        <v>44923.331030092595</v>
      </c>
      <c r="C146" s="26">
        <v>925832</v>
      </c>
      <c r="D146" s="24" t="s">
        <v>0</v>
      </c>
      <c r="E146" s="24" t="s">
        <v>46</v>
      </c>
      <c r="F146" s="24">
        <v>1.06298</v>
      </c>
      <c r="G146" s="26">
        <v>11000</v>
      </c>
      <c r="H146" s="27" t="s">
        <v>202</v>
      </c>
      <c r="I146" s="28" t="str">
        <f>IF(IFERROR(_xlfn.XLOOKUP(Tableau4849[[#This Row],[SL]],'[1]Tickets (2)'!J143:J937,'[1]Tickets (2)'!I146:I940),"")=0,"",IFERROR(_xlfn.XLOOKUP(Tableau4849[[#This Row],[SL]],'[1]Tickets (2)'!J143:J937,'[1]Tickets (2)'!I146:I940),""))</f>
        <v/>
      </c>
      <c r="J146">
        <v>1</v>
      </c>
      <c r="K14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6" s="33">
        <v>44923.631425115738</v>
      </c>
      <c r="N146" s="3" t="str">
        <f>IF(Tableau4849[[#This Row],[T CLOSE]]&gt;[1]CONFIGURATION!$K$4,Tableau4849[[#This Row],[IDENTITE]],"")</f>
        <v/>
      </c>
      <c r="O146" s="26">
        <f>IFERROR(Tableau4849[[#This Row],[SL]]/(Tableau4849[[#This Row],[VOLUME]]/$I$5),0)</f>
        <v>0</v>
      </c>
      <c r="P146" s="26" t="str">
        <f>Tableau4849[[#This Row],[COMMAND]]</f>
        <v>SELL</v>
      </c>
      <c r="Q14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1.0639 M1M1</v>
      </c>
      <c r="R146" s="29">
        <v>17</v>
      </c>
      <c r="S146" s="26" t="str">
        <f>IF(Tableau4849[[#This Row],[ETAT]]="LOSE",IF(IFERROR(ABS(SUBSTITUTE(Tableau4849[[#This Row],[PRICE]],".",",")-'[1]Deal ticket'!$B$16)*1000,"")&lt;=$S$5,"GO","WAIT"),"")</f>
        <v/>
      </c>
      <c r="T14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6" s="34" t="str">
        <f>IF(Tableau4849[[#This Row],[ETAT]]="LOSE",IF(IFERROR(ABS(SUBSTITUTE(Tableau4849[[#This Row],[PRICE]],".",",")-'[1]Deal ticket'!$B$16)*1000,"")&lt;=$U$5,"GO","WAIT"),"")</f>
        <v/>
      </c>
      <c r="V146" s="26">
        <f>IF(Tableau4849[[#This Row],[INDEX]]&lt;3,"",SUMIFS(Tableau4849[SL],Tableau4849[Colonne5],Tableau4849[[#This Row],[Colonne5]])+$S$4)</f>
        <v>1</v>
      </c>
      <c r="W146" s="34" t="str">
        <f>IF(Tableau4849[[#This Row],[ETAT]]="LOSE",IF(IFERROR(ABS(SUBSTITUTE(Tableau4849[[#This Row],[PRICE]],".",",")-'[1]Deal ticket'!$B$16)*1000,"")&lt;=$W$5,"GO","WAIT"),"")</f>
        <v/>
      </c>
      <c r="X14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6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46" s="26" t="str">
        <f>IF(AND(Tableau4849[[#This Row],[3,8]]=1),Tableau4849[[#This Row],[INDEX]],"")</f>
        <v/>
      </c>
      <c r="AC146" s="26" t="str">
        <f ca="1">IF(IFERROR(_xlfn.XLOOKUP(Tableau4849[[#This Row],[IDENTITE]],[1]!Tableau47[GLOBUY],[1]!Tableau47[GLOBUY]),"")="","",1)</f>
        <v/>
      </c>
      <c r="AD146" s="26" t="str">
        <f>IF(IFERROR(_xlfn.XLOOKUP(Tableau4849[[#This Row],[IDENTITE]],[1]!Tableau47[GLOSELL],[1]!Tableau47[GLOSELL]),"")="","",1)</f>
        <v/>
      </c>
      <c r="AE146" s="26"/>
      <c r="AF146" s="26">
        <f>IF(Tableau4849[[#This Row],[INDEX]]&lt;3,"",IF(Tableau4849[[#This Row],[COMMAND]]="","",IF('[1]Bar history'!$AA$33=1,1,"")))</f>
        <v>1</v>
      </c>
      <c r="AG146" s="26"/>
      <c r="AH146" s="26" t="str">
        <f>IF(IFERROR(_xlfn.XLOOKUP(Tableau4849[[#This Row],[IDENTITE]],[1]!Tableau47[COMMENTAIRE],[1]!Tableau47[CLOTURE]),"")=[1]PARAMETRE!$BK$31,Tableau4849[[#This Row],[INDEX]],"")</f>
        <v/>
      </c>
      <c r="AI146" s="26"/>
      <c r="AJ146" s="35" t="str">
        <f>IF(AND(ISNUMBER(SEARCH("BUY",Tableau4849[[#This Row],[COMMAND]]))),"BUYSTOP",IF(AND(ISNUMBER(SEARCH("SELL",Tableau4849[[#This Row],[COMMAND]]))),"SELLSTOP",""))</f>
        <v>SELLSTOP</v>
      </c>
      <c r="AK146" s="35" t="str">
        <f>IFERROR(SUBSTITUTE(Tableau4849[[#This Row],[PRICE]],",","."),"")</f>
        <v>1.06298</v>
      </c>
      <c r="AL146" s="35" t="str">
        <f>IF(Tableau4849[[#This Row],[INDEX]]&lt;3,"",Tableau4849[[#This Row],[IDENTITE]])</f>
        <v>1 RSRS S 1.0639 M1M1</v>
      </c>
      <c r="AM146" s="35" t="str">
        <f>IF(Tableau4849[[#This Row],[INDEX]]&lt;3,"",Tableau4849[[#This Row],[DEVISE]])</f>
        <v>EURUSD</v>
      </c>
      <c r="AN146" s="35">
        <f>IFERROR(IF(Tableau4849[[#This Row],[INDEX]]&lt;3,"",Tableau4849[[#This Row],[ATTEINT]]),100000)</f>
        <v>100000</v>
      </c>
      <c r="AO146" s="35">
        <f>IF(Tableau4849[[#This Row],[INDEX]]&lt;3,"",Tableau4849[[#This Row],[COMPTE]])</f>
        <v>925832</v>
      </c>
      <c r="AP146" s="35" t="str">
        <f>IF(Tableau4849[[#This Row],[INDEX]]&lt;3,"","NON")</f>
        <v>NON</v>
      </c>
      <c r="AQ146" s="35" t="str">
        <f>IF(Tableau4849[[#This Row],[INDEX]]&lt;3,"",IF(Tableau4849[[#This Row],[0,5]]&lt;0,"NEGATIF",""))</f>
        <v/>
      </c>
    </row>
    <row r="147" spans="1:43" x14ac:dyDescent="0.25">
      <c r="A147" s="24">
        <v>55</v>
      </c>
      <c r="B147" s="32">
        <v>44923.325983796298</v>
      </c>
      <c r="C147" s="26">
        <v>925832</v>
      </c>
      <c r="D147" s="24" t="s">
        <v>0</v>
      </c>
      <c r="E147" s="24" t="s">
        <v>46</v>
      </c>
      <c r="F147" s="24">
        <v>1.0631999999999999</v>
      </c>
      <c r="G147" s="26">
        <v>16000</v>
      </c>
      <c r="H147" s="27" t="s">
        <v>204</v>
      </c>
      <c r="I147" s="28" t="str">
        <f>IF(IFERROR(_xlfn.XLOOKUP(Tableau4849[[#This Row],[SL]],'[1]Tickets (2)'!J144:J938,'[1]Tickets (2)'!I147:I941),"")=0,"",IFERROR(_xlfn.XLOOKUP(Tableau4849[[#This Row],[SL]],'[1]Tickets (2)'!J144:J938,'[1]Tickets (2)'!I147:I941),""))</f>
        <v/>
      </c>
      <c r="J147">
        <v>1</v>
      </c>
      <c r="K14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7" s="33">
        <v>44923.631425115738</v>
      </c>
      <c r="N147" s="3" t="str">
        <f>IF(Tableau4849[[#This Row],[T CLOSE]]&gt;[1]CONFIGURATION!$K$4,Tableau4849[[#This Row],[IDENTITE]],"")</f>
        <v/>
      </c>
      <c r="O147" s="26">
        <f>IFERROR(Tableau4849[[#This Row],[SL]]/(Tableau4849[[#This Row],[VOLUME]]/$I$5),0)</f>
        <v>0</v>
      </c>
      <c r="P147" s="26" t="str">
        <f>Tableau4849[[#This Row],[COMMAND]]</f>
        <v>SELL</v>
      </c>
      <c r="Q14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1.06319 M1M1</v>
      </c>
      <c r="R147" s="29">
        <v>18</v>
      </c>
      <c r="S147" s="26" t="str">
        <f>IF(Tableau4849[[#This Row],[ETAT]]="LOSE",IF(IFERROR(ABS(SUBSTITUTE(Tableau4849[[#This Row],[PRICE]],".",",")-'[1]Deal ticket'!$B$16)*1000,"")&lt;=$S$5,"GO","WAIT"),"")</f>
        <v/>
      </c>
      <c r="T14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7" s="34" t="str">
        <f>IF(Tableau4849[[#This Row],[ETAT]]="LOSE",IF(IFERROR(ABS(SUBSTITUTE(Tableau4849[[#This Row],[PRICE]],".",",")-'[1]Deal ticket'!$B$16)*1000,"")&lt;=$U$5,"GO","WAIT"),"")</f>
        <v/>
      </c>
      <c r="V147" s="26">
        <f>IF(Tableau4849[[#This Row],[INDEX]]&lt;3,"",SUMIFS(Tableau4849[SL],Tableau4849[Colonne5],Tableau4849[[#This Row],[Colonne5]])+$S$4)</f>
        <v>1</v>
      </c>
      <c r="W147" s="34" t="str">
        <f>IF(Tableau4849[[#This Row],[ETAT]]="LOSE",IF(IFERROR(ABS(SUBSTITUTE(Tableau4849[[#This Row],[PRICE]],".",",")-'[1]Deal ticket'!$B$16)*1000,"")&lt;=$W$5,"GO","WAIT"),"")</f>
        <v/>
      </c>
      <c r="X14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7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47" s="26" t="str">
        <f>IF(AND(Tableau4849[[#This Row],[3,8]]=1),Tableau4849[[#This Row],[INDEX]],"")</f>
        <v/>
      </c>
      <c r="AC147" s="26" t="str">
        <f ca="1">IF(IFERROR(_xlfn.XLOOKUP(Tableau4849[[#This Row],[IDENTITE]],[1]!Tableau47[GLOBUY],[1]!Tableau47[GLOBUY]),"")="","",1)</f>
        <v/>
      </c>
      <c r="AD147" s="26" t="str">
        <f>IF(IFERROR(_xlfn.XLOOKUP(Tableau4849[[#This Row],[IDENTITE]],[1]!Tableau47[GLOSELL],[1]!Tableau47[GLOSELL]),"")="","",1)</f>
        <v/>
      </c>
      <c r="AE147" s="26"/>
      <c r="AF147" s="26">
        <f>IF(Tableau4849[[#This Row],[INDEX]]&lt;3,"",IF(Tableau4849[[#This Row],[COMMAND]]="","",IF('[1]Bar history'!$AA$33=1,1,"")))</f>
        <v>1</v>
      </c>
      <c r="AG147" s="26"/>
      <c r="AH147" s="26" t="str">
        <f>IF(IFERROR(_xlfn.XLOOKUP(Tableau4849[[#This Row],[IDENTITE]],[1]!Tableau47[COMMENTAIRE],[1]!Tableau47[CLOTURE]),"")=[1]PARAMETRE!$BK$31,Tableau4849[[#This Row],[INDEX]],"")</f>
        <v/>
      </c>
      <c r="AI147" s="26"/>
      <c r="AJ147" s="35" t="str">
        <f>IF(AND(ISNUMBER(SEARCH("BUY",Tableau4849[[#This Row],[COMMAND]]))),"BUYSTOP",IF(AND(ISNUMBER(SEARCH("SELL",Tableau4849[[#This Row],[COMMAND]]))),"SELLSTOP",""))</f>
        <v>SELLSTOP</v>
      </c>
      <c r="AK147" s="35" t="str">
        <f>IFERROR(SUBSTITUTE(Tableau4849[[#This Row],[PRICE]],",","."),"")</f>
        <v>1.0632</v>
      </c>
      <c r="AL147" s="35" t="str">
        <f>IF(Tableau4849[[#This Row],[INDEX]]&lt;3,"",Tableau4849[[#This Row],[IDENTITE]])</f>
        <v>1 RSRS S 1.06319 M1M1</v>
      </c>
      <c r="AM147" s="35" t="str">
        <f>IF(Tableau4849[[#This Row],[INDEX]]&lt;3,"",Tableau4849[[#This Row],[DEVISE]])</f>
        <v>EURUSD</v>
      </c>
      <c r="AN147" s="35">
        <f>IFERROR(IF(Tableau4849[[#This Row],[INDEX]]&lt;3,"",Tableau4849[[#This Row],[ATTEINT]]),100000)</f>
        <v>100000</v>
      </c>
      <c r="AO147" s="35">
        <f>IF(Tableau4849[[#This Row],[INDEX]]&lt;3,"",Tableau4849[[#This Row],[COMPTE]])</f>
        <v>925832</v>
      </c>
      <c r="AP147" s="35" t="str">
        <f>IF(Tableau4849[[#This Row],[INDEX]]&lt;3,"","NON")</f>
        <v>NON</v>
      </c>
      <c r="AQ147" s="35" t="str">
        <f>IF(Tableau4849[[#This Row],[INDEX]]&lt;3,"",IF(Tableau4849[[#This Row],[0,5]]&lt;0,"NEGATIF",""))</f>
        <v/>
      </c>
    </row>
    <row r="148" spans="1:43" x14ac:dyDescent="0.25">
      <c r="A148" s="24">
        <v>56</v>
      </c>
      <c r="B148" s="32">
        <v>44923.325162037036</v>
      </c>
      <c r="C148" s="26">
        <v>925832</v>
      </c>
      <c r="D148" s="24" t="s">
        <v>0</v>
      </c>
      <c r="E148" s="24" t="s">
        <v>46</v>
      </c>
      <c r="F148" s="24">
        <v>1.0630900000000001</v>
      </c>
      <c r="G148" s="26">
        <v>18000</v>
      </c>
      <c r="H148" s="27" t="s">
        <v>205</v>
      </c>
      <c r="I148" s="28" t="str">
        <f>IF(IFERROR(_xlfn.XLOOKUP(Tableau4849[[#This Row],[SL]],'[1]Tickets (2)'!J145:J939,'[1]Tickets (2)'!I148:I942),"")=0,"",IFERROR(_xlfn.XLOOKUP(Tableau4849[[#This Row],[SL]],'[1]Tickets (2)'!J145:J939,'[1]Tickets (2)'!I148:I942),""))</f>
        <v/>
      </c>
      <c r="J148">
        <v>1</v>
      </c>
      <c r="K14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8" s="33">
        <v>44923.631425115738</v>
      </c>
      <c r="N148" s="3" t="str">
        <f>IF(Tableau4849[[#This Row],[T CLOSE]]&gt;[1]CONFIGURATION!$K$4,Tableau4849[[#This Row],[IDENTITE]],"")</f>
        <v/>
      </c>
      <c r="O148" s="26">
        <f>IFERROR(Tableau4849[[#This Row],[SL]]/(Tableau4849[[#This Row],[VOLUME]]/$I$5),0)</f>
        <v>0</v>
      </c>
      <c r="P148" s="26" t="str">
        <f>Tableau4849[[#This Row],[COMMAND]]</f>
        <v>SELL</v>
      </c>
      <c r="Q14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1.06309 M1M1</v>
      </c>
      <c r="R148" s="29">
        <v>19</v>
      </c>
      <c r="S148" s="26" t="str">
        <f>IF(Tableau4849[[#This Row],[ETAT]]="LOSE",IF(IFERROR(ABS(SUBSTITUTE(Tableau4849[[#This Row],[PRICE]],".",",")-'[1]Deal ticket'!$B$16)*1000,"")&lt;=$S$5,"GO","WAIT"),"")</f>
        <v/>
      </c>
      <c r="T14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8" s="34" t="str">
        <f>IF(Tableau4849[[#This Row],[ETAT]]="LOSE",IF(IFERROR(ABS(SUBSTITUTE(Tableau4849[[#This Row],[PRICE]],".",",")-'[1]Deal ticket'!$B$16)*1000,"")&lt;=$U$5,"GO","WAIT"),"")</f>
        <v/>
      </c>
      <c r="V148" s="26">
        <f>IF(Tableau4849[[#This Row],[INDEX]]&lt;3,"",SUMIFS(Tableau4849[SL],Tableau4849[Colonne5],Tableau4849[[#This Row],[Colonne5]])+$S$4)</f>
        <v>1</v>
      </c>
      <c r="W148" s="34" t="str">
        <f>IF(Tableau4849[[#This Row],[ETAT]]="LOSE",IF(IFERROR(ABS(SUBSTITUTE(Tableau4849[[#This Row],[PRICE]],".",",")-'[1]Deal ticket'!$B$16)*1000,"")&lt;=$W$5,"GO","WAIT"),"")</f>
        <v/>
      </c>
      <c r="X14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8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48" s="26" t="str">
        <f>IF(AND(Tableau4849[[#This Row],[3,8]]=1),Tableau4849[[#This Row],[INDEX]],"")</f>
        <v/>
      </c>
      <c r="AC148" s="26" t="str">
        <f ca="1">IF(IFERROR(_xlfn.XLOOKUP(Tableau4849[[#This Row],[IDENTITE]],[1]!Tableau47[GLOBUY],[1]!Tableau47[GLOBUY]),"")="","",1)</f>
        <v/>
      </c>
      <c r="AD148" s="26" t="str">
        <f>IF(IFERROR(_xlfn.XLOOKUP(Tableau4849[[#This Row],[IDENTITE]],[1]!Tableau47[GLOSELL],[1]!Tableau47[GLOSELL]),"")="","",1)</f>
        <v/>
      </c>
      <c r="AE148" s="26"/>
      <c r="AF148" s="26">
        <f>IF(Tableau4849[[#This Row],[INDEX]]&lt;3,"",IF(Tableau4849[[#This Row],[COMMAND]]="","",IF('[1]Bar history'!$AA$33=1,1,"")))</f>
        <v>1</v>
      </c>
      <c r="AG148" s="26"/>
      <c r="AH148" s="26" t="str">
        <f>IF(IFERROR(_xlfn.XLOOKUP(Tableau4849[[#This Row],[IDENTITE]],[1]!Tableau47[COMMENTAIRE],[1]!Tableau47[CLOTURE]),"")=[1]PARAMETRE!$BK$31,Tableau4849[[#This Row],[INDEX]],"")</f>
        <v/>
      </c>
      <c r="AI148" s="26"/>
      <c r="AJ148" s="35" t="str">
        <f>IF(AND(ISNUMBER(SEARCH("BUY",Tableau4849[[#This Row],[COMMAND]]))),"BUYSTOP",IF(AND(ISNUMBER(SEARCH("SELL",Tableau4849[[#This Row],[COMMAND]]))),"SELLSTOP",""))</f>
        <v>SELLSTOP</v>
      </c>
      <c r="AK148" s="35" t="str">
        <f>IFERROR(SUBSTITUTE(Tableau4849[[#This Row],[PRICE]],",","."),"")</f>
        <v>1.06309</v>
      </c>
      <c r="AL148" s="35" t="str">
        <f>IF(Tableau4849[[#This Row],[INDEX]]&lt;3,"",Tableau4849[[#This Row],[IDENTITE]])</f>
        <v>1 RSRS S 1.06309 M1M1</v>
      </c>
      <c r="AM148" s="35" t="str">
        <f>IF(Tableau4849[[#This Row],[INDEX]]&lt;3,"",Tableau4849[[#This Row],[DEVISE]])</f>
        <v>EURUSD</v>
      </c>
      <c r="AN148" s="35">
        <f>IFERROR(IF(Tableau4849[[#This Row],[INDEX]]&lt;3,"",Tableau4849[[#This Row],[ATTEINT]]),100000)</f>
        <v>100000</v>
      </c>
      <c r="AO148" s="35">
        <f>IF(Tableau4849[[#This Row],[INDEX]]&lt;3,"",Tableau4849[[#This Row],[COMPTE]])</f>
        <v>925832</v>
      </c>
      <c r="AP148" s="35" t="str">
        <f>IF(Tableau4849[[#This Row],[INDEX]]&lt;3,"","NON")</f>
        <v>NON</v>
      </c>
      <c r="AQ148" s="35" t="str">
        <f>IF(Tableau4849[[#This Row],[INDEX]]&lt;3,"",IF(Tableau4849[[#This Row],[0,5]]&lt;0,"NEGATIF",""))</f>
        <v/>
      </c>
    </row>
    <row r="149" spans="1:43" x14ac:dyDescent="0.25">
      <c r="A149" s="24">
        <v>57</v>
      </c>
      <c r="B149" s="32">
        <v>44923.324548611112</v>
      </c>
      <c r="C149" s="26">
        <v>925832</v>
      </c>
      <c r="D149" s="24" t="s">
        <v>0</v>
      </c>
      <c r="E149" s="24" t="s">
        <v>46</v>
      </c>
      <c r="F149" s="24">
        <v>1.0631900000000001</v>
      </c>
      <c r="G149" s="26">
        <v>50000</v>
      </c>
      <c r="H149" s="27" t="s">
        <v>207</v>
      </c>
      <c r="I149" s="28" t="str">
        <f>IF(IFERROR(_xlfn.XLOOKUP(Tableau4849[[#This Row],[SL]],'[1]Tickets (2)'!J146:J940,'[1]Tickets (2)'!I149:I943),"")=0,"",IFERROR(_xlfn.XLOOKUP(Tableau4849[[#This Row],[SL]],'[1]Tickets (2)'!J146:J940,'[1]Tickets (2)'!I149:I943),""))</f>
        <v/>
      </c>
      <c r="J149">
        <v>1</v>
      </c>
      <c r="K14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49" s="33">
        <v>44923.631425115738</v>
      </c>
      <c r="N149" s="3" t="str">
        <f>IF(Tableau4849[[#This Row],[T CLOSE]]&gt;[1]CONFIGURATION!$K$4,Tableau4849[[#This Row],[IDENTITE]],"")</f>
        <v/>
      </c>
      <c r="O149" s="26">
        <f>IFERROR(Tableau4849[[#This Row],[SL]]/(Tableau4849[[#This Row],[VOLUME]]/$I$5),0)</f>
        <v>0</v>
      </c>
      <c r="P149" s="26" t="str">
        <f>Tableau4849[[#This Row],[COMMAND]]</f>
        <v>SELL</v>
      </c>
      <c r="Q14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1.0632 M1M1</v>
      </c>
      <c r="R149" s="29">
        <v>20</v>
      </c>
      <c r="S149" s="26" t="str">
        <f>IF(Tableau4849[[#This Row],[ETAT]]="LOSE",IF(IFERROR(ABS(SUBSTITUTE(Tableau4849[[#This Row],[PRICE]],".",",")-'[1]Deal ticket'!$B$16)*1000,"")&lt;=$S$5,"GO","WAIT"),"")</f>
        <v/>
      </c>
      <c r="T14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49" s="34" t="str">
        <f>IF(Tableau4849[[#This Row],[ETAT]]="LOSE",IF(IFERROR(ABS(SUBSTITUTE(Tableau4849[[#This Row],[PRICE]],".",",")-'[1]Deal ticket'!$B$16)*1000,"")&lt;=$U$5,"GO","WAIT"),"")</f>
        <v/>
      </c>
      <c r="V149" s="26">
        <f>IF(Tableau4849[[#This Row],[INDEX]]&lt;3,"",SUMIFS(Tableau4849[SL],Tableau4849[Colonne5],Tableau4849[[#This Row],[Colonne5]])+$S$4)</f>
        <v>1</v>
      </c>
      <c r="W149" s="34" t="str">
        <f>IF(Tableau4849[[#This Row],[ETAT]]="LOSE",IF(IFERROR(ABS(SUBSTITUTE(Tableau4849[[#This Row],[PRICE]],".",",")-'[1]Deal ticket'!$B$16)*1000,"")&lt;=$W$5,"GO","WAIT"),"")</f>
        <v/>
      </c>
      <c r="X14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4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4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49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49" s="26" t="str">
        <f>IF(AND(Tableau4849[[#This Row],[3,8]]=1),Tableau4849[[#This Row],[INDEX]],"")</f>
        <v/>
      </c>
      <c r="AC149" s="26" t="str">
        <f ca="1">IF(IFERROR(_xlfn.XLOOKUP(Tableau4849[[#This Row],[IDENTITE]],[1]!Tableau47[GLOBUY],[1]!Tableau47[GLOBUY]),"")="","",1)</f>
        <v/>
      </c>
      <c r="AD149" s="26" t="str">
        <f>IF(IFERROR(_xlfn.XLOOKUP(Tableau4849[[#This Row],[IDENTITE]],[1]!Tableau47[GLOSELL],[1]!Tableau47[GLOSELL]),"")="","",1)</f>
        <v/>
      </c>
      <c r="AE149" s="26"/>
      <c r="AF149" s="26">
        <f>IF(Tableau4849[[#This Row],[INDEX]]&lt;3,"",IF(Tableau4849[[#This Row],[COMMAND]]="","",IF('[1]Bar history'!$AA$33=1,1,"")))</f>
        <v>1</v>
      </c>
      <c r="AG149" s="26"/>
      <c r="AH149" s="26" t="str">
        <f>IF(IFERROR(_xlfn.XLOOKUP(Tableau4849[[#This Row],[IDENTITE]],[1]!Tableau47[COMMENTAIRE],[1]!Tableau47[CLOTURE]),"")=[1]PARAMETRE!$BK$31,Tableau4849[[#This Row],[INDEX]],"")</f>
        <v/>
      </c>
      <c r="AI149" s="26"/>
      <c r="AJ149" s="35" t="str">
        <f>IF(AND(ISNUMBER(SEARCH("BUY",Tableau4849[[#This Row],[COMMAND]]))),"BUYSTOP",IF(AND(ISNUMBER(SEARCH("SELL",Tableau4849[[#This Row],[COMMAND]]))),"SELLSTOP",""))</f>
        <v>SELLSTOP</v>
      </c>
      <c r="AK149" s="35" t="str">
        <f>IFERROR(SUBSTITUTE(Tableau4849[[#This Row],[PRICE]],",","."),"")</f>
        <v>1.06319</v>
      </c>
      <c r="AL149" s="35" t="str">
        <f>IF(Tableau4849[[#This Row],[INDEX]]&lt;3,"",Tableau4849[[#This Row],[IDENTITE]])</f>
        <v>1 RSRS S 1.0632 M1M1</v>
      </c>
      <c r="AM149" s="35" t="str">
        <f>IF(Tableau4849[[#This Row],[INDEX]]&lt;3,"",Tableau4849[[#This Row],[DEVISE]])</f>
        <v>EURUSD</v>
      </c>
      <c r="AN149" s="35">
        <f>IFERROR(IF(Tableau4849[[#This Row],[INDEX]]&lt;3,"",Tableau4849[[#This Row],[ATTEINT]]),100000)</f>
        <v>100000</v>
      </c>
      <c r="AO149" s="35">
        <f>IF(Tableau4849[[#This Row],[INDEX]]&lt;3,"",Tableau4849[[#This Row],[COMPTE]])</f>
        <v>925832</v>
      </c>
      <c r="AP149" s="35" t="str">
        <f>IF(Tableau4849[[#This Row],[INDEX]]&lt;3,"","NON")</f>
        <v>NON</v>
      </c>
      <c r="AQ149" s="35" t="str">
        <f>IF(Tableau4849[[#This Row],[INDEX]]&lt;3,"",IF(Tableau4849[[#This Row],[0,5]]&lt;0,"NEGATIF",""))</f>
        <v/>
      </c>
    </row>
    <row r="150" spans="1:43" x14ac:dyDescent="0.25">
      <c r="A150" s="24">
        <v>58</v>
      </c>
      <c r="B150" s="32">
        <v>44923.323773148149</v>
      </c>
      <c r="C150" s="26">
        <v>925832</v>
      </c>
      <c r="D150" s="24" t="s">
        <v>0</v>
      </c>
      <c r="E150" s="24" t="s">
        <v>46</v>
      </c>
      <c r="F150" s="24">
        <v>1.0632200000000001</v>
      </c>
      <c r="G150" s="26">
        <v>13000</v>
      </c>
      <c r="H150" s="27" t="s">
        <v>209</v>
      </c>
      <c r="I150" s="28" t="str">
        <f>IF(IFERROR(_xlfn.XLOOKUP(Tableau4849[[#This Row],[SL]],'[1]Tickets (2)'!J147:J941,'[1]Tickets (2)'!I150:I944),"")=0,"",IFERROR(_xlfn.XLOOKUP(Tableau4849[[#This Row],[SL]],'[1]Tickets (2)'!J147:J941,'[1]Tickets (2)'!I150:I944),""))</f>
        <v/>
      </c>
      <c r="J150">
        <v>1</v>
      </c>
      <c r="K15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0" s="33">
        <v>44923.631425115738</v>
      </c>
      <c r="N150" s="3" t="str">
        <f>IF(Tableau4849[[#This Row],[T CLOSE]]&gt;[1]CONFIGURATION!$K$4,Tableau4849[[#This Row],[IDENTITE]],"")</f>
        <v/>
      </c>
      <c r="O150" s="26">
        <f>IFERROR(Tableau4849[[#This Row],[SL]]/(Tableau4849[[#This Row],[VOLUME]]/$I$5),0)</f>
        <v>0</v>
      </c>
      <c r="P150" s="26" t="str">
        <f>Tableau4849[[#This Row],[COMMAND]]</f>
        <v>SELL</v>
      </c>
      <c r="Q15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1.06322 M1M1</v>
      </c>
      <c r="R150" s="29">
        <v>-1436</v>
      </c>
      <c r="S150" s="26" t="str">
        <f>IF(Tableau4849[[#This Row],[ETAT]]="LOSE",IF(IFERROR(ABS(SUBSTITUTE(Tableau4849[[#This Row],[PRICE]],".",",")-'[1]Deal ticket'!$B$16)*1000,"")&lt;=$S$5,"GO","WAIT"),"")</f>
        <v/>
      </c>
      <c r="T15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0" s="34" t="str">
        <f>IF(Tableau4849[[#This Row],[ETAT]]="LOSE",IF(IFERROR(ABS(SUBSTITUTE(Tableau4849[[#This Row],[PRICE]],".",",")-'[1]Deal ticket'!$B$16)*1000,"")&lt;=$U$5,"GO","WAIT"),"")</f>
        <v/>
      </c>
      <c r="V150" s="26">
        <f>IF(Tableau4849[[#This Row],[INDEX]]&lt;3,"",SUMIFS(Tableau4849[SL],Tableau4849[Colonne5],Tableau4849[[#This Row],[Colonne5]])+$S$4)</f>
        <v>1</v>
      </c>
      <c r="W150" s="34" t="str">
        <f>IF(Tableau4849[[#This Row],[ETAT]]="LOSE",IF(IFERROR(ABS(SUBSTITUTE(Tableau4849[[#This Row],[PRICE]],".",",")-'[1]Deal ticket'!$B$16)*1000,"")&lt;=$W$5,"GO","WAIT"),"")</f>
        <v/>
      </c>
      <c r="X15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0" s="26">
        <f>IF(AND(Tableau4849[[#This Row],[3,8]]=1),Tableau4849[[#This Row],[INDEX]],"")</f>
        <v>58</v>
      </c>
      <c r="AC150" s="26" t="str">
        <f ca="1">IF(IFERROR(_xlfn.XLOOKUP(Tableau4849[[#This Row],[IDENTITE]],[1]!Tableau47[GLOBUY],[1]!Tableau47[GLOBUY]),"")="","",1)</f>
        <v/>
      </c>
      <c r="AD150" s="26" t="str">
        <f>IF(IFERROR(_xlfn.XLOOKUP(Tableau4849[[#This Row],[IDENTITE]],[1]!Tableau47[GLOSELL],[1]!Tableau47[GLOSELL]),"")="","",1)</f>
        <v/>
      </c>
      <c r="AE150" s="26"/>
      <c r="AF150" s="26">
        <f>IF(Tableau4849[[#This Row],[INDEX]]&lt;3,"",IF(Tableau4849[[#This Row],[COMMAND]]="","",IF('[1]Bar history'!$AA$33=1,1,"")))</f>
        <v>1</v>
      </c>
      <c r="AG150" s="26"/>
      <c r="AH150" s="26" t="str">
        <f>IF(IFERROR(_xlfn.XLOOKUP(Tableau4849[[#This Row],[IDENTITE]],[1]!Tableau47[COMMENTAIRE],[1]!Tableau47[CLOTURE]),"")=[1]PARAMETRE!$BK$31,Tableau4849[[#This Row],[INDEX]],"")</f>
        <v/>
      </c>
      <c r="AI150" s="26"/>
      <c r="AJ150" s="35" t="str">
        <f>IF(AND(ISNUMBER(SEARCH("BUY",Tableau4849[[#This Row],[COMMAND]]))),"BUYSTOP",IF(AND(ISNUMBER(SEARCH("SELL",Tableau4849[[#This Row],[COMMAND]]))),"SELLSTOP",""))</f>
        <v>SELLSTOP</v>
      </c>
      <c r="AK150" s="35" t="str">
        <f>IFERROR(SUBSTITUTE(Tableau4849[[#This Row],[PRICE]],",","."),"")</f>
        <v>1.06322</v>
      </c>
      <c r="AL150" s="35" t="str">
        <f>IF(Tableau4849[[#This Row],[INDEX]]&lt;3,"",Tableau4849[[#This Row],[IDENTITE]])</f>
        <v>1 RSRS S 1.06322 M1M1</v>
      </c>
      <c r="AM150" s="35" t="str">
        <f>IF(Tableau4849[[#This Row],[INDEX]]&lt;3,"",Tableau4849[[#This Row],[DEVISE]])</f>
        <v>EURUSD</v>
      </c>
      <c r="AN150" s="35">
        <f>IFERROR(IF(Tableau4849[[#This Row],[INDEX]]&lt;3,"",Tableau4849[[#This Row],[ATTEINT]]),100000)</f>
        <v>100000</v>
      </c>
      <c r="AO150" s="35">
        <f>IF(Tableau4849[[#This Row],[INDEX]]&lt;3,"",Tableau4849[[#This Row],[COMPTE]])</f>
        <v>925832</v>
      </c>
      <c r="AP150" s="35" t="str">
        <f>IF(Tableau4849[[#This Row],[INDEX]]&lt;3,"","NON")</f>
        <v>NON</v>
      </c>
      <c r="AQ150" s="35" t="str">
        <f>IF(Tableau4849[[#This Row],[INDEX]]&lt;3,"",IF(Tableau4849[[#This Row],[0,5]]&lt;0,"NEGATIF",""))</f>
        <v>NEGATIF</v>
      </c>
    </row>
    <row r="151" spans="1:43" x14ac:dyDescent="0.25">
      <c r="A151" s="24">
        <v>59</v>
      </c>
      <c r="B151" s="32">
        <v>44923.322951388887</v>
      </c>
      <c r="C151" s="26">
        <v>925832</v>
      </c>
      <c r="D151" s="24" t="s">
        <v>0</v>
      </c>
      <c r="E151" s="24" t="s">
        <v>46</v>
      </c>
      <c r="F151" s="24">
        <v>1.0633300000000001</v>
      </c>
      <c r="G151" s="26">
        <v>12000</v>
      </c>
      <c r="H151" s="27" t="s">
        <v>210</v>
      </c>
      <c r="I151" s="28" t="str">
        <f>IF(IFERROR(_xlfn.XLOOKUP(Tableau4849[[#This Row],[SL]],'[1]Tickets (2)'!J148:J942,'[1]Tickets (2)'!I151:I945),"")=0,"",IFERROR(_xlfn.XLOOKUP(Tableau4849[[#This Row],[SL]],'[1]Tickets (2)'!J148:J942,'[1]Tickets (2)'!I151:I945),""))</f>
        <v/>
      </c>
      <c r="J151">
        <v>1</v>
      </c>
      <c r="K15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1" s="33">
        <v>44923.631425115738</v>
      </c>
      <c r="N151" s="3" t="str">
        <f>IF(Tableau4849[[#This Row],[T CLOSE]]&gt;[1]CONFIGURATION!$K$4,Tableau4849[[#This Row],[IDENTITE]],"")</f>
        <v/>
      </c>
      <c r="O151" s="26">
        <f>IFERROR(Tableau4849[[#This Row],[SL]]/(Tableau4849[[#This Row],[VOLUME]]/$I$5),0)</f>
        <v>0</v>
      </c>
      <c r="P151" s="26" t="str">
        <f>Tableau4849[[#This Row],[COMMAND]]</f>
        <v>SELL</v>
      </c>
      <c r="Q15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1.06333 M1M1</v>
      </c>
      <c r="R151" s="29">
        <v>-1446</v>
      </c>
      <c r="S151" s="26" t="str">
        <f>IF(Tableau4849[[#This Row],[ETAT]]="LOSE",IF(IFERROR(ABS(SUBSTITUTE(Tableau4849[[#This Row],[PRICE]],".",",")-'[1]Deal ticket'!$B$16)*1000,"")&lt;=$S$5,"GO","WAIT"),"")</f>
        <v/>
      </c>
      <c r="T15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1" s="34" t="str">
        <f>IF(Tableau4849[[#This Row],[ETAT]]="LOSE",IF(IFERROR(ABS(SUBSTITUTE(Tableau4849[[#This Row],[PRICE]],".",",")-'[1]Deal ticket'!$B$16)*1000,"")&lt;=$U$5,"GO","WAIT"),"")</f>
        <v/>
      </c>
      <c r="V151" s="26">
        <f>IF(Tableau4849[[#This Row],[INDEX]]&lt;3,"",SUMIFS(Tableau4849[SL],Tableau4849[Colonne5],Tableau4849[[#This Row],[Colonne5]])+$S$4)</f>
        <v>1</v>
      </c>
      <c r="W151" s="34" t="str">
        <f>IF(Tableau4849[[#This Row],[ETAT]]="LOSE",IF(IFERROR(ABS(SUBSTITUTE(Tableau4849[[#This Row],[PRICE]],".",",")-'[1]Deal ticket'!$B$16)*1000,"")&lt;=$W$5,"GO","WAIT"),"")</f>
        <v/>
      </c>
      <c r="X15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1" s="26">
        <f>IF(AND(Tableau4849[[#This Row],[3,8]]=1),Tableau4849[[#This Row],[INDEX]],"")</f>
        <v>59</v>
      </c>
      <c r="AC151" s="26" t="str">
        <f ca="1">IF(IFERROR(_xlfn.XLOOKUP(Tableau4849[[#This Row],[IDENTITE]],[1]!Tableau47[GLOBUY],[1]!Tableau47[GLOBUY]),"")="","",1)</f>
        <v/>
      </c>
      <c r="AD151" s="26" t="str">
        <f>IF(IFERROR(_xlfn.XLOOKUP(Tableau4849[[#This Row],[IDENTITE]],[1]!Tableau47[GLOSELL],[1]!Tableau47[GLOSELL]),"")="","",1)</f>
        <v/>
      </c>
      <c r="AE151" s="26"/>
      <c r="AF151" s="26">
        <f>IF(Tableau4849[[#This Row],[INDEX]]&lt;3,"",IF(Tableau4849[[#This Row],[COMMAND]]="","",IF('[1]Bar history'!$AA$33=1,1,"")))</f>
        <v>1</v>
      </c>
      <c r="AG151" s="26"/>
      <c r="AH151" s="26" t="str">
        <f>IF(IFERROR(_xlfn.XLOOKUP(Tableau4849[[#This Row],[IDENTITE]],[1]!Tableau47[COMMENTAIRE],[1]!Tableau47[CLOTURE]),"")=[1]PARAMETRE!$BK$31,Tableau4849[[#This Row],[INDEX]],"")</f>
        <v/>
      </c>
      <c r="AI151" s="26"/>
      <c r="AJ151" s="35" t="str">
        <f>IF(AND(ISNUMBER(SEARCH("BUY",Tableau4849[[#This Row],[COMMAND]]))),"BUYSTOP",IF(AND(ISNUMBER(SEARCH("SELL",Tableau4849[[#This Row],[COMMAND]]))),"SELLSTOP",""))</f>
        <v>SELLSTOP</v>
      </c>
      <c r="AK151" s="35" t="str">
        <f>IFERROR(SUBSTITUTE(Tableau4849[[#This Row],[PRICE]],",","."),"")</f>
        <v>1.06333</v>
      </c>
      <c r="AL151" s="35" t="str">
        <f>IF(Tableau4849[[#This Row],[INDEX]]&lt;3,"",Tableau4849[[#This Row],[IDENTITE]])</f>
        <v>1 RSRS S 1.06333 M1M1</v>
      </c>
      <c r="AM151" s="35" t="str">
        <f>IF(Tableau4849[[#This Row],[INDEX]]&lt;3,"",Tableau4849[[#This Row],[DEVISE]])</f>
        <v>EURUSD</v>
      </c>
      <c r="AN151" s="35">
        <f>IFERROR(IF(Tableau4849[[#This Row],[INDEX]]&lt;3,"",Tableau4849[[#This Row],[ATTEINT]]),100000)</f>
        <v>100000</v>
      </c>
      <c r="AO151" s="35">
        <f>IF(Tableau4849[[#This Row],[INDEX]]&lt;3,"",Tableau4849[[#This Row],[COMPTE]])</f>
        <v>925832</v>
      </c>
      <c r="AP151" s="35" t="str">
        <f>IF(Tableau4849[[#This Row],[INDEX]]&lt;3,"","NON")</f>
        <v>NON</v>
      </c>
      <c r="AQ151" s="35" t="str">
        <f>IF(Tableau4849[[#This Row],[INDEX]]&lt;3,"",IF(Tableau4849[[#This Row],[0,5]]&lt;0,"NEGATIF",""))</f>
        <v>NEGATIF</v>
      </c>
    </row>
    <row r="152" spans="1:43" x14ac:dyDescent="0.25">
      <c r="A152" s="24">
        <v>60</v>
      </c>
      <c r="B152" s="32">
        <v>44923.321134259262</v>
      </c>
      <c r="C152" s="26">
        <v>925832</v>
      </c>
      <c r="D152" s="24" t="s">
        <v>0</v>
      </c>
      <c r="E152" s="24" t="s">
        <v>46</v>
      </c>
      <c r="F152" s="24">
        <v>1.0630299999999999</v>
      </c>
      <c r="G152" s="26">
        <v>48000</v>
      </c>
      <c r="H152" s="27" t="s">
        <v>211</v>
      </c>
      <c r="I152" s="28" t="str">
        <f>IF(IFERROR(_xlfn.XLOOKUP(Tableau4849[[#This Row],[SL]],'[1]Tickets (2)'!J149:J943,'[1]Tickets (2)'!I152:I946),"")=0,"",IFERROR(_xlfn.XLOOKUP(Tableau4849[[#This Row],[SL]],'[1]Tickets (2)'!J149:J943,'[1]Tickets (2)'!I152:I946),""))</f>
        <v/>
      </c>
      <c r="J152">
        <v>1</v>
      </c>
      <c r="K15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2" s="33">
        <v>44923.631425115738</v>
      </c>
      <c r="N152" s="3" t="str">
        <f>IF(Tableau4849[[#This Row],[T CLOSE]]&gt;[1]CONFIGURATION!$K$4,Tableau4849[[#This Row],[IDENTITE]],"")</f>
        <v/>
      </c>
      <c r="O152" s="26">
        <f>IFERROR(Tableau4849[[#This Row],[SL]]/(Tableau4849[[#This Row],[VOLUME]]/$I$5),0)</f>
        <v>0</v>
      </c>
      <c r="P152" s="26" t="str">
        <f>Tableau4849[[#This Row],[COMMAND]]</f>
        <v>SELL</v>
      </c>
      <c r="Q15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1.06393 M1M1</v>
      </c>
      <c r="R152" s="29">
        <v>-1456</v>
      </c>
      <c r="S152" s="26" t="str">
        <f>IF(Tableau4849[[#This Row],[ETAT]]="LOSE",IF(IFERROR(ABS(SUBSTITUTE(Tableau4849[[#This Row],[PRICE]],".",",")-'[1]Deal ticket'!$B$16)*1000,"")&lt;=$S$5,"GO","WAIT"),"")</f>
        <v/>
      </c>
      <c r="T15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2" s="34" t="str">
        <f>IF(Tableau4849[[#This Row],[ETAT]]="LOSE",IF(IFERROR(ABS(SUBSTITUTE(Tableau4849[[#This Row],[PRICE]],".",",")-'[1]Deal ticket'!$B$16)*1000,"")&lt;=$U$5,"GO","WAIT"),"")</f>
        <v/>
      </c>
      <c r="V152" s="26">
        <f>IF(Tableau4849[[#This Row],[INDEX]]&lt;3,"",SUMIFS(Tableau4849[SL],Tableau4849[Colonne5],Tableau4849[[#This Row],[Colonne5]])+$S$4)</f>
        <v>1</v>
      </c>
      <c r="W152" s="34" t="str">
        <f>IF(Tableau4849[[#This Row],[ETAT]]="LOSE",IF(IFERROR(ABS(SUBSTITUTE(Tableau4849[[#This Row],[PRICE]],".",",")-'[1]Deal ticket'!$B$16)*1000,"")&lt;=$W$5,"GO","WAIT"),"")</f>
        <v/>
      </c>
      <c r="X15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2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2" s="26">
        <f>IF(AND(Tableau4849[[#This Row],[3,8]]=1),Tableau4849[[#This Row],[INDEX]],"")</f>
        <v>60</v>
      </c>
      <c r="AC152" s="26" t="str">
        <f ca="1">IF(IFERROR(_xlfn.XLOOKUP(Tableau4849[[#This Row],[IDENTITE]],[1]!Tableau47[GLOBUY],[1]!Tableau47[GLOBUY]),"")="","",1)</f>
        <v/>
      </c>
      <c r="AD152" s="26" t="str">
        <f>IF(IFERROR(_xlfn.XLOOKUP(Tableau4849[[#This Row],[IDENTITE]],[1]!Tableau47[GLOSELL],[1]!Tableau47[GLOSELL]),"")="","",1)</f>
        <v/>
      </c>
      <c r="AE152" s="26"/>
      <c r="AF152" s="26">
        <f>IF(Tableau4849[[#This Row],[INDEX]]&lt;3,"",IF(Tableau4849[[#This Row],[COMMAND]]="","",IF('[1]Bar history'!$AA$33=1,1,"")))</f>
        <v>1</v>
      </c>
      <c r="AG152" s="26"/>
      <c r="AH152" s="26" t="str">
        <f>IF(IFERROR(_xlfn.XLOOKUP(Tableau4849[[#This Row],[IDENTITE]],[1]!Tableau47[COMMENTAIRE],[1]!Tableau47[CLOTURE]),"")=[1]PARAMETRE!$BK$31,Tableau4849[[#This Row],[INDEX]],"")</f>
        <v/>
      </c>
      <c r="AI152" s="26"/>
      <c r="AJ152" s="35" t="str">
        <f>IF(AND(ISNUMBER(SEARCH("BUY",Tableau4849[[#This Row],[COMMAND]]))),"BUYSTOP",IF(AND(ISNUMBER(SEARCH("SELL",Tableau4849[[#This Row],[COMMAND]]))),"SELLSTOP",""))</f>
        <v>SELLSTOP</v>
      </c>
      <c r="AK152" s="35" t="str">
        <f>IFERROR(SUBSTITUTE(Tableau4849[[#This Row],[PRICE]],",","."),"")</f>
        <v>1.06303</v>
      </c>
      <c r="AL152" s="35" t="str">
        <f>IF(Tableau4849[[#This Row],[INDEX]]&lt;3,"",Tableau4849[[#This Row],[IDENTITE]])</f>
        <v>1 RSRS S 1.06393 M1M1</v>
      </c>
      <c r="AM152" s="35" t="str">
        <f>IF(Tableau4849[[#This Row],[INDEX]]&lt;3,"",Tableau4849[[#This Row],[DEVISE]])</f>
        <v>EURUSD</v>
      </c>
      <c r="AN152" s="35">
        <f>IFERROR(IF(Tableau4849[[#This Row],[INDEX]]&lt;3,"",Tableau4849[[#This Row],[ATTEINT]]),100000)</f>
        <v>100000</v>
      </c>
      <c r="AO152" s="35">
        <f>IF(Tableau4849[[#This Row],[INDEX]]&lt;3,"",Tableau4849[[#This Row],[COMPTE]])</f>
        <v>925832</v>
      </c>
      <c r="AP152" s="35" t="str">
        <f>IF(Tableau4849[[#This Row],[INDEX]]&lt;3,"","NON")</f>
        <v>NON</v>
      </c>
      <c r="AQ152" s="35" t="str">
        <f>IF(Tableau4849[[#This Row],[INDEX]]&lt;3,"",IF(Tableau4849[[#This Row],[0,5]]&lt;0,"NEGATIF",""))</f>
        <v>NEGATIF</v>
      </c>
    </row>
    <row r="153" spans="1:43" x14ac:dyDescent="0.25">
      <c r="A153" s="24">
        <v>61</v>
      </c>
      <c r="B153" s="32">
        <v>44923.320243055554</v>
      </c>
      <c r="C153" s="26">
        <v>925832</v>
      </c>
      <c r="D153" s="24" t="s">
        <v>0</v>
      </c>
      <c r="E153" s="24" t="s">
        <v>46</v>
      </c>
      <c r="F153" s="24">
        <v>1.0625599999999999</v>
      </c>
      <c r="G153" s="26">
        <v>23000</v>
      </c>
      <c r="H153" s="27" t="s">
        <v>213</v>
      </c>
      <c r="I153" s="28" t="str">
        <f>IF(IFERROR(_xlfn.XLOOKUP(Tableau4849[[#This Row],[SL]],'[1]Tickets (2)'!J150:J944,'[1]Tickets (2)'!I153:I947),"")=0,"",IFERROR(_xlfn.XLOOKUP(Tableau4849[[#This Row],[SL]],'[1]Tickets (2)'!J150:J944,'[1]Tickets (2)'!I153:I947),""))</f>
        <v/>
      </c>
      <c r="J153">
        <v>1</v>
      </c>
      <c r="K15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3" s="33">
        <v>44923.631425115738</v>
      </c>
      <c r="N153" s="3" t="str">
        <f>IF(Tableau4849[[#This Row],[T CLOSE]]&gt;[1]CONFIGURATION!$K$4,Tableau4849[[#This Row],[IDENTITE]],"")</f>
        <v/>
      </c>
      <c r="O153" s="26">
        <f>IFERROR(Tableau4849[[#This Row],[SL]]/(Tableau4849[[#This Row],[VOLUME]]/$I$5),0)</f>
        <v>0</v>
      </c>
      <c r="P153" s="26" t="str">
        <f>Tableau4849[[#This Row],[COMMAND]]</f>
        <v>SELL</v>
      </c>
      <c r="Q15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1.06257 M1M1</v>
      </c>
      <c r="R153" s="29">
        <v>-346</v>
      </c>
      <c r="S153" s="26" t="str">
        <f>IF(Tableau4849[[#This Row],[ETAT]]="LOSE",IF(IFERROR(ABS(SUBSTITUTE(Tableau4849[[#This Row],[PRICE]],".",",")-'[1]Deal ticket'!$B$16)*1000,"")&lt;=$S$5,"GO","WAIT"),"")</f>
        <v/>
      </c>
      <c r="T15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3" s="34" t="str">
        <f>IF(Tableau4849[[#This Row],[ETAT]]="LOSE",IF(IFERROR(ABS(SUBSTITUTE(Tableau4849[[#This Row],[PRICE]],".",",")-'[1]Deal ticket'!$B$16)*1000,"")&lt;=$U$5,"GO","WAIT"),"")</f>
        <v/>
      </c>
      <c r="V153" s="26">
        <f>IF(Tableau4849[[#This Row],[INDEX]]&lt;3,"",SUMIFS(Tableau4849[SL],Tableau4849[Colonne5],Tableau4849[[#This Row],[Colonne5]])+$S$4)</f>
        <v>1</v>
      </c>
      <c r="W153" s="34" t="str">
        <f>IF(Tableau4849[[#This Row],[ETAT]]="LOSE",IF(IFERROR(ABS(SUBSTITUTE(Tableau4849[[#This Row],[PRICE]],".",",")-'[1]Deal ticket'!$B$16)*1000,"")&lt;=$W$5,"GO","WAIT"),"")</f>
        <v/>
      </c>
      <c r="X15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3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3" s="26">
        <f>IF(AND(Tableau4849[[#This Row],[3,8]]=1),Tableau4849[[#This Row],[INDEX]],"")</f>
        <v>61</v>
      </c>
      <c r="AC153" s="26" t="str">
        <f ca="1">IF(IFERROR(_xlfn.XLOOKUP(Tableau4849[[#This Row],[IDENTITE]],[1]!Tableau47[GLOBUY],[1]!Tableau47[GLOBUY]),"")="","",1)</f>
        <v/>
      </c>
      <c r="AD153" s="26" t="str">
        <f>IF(IFERROR(_xlfn.XLOOKUP(Tableau4849[[#This Row],[IDENTITE]],[1]!Tableau47[GLOSELL],[1]!Tableau47[GLOSELL]),"")="","",1)</f>
        <v/>
      </c>
      <c r="AE153" s="26"/>
      <c r="AF153" s="26">
        <f>IF(Tableau4849[[#This Row],[INDEX]]&lt;3,"",IF(Tableau4849[[#This Row],[COMMAND]]="","",IF('[1]Bar history'!$AA$33=1,1,"")))</f>
        <v>1</v>
      </c>
      <c r="AG153" s="26"/>
      <c r="AH153" s="26" t="str">
        <f>IF(IFERROR(_xlfn.XLOOKUP(Tableau4849[[#This Row],[IDENTITE]],[1]!Tableau47[COMMENTAIRE],[1]!Tableau47[CLOTURE]),"")=[1]PARAMETRE!$BK$31,Tableau4849[[#This Row],[INDEX]],"")</f>
        <v/>
      </c>
      <c r="AI153" s="26"/>
      <c r="AJ153" s="35" t="str">
        <f>IF(AND(ISNUMBER(SEARCH("BUY",Tableau4849[[#This Row],[COMMAND]]))),"BUYSTOP",IF(AND(ISNUMBER(SEARCH("SELL",Tableau4849[[#This Row],[COMMAND]]))),"SELLSTOP",""))</f>
        <v>SELLSTOP</v>
      </c>
      <c r="AK153" s="35" t="str">
        <f>IFERROR(SUBSTITUTE(Tableau4849[[#This Row],[PRICE]],",","."),"")</f>
        <v>1.06256</v>
      </c>
      <c r="AL153" s="35" t="str">
        <f>IF(Tableau4849[[#This Row],[INDEX]]&lt;3,"",Tableau4849[[#This Row],[IDENTITE]])</f>
        <v>1 RSRS S 1.06257 M1M1</v>
      </c>
      <c r="AM153" s="35" t="str">
        <f>IF(Tableau4849[[#This Row],[INDEX]]&lt;3,"",Tableau4849[[#This Row],[DEVISE]])</f>
        <v>EURUSD</v>
      </c>
      <c r="AN153" s="35">
        <f>IFERROR(IF(Tableau4849[[#This Row],[INDEX]]&lt;3,"",Tableau4849[[#This Row],[ATTEINT]]),100000)</f>
        <v>100000</v>
      </c>
      <c r="AO153" s="35">
        <f>IF(Tableau4849[[#This Row],[INDEX]]&lt;3,"",Tableau4849[[#This Row],[COMPTE]])</f>
        <v>925832</v>
      </c>
      <c r="AP153" s="35" t="str">
        <f>IF(Tableau4849[[#This Row],[INDEX]]&lt;3,"","NON")</f>
        <v>NON</v>
      </c>
      <c r="AQ153" s="35" t="str">
        <f>IF(Tableau4849[[#This Row],[INDEX]]&lt;3,"",IF(Tableau4849[[#This Row],[0,5]]&lt;0,"NEGATIF",""))</f>
        <v>NEGATIF</v>
      </c>
    </row>
    <row r="154" spans="1:43" x14ac:dyDescent="0.25">
      <c r="A154" s="24">
        <v>62</v>
      </c>
      <c r="B154" s="32">
        <v>44923.311168981483</v>
      </c>
      <c r="C154" s="26">
        <v>925832</v>
      </c>
      <c r="D154" s="24" t="s">
        <v>0</v>
      </c>
      <c r="E154" s="24" t="s">
        <v>46</v>
      </c>
      <c r="F154" s="24">
        <v>1.06413</v>
      </c>
      <c r="G154" s="26">
        <v>4000</v>
      </c>
      <c r="H154" s="27" t="s">
        <v>215</v>
      </c>
      <c r="I154" s="28" t="str">
        <f>IF(IFERROR(_xlfn.XLOOKUP(Tableau4849[[#This Row],[SL]],'[1]Tickets (2)'!J151:J945,'[1]Tickets (2)'!I154:I948),"")=0,"",IFERROR(_xlfn.XLOOKUP(Tableau4849[[#This Row],[SL]],'[1]Tickets (2)'!J151:J945,'[1]Tickets (2)'!I154:I948),""))</f>
        <v/>
      </c>
      <c r="J154">
        <v>1</v>
      </c>
      <c r="K15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4" s="33">
        <v>44923.631425115738</v>
      </c>
      <c r="N154" s="3" t="str">
        <f>IF(Tableau4849[[#This Row],[T CLOSE]]&gt;[1]CONFIGURATION!$K$4,Tableau4849[[#This Row],[IDENTITE]],"")</f>
        <v/>
      </c>
      <c r="O154" s="26">
        <f>IFERROR(Tableau4849[[#This Row],[SL]]/(Tableau4849[[#This Row],[VOLUME]]/$I$5),0)</f>
        <v>0</v>
      </c>
      <c r="P154" s="26" t="str">
        <f>Tableau4849[[#This Row],[COMMAND]]</f>
        <v>SELL</v>
      </c>
      <c r="Q15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1.06416 M1M1</v>
      </c>
      <c r="R154" s="29">
        <v>-356</v>
      </c>
      <c r="S154" s="26" t="str">
        <f>IF(Tableau4849[[#This Row],[ETAT]]="LOSE",IF(IFERROR(ABS(SUBSTITUTE(Tableau4849[[#This Row],[PRICE]],".",",")-'[1]Deal ticket'!$B$16)*1000,"")&lt;=$S$5,"GO","WAIT"),"")</f>
        <v/>
      </c>
      <c r="T15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4" s="34" t="str">
        <f>IF(Tableau4849[[#This Row],[ETAT]]="LOSE",IF(IFERROR(ABS(SUBSTITUTE(Tableau4849[[#This Row],[PRICE]],".",",")-'[1]Deal ticket'!$B$16)*1000,"")&lt;=$U$5,"GO","WAIT"),"")</f>
        <v/>
      </c>
      <c r="V154" s="26">
        <f>IF(Tableau4849[[#This Row],[INDEX]]&lt;3,"",SUMIFS(Tableau4849[SL],Tableau4849[Colonne5],Tableau4849[[#This Row],[Colonne5]])+$S$4)</f>
        <v>1</v>
      </c>
      <c r="W154" s="34" t="str">
        <f>IF(Tableau4849[[#This Row],[ETAT]]="LOSE",IF(IFERROR(ABS(SUBSTITUTE(Tableau4849[[#This Row],[PRICE]],".",",")-'[1]Deal ticket'!$B$16)*1000,"")&lt;=$W$5,"GO","WAIT"),"")</f>
        <v/>
      </c>
      <c r="X15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4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4" s="26">
        <f>IF(AND(Tableau4849[[#This Row],[3,8]]=1),Tableau4849[[#This Row],[INDEX]],"")</f>
        <v>62</v>
      </c>
      <c r="AC154" s="26" t="str">
        <f ca="1">IF(IFERROR(_xlfn.XLOOKUP(Tableau4849[[#This Row],[IDENTITE]],[1]!Tableau47[GLOBUY],[1]!Tableau47[GLOBUY]),"")="","",1)</f>
        <v/>
      </c>
      <c r="AD154" s="26" t="str">
        <f>IF(IFERROR(_xlfn.XLOOKUP(Tableau4849[[#This Row],[IDENTITE]],[1]!Tableau47[GLOSELL],[1]!Tableau47[GLOSELL]),"")="","",1)</f>
        <v/>
      </c>
      <c r="AE154" s="26"/>
      <c r="AF154" s="26">
        <f>IF(Tableau4849[[#This Row],[INDEX]]&lt;3,"",IF(Tableau4849[[#This Row],[COMMAND]]="","",IF('[1]Bar history'!$AA$33=1,1,"")))</f>
        <v>1</v>
      </c>
      <c r="AG154" s="26"/>
      <c r="AH154" s="26" t="str">
        <f>IF(IFERROR(_xlfn.XLOOKUP(Tableau4849[[#This Row],[IDENTITE]],[1]!Tableau47[COMMENTAIRE],[1]!Tableau47[CLOTURE]),"")=[1]PARAMETRE!$BK$31,Tableau4849[[#This Row],[INDEX]],"")</f>
        <v/>
      </c>
      <c r="AI154" s="26"/>
      <c r="AJ154" s="35" t="str">
        <f>IF(AND(ISNUMBER(SEARCH("BUY",Tableau4849[[#This Row],[COMMAND]]))),"BUYSTOP",IF(AND(ISNUMBER(SEARCH("SELL",Tableau4849[[#This Row],[COMMAND]]))),"SELLSTOP",""))</f>
        <v>SELLSTOP</v>
      </c>
      <c r="AK154" s="35" t="str">
        <f>IFERROR(SUBSTITUTE(Tableau4849[[#This Row],[PRICE]],",","."),"")</f>
        <v>1.06413</v>
      </c>
      <c r="AL154" s="35" t="str">
        <f>IF(Tableau4849[[#This Row],[INDEX]]&lt;3,"",Tableau4849[[#This Row],[IDENTITE]])</f>
        <v>1 RSRS S 1.06416 M1M1</v>
      </c>
      <c r="AM154" s="35" t="str">
        <f>IF(Tableau4849[[#This Row],[INDEX]]&lt;3,"",Tableau4849[[#This Row],[DEVISE]])</f>
        <v>EURUSD</v>
      </c>
      <c r="AN154" s="35">
        <f>IFERROR(IF(Tableau4849[[#This Row],[INDEX]]&lt;3,"",Tableau4849[[#This Row],[ATTEINT]]),100000)</f>
        <v>100000</v>
      </c>
      <c r="AO154" s="35">
        <f>IF(Tableau4849[[#This Row],[INDEX]]&lt;3,"",Tableau4849[[#This Row],[COMPTE]])</f>
        <v>925832</v>
      </c>
      <c r="AP154" s="35" t="str">
        <f>IF(Tableau4849[[#This Row],[INDEX]]&lt;3,"","NON")</f>
        <v>NON</v>
      </c>
      <c r="AQ154" s="35" t="str">
        <f>IF(Tableau4849[[#This Row],[INDEX]]&lt;3,"",IF(Tableau4849[[#This Row],[0,5]]&lt;0,"NEGATIF",""))</f>
        <v>NEGATIF</v>
      </c>
    </row>
    <row r="155" spans="1:43" x14ac:dyDescent="0.25">
      <c r="A155" s="24">
        <v>63</v>
      </c>
      <c r="B155" s="32">
        <v>44923.310358796298</v>
      </c>
      <c r="C155" s="26">
        <v>925832</v>
      </c>
      <c r="D155" s="24" t="s">
        <v>0</v>
      </c>
      <c r="E155" s="24" t="s">
        <v>46</v>
      </c>
      <c r="F155" s="24">
        <v>1.0642100000000001</v>
      </c>
      <c r="G155" s="26">
        <v>4000</v>
      </c>
      <c r="H155" s="27" t="s">
        <v>217</v>
      </c>
      <c r="I155" s="28" t="str">
        <f>IF(IFERROR(_xlfn.XLOOKUP(Tableau4849[[#This Row],[SL]],'[1]Tickets (2)'!J152:J946,'[1]Tickets (2)'!I155:I949),"")=0,"",IFERROR(_xlfn.XLOOKUP(Tableau4849[[#This Row],[SL]],'[1]Tickets (2)'!J152:J946,'[1]Tickets (2)'!I155:I949),""))</f>
        <v/>
      </c>
      <c r="J155">
        <v>1</v>
      </c>
      <c r="K15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5" s="33">
        <v>44923.631425115738</v>
      </c>
      <c r="N155" s="3" t="str">
        <f>IF(Tableau4849[[#This Row],[T CLOSE]]&gt;[1]CONFIGURATION!$K$4,Tableau4849[[#This Row],[IDENTITE]],"")</f>
        <v/>
      </c>
      <c r="O155" s="26">
        <f>IFERROR(Tableau4849[[#This Row],[SL]]/(Tableau4849[[#This Row],[VOLUME]]/$I$5),0)</f>
        <v>0</v>
      </c>
      <c r="P155" s="26" t="str">
        <f>Tableau4849[[#This Row],[COMMAND]]</f>
        <v>SELL</v>
      </c>
      <c r="Q15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1.06421 M1M1</v>
      </c>
      <c r="R155" s="29">
        <v>-366</v>
      </c>
      <c r="S155" s="26" t="str">
        <f>IF(Tableau4849[[#This Row],[ETAT]]="LOSE",IF(IFERROR(ABS(SUBSTITUTE(Tableau4849[[#This Row],[PRICE]],".",",")-'[1]Deal ticket'!$B$16)*1000,"")&lt;=$S$5,"GO","WAIT"),"")</f>
        <v/>
      </c>
      <c r="T15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5" s="34" t="str">
        <f>IF(Tableau4849[[#This Row],[ETAT]]="LOSE",IF(IFERROR(ABS(SUBSTITUTE(Tableau4849[[#This Row],[PRICE]],".",",")-'[1]Deal ticket'!$B$16)*1000,"")&lt;=$U$5,"GO","WAIT"),"")</f>
        <v/>
      </c>
      <c r="V155" s="26">
        <f>IF(Tableau4849[[#This Row],[INDEX]]&lt;3,"",SUMIFS(Tableau4849[SL],Tableau4849[Colonne5],Tableau4849[[#This Row],[Colonne5]])+$S$4)</f>
        <v>1</v>
      </c>
      <c r="W155" s="34" t="str">
        <f>IF(Tableau4849[[#This Row],[ETAT]]="LOSE",IF(IFERROR(ABS(SUBSTITUTE(Tableau4849[[#This Row],[PRICE]],".",",")-'[1]Deal ticket'!$B$16)*1000,"")&lt;=$W$5,"GO","WAIT"),"")</f>
        <v/>
      </c>
      <c r="X15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5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5" s="26">
        <f>IF(AND(Tableau4849[[#This Row],[3,8]]=1),Tableau4849[[#This Row],[INDEX]],"")</f>
        <v>63</v>
      </c>
      <c r="AC155" s="26" t="str">
        <f ca="1">IF(IFERROR(_xlfn.XLOOKUP(Tableau4849[[#This Row],[IDENTITE]],[1]!Tableau47[GLOBUY],[1]!Tableau47[GLOBUY]),"")="","",1)</f>
        <v/>
      </c>
      <c r="AD155" s="26" t="str">
        <f>IF(IFERROR(_xlfn.XLOOKUP(Tableau4849[[#This Row],[IDENTITE]],[1]!Tableau47[GLOSELL],[1]!Tableau47[GLOSELL]),"")="","",1)</f>
        <v/>
      </c>
      <c r="AE155" s="26"/>
      <c r="AF155" s="26">
        <f>IF(Tableau4849[[#This Row],[INDEX]]&lt;3,"",IF(Tableau4849[[#This Row],[COMMAND]]="","",IF('[1]Bar history'!$AA$33=1,1,"")))</f>
        <v>1</v>
      </c>
      <c r="AG155" s="26"/>
      <c r="AH155" s="26" t="str">
        <f>IF(IFERROR(_xlfn.XLOOKUP(Tableau4849[[#This Row],[IDENTITE]],[1]!Tableau47[COMMENTAIRE],[1]!Tableau47[CLOTURE]),"")=[1]PARAMETRE!$BK$31,Tableau4849[[#This Row],[INDEX]],"")</f>
        <v/>
      </c>
      <c r="AI155" s="26"/>
      <c r="AJ155" s="35" t="str">
        <f>IF(AND(ISNUMBER(SEARCH("BUY",Tableau4849[[#This Row],[COMMAND]]))),"BUYSTOP",IF(AND(ISNUMBER(SEARCH("SELL",Tableau4849[[#This Row],[COMMAND]]))),"SELLSTOP",""))</f>
        <v>SELLSTOP</v>
      </c>
      <c r="AK155" s="35" t="str">
        <f>IFERROR(SUBSTITUTE(Tableau4849[[#This Row],[PRICE]],",","."),"")</f>
        <v>1.06421</v>
      </c>
      <c r="AL155" s="35" t="str">
        <f>IF(Tableau4849[[#This Row],[INDEX]]&lt;3,"",Tableau4849[[#This Row],[IDENTITE]])</f>
        <v>1 RSRS S 1.06421 M1M1</v>
      </c>
      <c r="AM155" s="35" t="str">
        <f>IF(Tableau4849[[#This Row],[INDEX]]&lt;3,"",Tableau4849[[#This Row],[DEVISE]])</f>
        <v>EURUSD</v>
      </c>
      <c r="AN155" s="35">
        <f>IFERROR(IF(Tableau4849[[#This Row],[INDEX]]&lt;3,"",Tableau4849[[#This Row],[ATTEINT]]),100000)</f>
        <v>100000</v>
      </c>
      <c r="AO155" s="35">
        <f>IF(Tableau4849[[#This Row],[INDEX]]&lt;3,"",Tableau4849[[#This Row],[COMPTE]])</f>
        <v>925832</v>
      </c>
      <c r="AP155" s="35" t="str">
        <f>IF(Tableau4849[[#This Row],[INDEX]]&lt;3,"","NON")</f>
        <v>NON</v>
      </c>
      <c r="AQ155" s="35" t="str">
        <f>IF(Tableau4849[[#This Row],[INDEX]]&lt;3,"",IF(Tableau4849[[#This Row],[0,5]]&lt;0,"NEGATIF",""))</f>
        <v>NEGATIF</v>
      </c>
    </row>
    <row r="156" spans="1:43" x14ac:dyDescent="0.25">
      <c r="A156" s="24">
        <v>64</v>
      </c>
      <c r="B156" s="32">
        <v>44923.309629629628</v>
      </c>
      <c r="C156" s="26">
        <v>925832</v>
      </c>
      <c r="D156" s="24" t="s">
        <v>0</v>
      </c>
      <c r="E156" s="24" t="s">
        <v>46</v>
      </c>
      <c r="F156" s="24">
        <v>1.0640700000000001</v>
      </c>
      <c r="G156" s="26">
        <v>3000</v>
      </c>
      <c r="H156" s="27" t="s">
        <v>219</v>
      </c>
      <c r="I156" s="28" t="str">
        <f>IF(IFERROR(_xlfn.XLOOKUP(Tableau4849[[#This Row],[SL]],'[1]Tickets (2)'!J153:J947,'[1]Tickets (2)'!I156:I950),"")=0,"",IFERROR(_xlfn.XLOOKUP(Tableau4849[[#This Row],[SL]],'[1]Tickets (2)'!J153:J947,'[1]Tickets (2)'!I156:I950),""))</f>
        <v/>
      </c>
      <c r="J156">
        <v>1</v>
      </c>
      <c r="K15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6" s="33">
        <v>44923.631425115738</v>
      </c>
      <c r="N156" s="3" t="str">
        <f>IF(Tableau4849[[#This Row],[T CLOSE]]&gt;[1]CONFIGURATION!$K$4,Tableau4849[[#This Row],[IDENTITE]],"")</f>
        <v/>
      </c>
      <c r="O156" s="26">
        <f>IFERROR(Tableau4849[[#This Row],[SL]]/(Tableau4849[[#This Row],[VOLUME]]/$I$5),0)</f>
        <v>0</v>
      </c>
      <c r="P156" s="26" t="str">
        <f>Tableau4849[[#This Row],[COMMAND]]</f>
        <v>SELL</v>
      </c>
      <c r="Q15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1.06413 M1M1</v>
      </c>
      <c r="R156" s="29">
        <v>-376</v>
      </c>
      <c r="S156" s="26" t="str">
        <f>IF(Tableau4849[[#This Row],[ETAT]]="LOSE",IF(IFERROR(ABS(SUBSTITUTE(Tableau4849[[#This Row],[PRICE]],".",",")-'[1]Deal ticket'!$B$16)*1000,"")&lt;=$S$5,"GO","WAIT"),"")</f>
        <v/>
      </c>
      <c r="T15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6" s="34" t="str">
        <f>IF(Tableau4849[[#This Row],[ETAT]]="LOSE",IF(IFERROR(ABS(SUBSTITUTE(Tableau4849[[#This Row],[PRICE]],".",",")-'[1]Deal ticket'!$B$16)*1000,"")&lt;=$U$5,"GO","WAIT"),"")</f>
        <v/>
      </c>
      <c r="V156" s="26">
        <f>IF(Tableau4849[[#This Row],[INDEX]]&lt;3,"",SUMIFS(Tableau4849[SL],Tableau4849[Colonne5],Tableau4849[[#This Row],[Colonne5]])+$S$4)</f>
        <v>1</v>
      </c>
      <c r="W156" s="34" t="str">
        <f>IF(Tableau4849[[#This Row],[ETAT]]="LOSE",IF(IFERROR(ABS(SUBSTITUTE(Tableau4849[[#This Row],[PRICE]],".",",")-'[1]Deal ticket'!$B$16)*1000,"")&lt;=$W$5,"GO","WAIT"),"")</f>
        <v/>
      </c>
      <c r="X15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6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6" s="26">
        <f>IF(AND(Tableau4849[[#This Row],[3,8]]=1),Tableau4849[[#This Row],[INDEX]],"")</f>
        <v>64</v>
      </c>
      <c r="AC156" s="26" t="str">
        <f ca="1">IF(IFERROR(_xlfn.XLOOKUP(Tableau4849[[#This Row],[IDENTITE]],[1]!Tableau47[GLOBUY],[1]!Tableau47[GLOBUY]),"")="","",1)</f>
        <v/>
      </c>
      <c r="AD156" s="26" t="str">
        <f>IF(IFERROR(_xlfn.XLOOKUP(Tableau4849[[#This Row],[IDENTITE]],[1]!Tableau47[GLOSELL],[1]!Tableau47[GLOSELL]),"")="","",1)</f>
        <v/>
      </c>
      <c r="AE156" s="26"/>
      <c r="AF156" s="26">
        <f>IF(Tableau4849[[#This Row],[INDEX]]&lt;3,"",IF(Tableau4849[[#This Row],[COMMAND]]="","",IF('[1]Bar history'!$AA$33=1,1,"")))</f>
        <v>1</v>
      </c>
      <c r="AG156" s="26"/>
      <c r="AH156" s="26" t="str">
        <f>IF(IFERROR(_xlfn.XLOOKUP(Tableau4849[[#This Row],[IDENTITE]],[1]!Tableau47[COMMENTAIRE],[1]!Tableau47[CLOTURE]),"")=[1]PARAMETRE!$BK$31,Tableau4849[[#This Row],[INDEX]],"")</f>
        <v/>
      </c>
      <c r="AI156" s="26"/>
      <c r="AJ156" s="35" t="str">
        <f>IF(AND(ISNUMBER(SEARCH("BUY",Tableau4849[[#This Row],[COMMAND]]))),"BUYSTOP",IF(AND(ISNUMBER(SEARCH("SELL",Tableau4849[[#This Row],[COMMAND]]))),"SELLSTOP",""))</f>
        <v>SELLSTOP</v>
      </c>
      <c r="AK156" s="35" t="str">
        <f>IFERROR(SUBSTITUTE(Tableau4849[[#This Row],[PRICE]],",","."),"")</f>
        <v>1.06407</v>
      </c>
      <c r="AL156" s="35" t="str">
        <f>IF(Tableau4849[[#This Row],[INDEX]]&lt;3,"",Tableau4849[[#This Row],[IDENTITE]])</f>
        <v>1 RSRS S 1.06413 M1M1</v>
      </c>
      <c r="AM156" s="35" t="str">
        <f>IF(Tableau4849[[#This Row],[INDEX]]&lt;3,"",Tableau4849[[#This Row],[DEVISE]])</f>
        <v>EURUSD</v>
      </c>
      <c r="AN156" s="35">
        <f>IFERROR(IF(Tableau4849[[#This Row],[INDEX]]&lt;3,"",Tableau4849[[#This Row],[ATTEINT]]),100000)</f>
        <v>100000</v>
      </c>
      <c r="AO156" s="35">
        <f>IF(Tableau4849[[#This Row],[INDEX]]&lt;3,"",Tableau4849[[#This Row],[COMPTE]])</f>
        <v>925832</v>
      </c>
      <c r="AP156" s="35" t="str">
        <f>IF(Tableau4849[[#This Row],[INDEX]]&lt;3,"","NON")</f>
        <v>NON</v>
      </c>
      <c r="AQ156" s="35" t="str">
        <f>IF(Tableau4849[[#This Row],[INDEX]]&lt;3,"",IF(Tableau4849[[#This Row],[0,5]]&lt;0,"NEGATIF",""))</f>
        <v>NEGATIF</v>
      </c>
    </row>
    <row r="157" spans="1:43" x14ac:dyDescent="0.25">
      <c r="A157" s="24">
        <v>65</v>
      </c>
      <c r="B157" s="32">
        <v>44923.30878472222</v>
      </c>
      <c r="C157" s="26">
        <v>925832</v>
      </c>
      <c r="D157" s="24" t="s">
        <v>0</v>
      </c>
      <c r="E157" s="24" t="s">
        <v>46</v>
      </c>
      <c r="F157" s="24">
        <v>1.0640400000000001</v>
      </c>
      <c r="G157" s="26">
        <v>4000</v>
      </c>
      <c r="H157" s="27" t="s">
        <v>221</v>
      </c>
      <c r="I157" s="28" t="str">
        <f>IF(IFERROR(_xlfn.XLOOKUP(Tableau4849[[#This Row],[SL]],'[1]Tickets (2)'!J154:J948,'[1]Tickets (2)'!I157:I951),"")=0,"",IFERROR(_xlfn.XLOOKUP(Tableau4849[[#This Row],[SL]],'[1]Tickets (2)'!J154:J948,'[1]Tickets (2)'!I157:I951),""))</f>
        <v/>
      </c>
      <c r="J157">
        <v>1</v>
      </c>
      <c r="K15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7" s="33">
        <v>44923.631425115738</v>
      </c>
      <c r="N157" s="3" t="str">
        <f>IF(Tableau4849[[#This Row],[T CLOSE]]&gt;[1]CONFIGURATION!$K$4,Tableau4849[[#This Row],[IDENTITE]],"")</f>
        <v/>
      </c>
      <c r="O157" s="26">
        <f>IFERROR(Tableau4849[[#This Row],[SL]]/(Tableau4849[[#This Row],[VOLUME]]/$I$5),0)</f>
        <v>0</v>
      </c>
      <c r="P157" s="26" t="str">
        <f>Tableau4849[[#This Row],[COMMAND]]</f>
        <v>SELL</v>
      </c>
      <c r="Q15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1.06402 M1M1</v>
      </c>
      <c r="R157" s="29">
        <v>-386</v>
      </c>
      <c r="S157" s="26" t="str">
        <f>IF(Tableau4849[[#This Row],[ETAT]]="LOSE",IF(IFERROR(ABS(SUBSTITUTE(Tableau4849[[#This Row],[PRICE]],".",",")-'[1]Deal ticket'!$B$16)*1000,"")&lt;=$S$5,"GO","WAIT"),"")</f>
        <v/>
      </c>
      <c r="T15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7" s="34" t="str">
        <f>IF(Tableau4849[[#This Row],[ETAT]]="LOSE",IF(IFERROR(ABS(SUBSTITUTE(Tableau4849[[#This Row],[PRICE]],".",",")-'[1]Deal ticket'!$B$16)*1000,"")&lt;=$U$5,"GO","WAIT"),"")</f>
        <v/>
      </c>
      <c r="V157" s="26">
        <f>IF(Tableau4849[[#This Row],[INDEX]]&lt;3,"",SUMIFS(Tableau4849[SL],Tableau4849[Colonne5],Tableau4849[[#This Row],[Colonne5]])+$S$4)</f>
        <v>1</v>
      </c>
      <c r="W157" s="34" t="str">
        <f>IF(Tableau4849[[#This Row],[ETAT]]="LOSE",IF(IFERROR(ABS(SUBSTITUTE(Tableau4849[[#This Row],[PRICE]],".",",")-'[1]Deal ticket'!$B$16)*1000,"")&lt;=$W$5,"GO","WAIT"),"")</f>
        <v/>
      </c>
      <c r="X15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7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7" s="26">
        <f>IF(AND(Tableau4849[[#This Row],[3,8]]=1),Tableau4849[[#This Row],[INDEX]],"")</f>
        <v>65</v>
      </c>
      <c r="AC157" s="26" t="str">
        <f ca="1">IF(IFERROR(_xlfn.XLOOKUP(Tableau4849[[#This Row],[IDENTITE]],[1]!Tableau47[GLOBUY],[1]!Tableau47[GLOBUY]),"")="","",1)</f>
        <v/>
      </c>
      <c r="AD157" s="26" t="str">
        <f>IF(IFERROR(_xlfn.XLOOKUP(Tableau4849[[#This Row],[IDENTITE]],[1]!Tableau47[GLOSELL],[1]!Tableau47[GLOSELL]),"")="","",1)</f>
        <v/>
      </c>
      <c r="AE157" s="26"/>
      <c r="AF157" s="26">
        <f>IF(Tableau4849[[#This Row],[INDEX]]&lt;3,"",IF(Tableau4849[[#This Row],[COMMAND]]="","",IF('[1]Bar history'!$AA$33=1,1,"")))</f>
        <v>1</v>
      </c>
      <c r="AG157" s="26"/>
      <c r="AH157" s="26" t="str">
        <f>IF(IFERROR(_xlfn.XLOOKUP(Tableau4849[[#This Row],[IDENTITE]],[1]!Tableau47[COMMENTAIRE],[1]!Tableau47[CLOTURE]),"")=[1]PARAMETRE!$BK$31,Tableau4849[[#This Row],[INDEX]],"")</f>
        <v/>
      </c>
      <c r="AI157" s="26"/>
      <c r="AJ157" s="35" t="str">
        <f>IF(AND(ISNUMBER(SEARCH("BUY",Tableau4849[[#This Row],[COMMAND]]))),"BUYSTOP",IF(AND(ISNUMBER(SEARCH("SELL",Tableau4849[[#This Row],[COMMAND]]))),"SELLSTOP",""))</f>
        <v>SELLSTOP</v>
      </c>
      <c r="AK157" s="35" t="str">
        <f>IFERROR(SUBSTITUTE(Tableau4849[[#This Row],[PRICE]],",","."),"")</f>
        <v>1.06404</v>
      </c>
      <c r="AL157" s="35" t="str">
        <f>IF(Tableau4849[[#This Row],[INDEX]]&lt;3,"",Tableau4849[[#This Row],[IDENTITE]])</f>
        <v>1 RSRS S 1.06402 M1M1</v>
      </c>
      <c r="AM157" s="35" t="str">
        <f>IF(Tableau4849[[#This Row],[INDEX]]&lt;3,"",Tableau4849[[#This Row],[DEVISE]])</f>
        <v>EURUSD</v>
      </c>
      <c r="AN157" s="35">
        <f>IFERROR(IF(Tableau4849[[#This Row],[INDEX]]&lt;3,"",Tableau4849[[#This Row],[ATTEINT]]),100000)</f>
        <v>100000</v>
      </c>
      <c r="AO157" s="35">
        <f>IF(Tableau4849[[#This Row],[INDEX]]&lt;3,"",Tableau4849[[#This Row],[COMPTE]])</f>
        <v>925832</v>
      </c>
      <c r="AP157" s="35" t="str">
        <f>IF(Tableau4849[[#This Row],[INDEX]]&lt;3,"","NON")</f>
        <v>NON</v>
      </c>
      <c r="AQ157" s="35" t="str">
        <f>IF(Tableau4849[[#This Row],[INDEX]]&lt;3,"",IF(Tableau4849[[#This Row],[0,5]]&lt;0,"NEGATIF",""))</f>
        <v>NEGATIF</v>
      </c>
    </row>
    <row r="158" spans="1:43" x14ac:dyDescent="0.25">
      <c r="A158" s="24">
        <v>66</v>
      </c>
      <c r="B158" s="32">
        <v>44923.308495370373</v>
      </c>
      <c r="C158" s="26">
        <v>925832</v>
      </c>
      <c r="D158" s="24" t="s">
        <v>0</v>
      </c>
      <c r="E158" s="24" t="s">
        <v>46</v>
      </c>
      <c r="F158" s="24">
        <v>1.0640700000000001</v>
      </c>
      <c r="G158" s="26">
        <v>4000</v>
      </c>
      <c r="H158" s="27" t="s">
        <v>222</v>
      </c>
      <c r="I158" s="28" t="str">
        <f>IF(IFERROR(_xlfn.XLOOKUP(Tableau4849[[#This Row],[SL]],'[1]Tickets (2)'!J155:J949,'[1]Tickets (2)'!I158:I952),"")=0,"",IFERROR(_xlfn.XLOOKUP(Tableau4849[[#This Row],[SL]],'[1]Tickets (2)'!J155:J949,'[1]Tickets (2)'!I158:I952),""))</f>
        <v/>
      </c>
      <c r="J158">
        <v>1</v>
      </c>
      <c r="K15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8" s="33">
        <v>44923.631425115738</v>
      </c>
      <c r="N158" s="3" t="str">
        <f>IF(Tableau4849[[#This Row],[T CLOSE]]&gt;[1]CONFIGURATION!$K$4,Tableau4849[[#This Row],[IDENTITE]],"")</f>
        <v/>
      </c>
      <c r="O158" s="26">
        <f>IFERROR(Tableau4849[[#This Row],[SL]]/(Tableau4849[[#This Row],[VOLUME]]/$I$5),0)</f>
        <v>0</v>
      </c>
      <c r="P158" s="26" t="str">
        <f>Tableau4849[[#This Row],[COMMAND]]</f>
        <v>SELL</v>
      </c>
      <c r="Q15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1.06404 M1M1</v>
      </c>
      <c r="R158" s="29">
        <v>-396</v>
      </c>
      <c r="S158" s="26" t="str">
        <f>IF(Tableau4849[[#This Row],[ETAT]]="LOSE",IF(IFERROR(ABS(SUBSTITUTE(Tableau4849[[#This Row],[PRICE]],".",",")-'[1]Deal ticket'!$B$16)*1000,"")&lt;=$S$5,"GO","WAIT"),"")</f>
        <v/>
      </c>
      <c r="T15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8" s="34" t="str">
        <f>IF(Tableau4849[[#This Row],[ETAT]]="LOSE",IF(IFERROR(ABS(SUBSTITUTE(Tableau4849[[#This Row],[PRICE]],".",",")-'[1]Deal ticket'!$B$16)*1000,"")&lt;=$U$5,"GO","WAIT"),"")</f>
        <v/>
      </c>
      <c r="V158" s="26">
        <f>IF(Tableau4849[[#This Row],[INDEX]]&lt;3,"",SUMIFS(Tableau4849[SL],Tableau4849[Colonne5],Tableau4849[[#This Row],[Colonne5]])+$S$4)</f>
        <v>1</v>
      </c>
      <c r="W158" s="34" t="str">
        <f>IF(Tableau4849[[#This Row],[ETAT]]="LOSE",IF(IFERROR(ABS(SUBSTITUTE(Tableau4849[[#This Row],[PRICE]],".",",")-'[1]Deal ticket'!$B$16)*1000,"")&lt;=$W$5,"GO","WAIT"),"")</f>
        <v/>
      </c>
      <c r="X15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8" s="26">
        <f>IF(AND(Tableau4849[[#This Row],[3,8]]=1),Tableau4849[[#This Row],[INDEX]],"")</f>
        <v>66</v>
      </c>
      <c r="AC158" s="26" t="str">
        <f ca="1">IF(IFERROR(_xlfn.XLOOKUP(Tableau4849[[#This Row],[IDENTITE]],[1]!Tableau47[GLOBUY],[1]!Tableau47[GLOBUY]),"")="","",1)</f>
        <v/>
      </c>
      <c r="AD158" s="26" t="str">
        <f>IF(IFERROR(_xlfn.XLOOKUP(Tableau4849[[#This Row],[IDENTITE]],[1]!Tableau47[GLOSELL],[1]!Tableau47[GLOSELL]),"")="","",1)</f>
        <v/>
      </c>
      <c r="AE158" s="26"/>
      <c r="AF158" s="26">
        <f>IF(Tableau4849[[#This Row],[INDEX]]&lt;3,"",IF(Tableau4849[[#This Row],[COMMAND]]="","",IF('[1]Bar history'!$AA$33=1,1,"")))</f>
        <v>1</v>
      </c>
      <c r="AG158" s="26"/>
      <c r="AH158" s="26" t="str">
        <f>IF(IFERROR(_xlfn.XLOOKUP(Tableau4849[[#This Row],[IDENTITE]],[1]!Tableau47[COMMENTAIRE],[1]!Tableau47[CLOTURE]),"")=[1]PARAMETRE!$BK$31,Tableau4849[[#This Row],[INDEX]],"")</f>
        <v/>
      </c>
      <c r="AI158" s="26"/>
      <c r="AJ158" s="35" t="str">
        <f>IF(AND(ISNUMBER(SEARCH("BUY",Tableau4849[[#This Row],[COMMAND]]))),"BUYSTOP",IF(AND(ISNUMBER(SEARCH("SELL",Tableau4849[[#This Row],[COMMAND]]))),"SELLSTOP",""))</f>
        <v>SELLSTOP</v>
      </c>
      <c r="AK158" s="35" t="str">
        <f>IFERROR(SUBSTITUTE(Tableau4849[[#This Row],[PRICE]],",","."),"")</f>
        <v>1.06407</v>
      </c>
      <c r="AL158" s="35" t="str">
        <f>IF(Tableau4849[[#This Row],[INDEX]]&lt;3,"",Tableau4849[[#This Row],[IDENTITE]])</f>
        <v>1 RSRS S 1.06404 M1M1</v>
      </c>
      <c r="AM158" s="35" t="str">
        <f>IF(Tableau4849[[#This Row],[INDEX]]&lt;3,"",Tableau4849[[#This Row],[DEVISE]])</f>
        <v>EURUSD</v>
      </c>
      <c r="AN158" s="35">
        <f>IFERROR(IF(Tableau4849[[#This Row],[INDEX]]&lt;3,"",Tableau4849[[#This Row],[ATTEINT]]),100000)</f>
        <v>100000</v>
      </c>
      <c r="AO158" s="35">
        <f>IF(Tableau4849[[#This Row],[INDEX]]&lt;3,"",Tableau4849[[#This Row],[COMPTE]])</f>
        <v>925832</v>
      </c>
      <c r="AP158" s="35" t="str">
        <f>IF(Tableau4849[[#This Row],[INDEX]]&lt;3,"","NON")</f>
        <v>NON</v>
      </c>
      <c r="AQ158" s="35" t="str">
        <f>IF(Tableau4849[[#This Row],[INDEX]]&lt;3,"",IF(Tableau4849[[#This Row],[0,5]]&lt;0,"NEGATIF",""))</f>
        <v>NEGATIF</v>
      </c>
    </row>
    <row r="159" spans="1:43" x14ac:dyDescent="0.25">
      <c r="A159" s="24">
        <v>67</v>
      </c>
      <c r="B159" s="32">
        <v>44923.308229166665</v>
      </c>
      <c r="C159" s="26">
        <v>925832</v>
      </c>
      <c r="D159" s="24" t="s">
        <v>0</v>
      </c>
      <c r="E159" s="24" t="s">
        <v>46</v>
      </c>
      <c r="F159" s="24">
        <v>1.06406</v>
      </c>
      <c r="G159" s="26">
        <v>4000</v>
      </c>
      <c r="H159" s="27" t="s">
        <v>224</v>
      </c>
      <c r="I159" s="28" t="str">
        <f>IF(IFERROR(_xlfn.XLOOKUP(Tableau4849[[#This Row],[SL]],'[1]Tickets (2)'!J156:J950,'[1]Tickets (2)'!I159:I953),"")=0,"",IFERROR(_xlfn.XLOOKUP(Tableau4849[[#This Row],[SL]],'[1]Tickets (2)'!J156:J950,'[1]Tickets (2)'!I159:I953),""))</f>
        <v/>
      </c>
      <c r="J159">
        <v>1</v>
      </c>
      <c r="K15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59" s="33">
        <v>44923.631425115738</v>
      </c>
      <c r="N159" s="3" t="str">
        <f>IF(Tableau4849[[#This Row],[T CLOSE]]&gt;[1]CONFIGURATION!$K$4,Tableau4849[[#This Row],[IDENTITE]],"")</f>
        <v/>
      </c>
      <c r="O159" s="26">
        <f>IFERROR(Tableau4849[[#This Row],[SL]]/(Tableau4849[[#This Row],[VOLUME]]/$I$5),0)</f>
        <v>0</v>
      </c>
      <c r="P159" s="26" t="str">
        <f>Tableau4849[[#This Row],[COMMAND]]</f>
        <v>SELL</v>
      </c>
      <c r="Q15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1.06407 M1M1</v>
      </c>
      <c r="R159" s="29">
        <v>-406</v>
      </c>
      <c r="S159" s="26" t="str">
        <f>IF(Tableau4849[[#This Row],[ETAT]]="LOSE",IF(IFERROR(ABS(SUBSTITUTE(Tableau4849[[#This Row],[PRICE]],".",",")-'[1]Deal ticket'!$B$16)*1000,"")&lt;=$S$5,"GO","WAIT"),"")</f>
        <v/>
      </c>
      <c r="T15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59" s="34" t="str">
        <f>IF(Tableau4849[[#This Row],[ETAT]]="LOSE",IF(IFERROR(ABS(SUBSTITUTE(Tableau4849[[#This Row],[PRICE]],".",",")-'[1]Deal ticket'!$B$16)*1000,"")&lt;=$U$5,"GO","WAIT"),"")</f>
        <v/>
      </c>
      <c r="V159" s="26">
        <f>IF(Tableau4849[[#This Row],[INDEX]]&lt;3,"",SUMIFS(Tableau4849[SL],Tableau4849[Colonne5],Tableau4849[[#This Row],[Colonne5]])+$S$4)</f>
        <v>1</v>
      </c>
      <c r="W159" s="34" t="str">
        <f>IF(Tableau4849[[#This Row],[ETAT]]="LOSE",IF(IFERROR(ABS(SUBSTITUTE(Tableau4849[[#This Row],[PRICE]],".",",")-'[1]Deal ticket'!$B$16)*1000,"")&lt;=$W$5,"GO","WAIT"),"")</f>
        <v/>
      </c>
      <c r="X15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5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5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5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59" s="26">
        <f>IF(AND(Tableau4849[[#This Row],[3,8]]=1),Tableau4849[[#This Row],[INDEX]],"")</f>
        <v>67</v>
      </c>
      <c r="AC159" s="26" t="str">
        <f ca="1">IF(IFERROR(_xlfn.XLOOKUP(Tableau4849[[#This Row],[IDENTITE]],[1]!Tableau47[GLOBUY],[1]!Tableau47[GLOBUY]),"")="","",1)</f>
        <v/>
      </c>
      <c r="AD159" s="26" t="str">
        <f>IF(IFERROR(_xlfn.XLOOKUP(Tableau4849[[#This Row],[IDENTITE]],[1]!Tableau47[GLOSELL],[1]!Tableau47[GLOSELL]),"")="","",1)</f>
        <v/>
      </c>
      <c r="AE159" s="26"/>
      <c r="AF159" s="26">
        <f>IF(Tableau4849[[#This Row],[INDEX]]&lt;3,"",IF(Tableau4849[[#This Row],[COMMAND]]="","",IF('[1]Bar history'!$AA$33=1,1,"")))</f>
        <v>1</v>
      </c>
      <c r="AG159" s="26"/>
      <c r="AH159" s="26" t="str">
        <f>IF(IFERROR(_xlfn.XLOOKUP(Tableau4849[[#This Row],[IDENTITE]],[1]!Tableau47[COMMENTAIRE],[1]!Tableau47[CLOTURE]),"")=[1]PARAMETRE!$BK$31,Tableau4849[[#This Row],[INDEX]],"")</f>
        <v/>
      </c>
      <c r="AI159" s="26"/>
      <c r="AJ159" s="35" t="str">
        <f>IF(AND(ISNUMBER(SEARCH("BUY",Tableau4849[[#This Row],[COMMAND]]))),"BUYSTOP",IF(AND(ISNUMBER(SEARCH("SELL",Tableau4849[[#This Row],[COMMAND]]))),"SELLSTOP",""))</f>
        <v>SELLSTOP</v>
      </c>
      <c r="AK159" s="35" t="str">
        <f>IFERROR(SUBSTITUTE(Tableau4849[[#This Row],[PRICE]],",","."),"")</f>
        <v>1.06406</v>
      </c>
      <c r="AL159" s="35" t="str">
        <f>IF(Tableau4849[[#This Row],[INDEX]]&lt;3,"",Tableau4849[[#This Row],[IDENTITE]])</f>
        <v>1 RSRS S 1.06407 M1M1</v>
      </c>
      <c r="AM159" s="35" t="str">
        <f>IF(Tableau4849[[#This Row],[INDEX]]&lt;3,"",Tableau4849[[#This Row],[DEVISE]])</f>
        <v>EURUSD</v>
      </c>
      <c r="AN159" s="35">
        <f>IFERROR(IF(Tableau4849[[#This Row],[INDEX]]&lt;3,"",Tableau4849[[#This Row],[ATTEINT]]),100000)</f>
        <v>100000</v>
      </c>
      <c r="AO159" s="35">
        <f>IF(Tableau4849[[#This Row],[INDEX]]&lt;3,"",Tableau4849[[#This Row],[COMPTE]])</f>
        <v>925832</v>
      </c>
      <c r="AP159" s="35" t="str">
        <f>IF(Tableau4849[[#This Row],[INDEX]]&lt;3,"","NON")</f>
        <v>NON</v>
      </c>
      <c r="AQ159" s="35" t="str">
        <f>IF(Tableau4849[[#This Row],[INDEX]]&lt;3,"",IF(Tableau4849[[#This Row],[0,5]]&lt;0,"NEGATIF",""))</f>
        <v>NEGATIF</v>
      </c>
    </row>
    <row r="160" spans="1:43" x14ac:dyDescent="0.25">
      <c r="A160" s="24">
        <v>68</v>
      </c>
      <c r="B160" s="32">
        <v>44923.307847222219</v>
      </c>
      <c r="C160" s="26">
        <v>925832</v>
      </c>
      <c r="D160" s="24" t="s">
        <v>0</v>
      </c>
      <c r="E160" s="24" t="s">
        <v>46</v>
      </c>
      <c r="F160" s="24">
        <v>1.06416</v>
      </c>
      <c r="G160" s="26">
        <v>4000</v>
      </c>
      <c r="H160" s="27" t="s">
        <v>226</v>
      </c>
      <c r="I160" s="28" t="str">
        <f>IF(IFERROR(_xlfn.XLOOKUP(Tableau4849[[#This Row],[SL]],'[1]Tickets (2)'!J157:J951,'[1]Tickets (2)'!I160:I954),"")=0,"",IFERROR(_xlfn.XLOOKUP(Tableau4849[[#This Row],[SL]],'[1]Tickets (2)'!J157:J951,'[1]Tickets (2)'!I160:I954),""))</f>
        <v/>
      </c>
      <c r="J160">
        <v>1</v>
      </c>
      <c r="K16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0" s="33">
        <v>44923.631425115738</v>
      </c>
      <c r="N160" s="3" t="str">
        <f>IF(Tableau4849[[#This Row],[T CLOSE]]&gt;[1]CONFIGURATION!$K$4,Tableau4849[[#This Row],[IDENTITE]],"")</f>
        <v/>
      </c>
      <c r="O160" s="26">
        <f>IFERROR(Tableau4849[[#This Row],[SL]]/(Tableau4849[[#This Row],[VOLUME]]/$I$5),0)</f>
        <v>0</v>
      </c>
      <c r="P160" s="26" t="str">
        <f>Tableau4849[[#This Row],[COMMAND]]</f>
        <v>SELL</v>
      </c>
      <c r="Q16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1.06419 M1M1</v>
      </c>
      <c r="R160" s="29">
        <v>-416</v>
      </c>
      <c r="S160" s="26" t="str">
        <f>IF(Tableau4849[[#This Row],[ETAT]]="LOSE",IF(IFERROR(ABS(SUBSTITUTE(Tableau4849[[#This Row],[PRICE]],".",",")-'[1]Deal ticket'!$B$16)*1000,"")&lt;=$S$5,"GO","WAIT"),"")</f>
        <v/>
      </c>
      <c r="T16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0" s="34" t="str">
        <f>IF(Tableau4849[[#This Row],[ETAT]]="LOSE",IF(IFERROR(ABS(SUBSTITUTE(Tableau4849[[#This Row],[PRICE]],".",",")-'[1]Deal ticket'!$B$16)*1000,"")&lt;=$U$5,"GO","WAIT"),"")</f>
        <v/>
      </c>
      <c r="V160" s="26">
        <f>IF(Tableau4849[[#This Row],[INDEX]]&lt;3,"",SUMIFS(Tableau4849[SL],Tableau4849[Colonne5],Tableau4849[[#This Row],[Colonne5]])+$S$4)</f>
        <v>1</v>
      </c>
      <c r="W160" s="34" t="str">
        <f>IF(Tableau4849[[#This Row],[ETAT]]="LOSE",IF(IFERROR(ABS(SUBSTITUTE(Tableau4849[[#This Row],[PRICE]],".",",")-'[1]Deal ticket'!$B$16)*1000,"")&lt;=$W$5,"GO","WAIT"),"")</f>
        <v/>
      </c>
      <c r="X16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60" s="26">
        <f>IF(AND(Tableau4849[[#This Row],[3,8]]=1),Tableau4849[[#This Row],[INDEX]],"")</f>
        <v>68</v>
      </c>
      <c r="AC160" s="26" t="str">
        <f ca="1">IF(IFERROR(_xlfn.XLOOKUP(Tableau4849[[#This Row],[IDENTITE]],[1]!Tableau47[GLOBUY],[1]!Tableau47[GLOBUY]),"")="","",1)</f>
        <v/>
      </c>
      <c r="AD160" s="26" t="str">
        <f>IF(IFERROR(_xlfn.XLOOKUP(Tableau4849[[#This Row],[IDENTITE]],[1]!Tableau47[GLOSELL],[1]!Tableau47[GLOSELL]),"")="","",1)</f>
        <v/>
      </c>
      <c r="AE160" s="26"/>
      <c r="AF160" s="26">
        <f>IF(Tableau4849[[#This Row],[INDEX]]&lt;3,"",IF(Tableau4849[[#This Row],[COMMAND]]="","",IF('[1]Bar history'!$AA$33=1,1,"")))</f>
        <v>1</v>
      </c>
      <c r="AG160" s="26"/>
      <c r="AH160" s="26" t="str">
        <f>IF(IFERROR(_xlfn.XLOOKUP(Tableau4849[[#This Row],[IDENTITE]],[1]!Tableau47[COMMENTAIRE],[1]!Tableau47[CLOTURE]),"")=[1]PARAMETRE!$BK$31,Tableau4849[[#This Row],[INDEX]],"")</f>
        <v/>
      </c>
      <c r="AI160" s="26"/>
      <c r="AJ160" s="35" t="str">
        <f>IF(AND(ISNUMBER(SEARCH("BUY",Tableau4849[[#This Row],[COMMAND]]))),"BUYSTOP",IF(AND(ISNUMBER(SEARCH("SELL",Tableau4849[[#This Row],[COMMAND]]))),"SELLSTOP",""))</f>
        <v>SELLSTOP</v>
      </c>
      <c r="AK160" s="35" t="str">
        <f>IFERROR(SUBSTITUTE(Tableau4849[[#This Row],[PRICE]],",","."),"")</f>
        <v>1.06416</v>
      </c>
      <c r="AL160" s="35" t="str">
        <f>IF(Tableau4849[[#This Row],[INDEX]]&lt;3,"",Tableau4849[[#This Row],[IDENTITE]])</f>
        <v>1 RSRS S 1.06419 M1M1</v>
      </c>
      <c r="AM160" s="35" t="str">
        <f>IF(Tableau4849[[#This Row],[INDEX]]&lt;3,"",Tableau4849[[#This Row],[DEVISE]])</f>
        <v>EURUSD</v>
      </c>
      <c r="AN160" s="35">
        <f>IFERROR(IF(Tableau4849[[#This Row],[INDEX]]&lt;3,"",Tableau4849[[#This Row],[ATTEINT]]),100000)</f>
        <v>100000</v>
      </c>
      <c r="AO160" s="35">
        <f>IF(Tableau4849[[#This Row],[INDEX]]&lt;3,"",Tableau4849[[#This Row],[COMPTE]])</f>
        <v>925832</v>
      </c>
      <c r="AP160" s="35" t="str">
        <f>IF(Tableau4849[[#This Row],[INDEX]]&lt;3,"","NON")</f>
        <v>NON</v>
      </c>
      <c r="AQ160" s="35" t="str">
        <f>IF(Tableau4849[[#This Row],[INDEX]]&lt;3,"",IF(Tableau4849[[#This Row],[0,5]]&lt;0,"NEGATIF",""))</f>
        <v>NEGATIF</v>
      </c>
    </row>
    <row r="161" spans="1:43" x14ac:dyDescent="0.25">
      <c r="A161" s="24">
        <v>69</v>
      </c>
      <c r="B161" s="32">
        <v>44923.305590277778</v>
      </c>
      <c r="C161" s="26">
        <v>925832</v>
      </c>
      <c r="D161" s="24" t="s">
        <v>0</v>
      </c>
      <c r="E161" s="24" t="s">
        <v>46</v>
      </c>
      <c r="F161" s="24">
        <v>1.06396</v>
      </c>
      <c r="G161" s="26">
        <v>4000</v>
      </c>
      <c r="H161" s="27" t="s">
        <v>227</v>
      </c>
      <c r="I161" s="28" t="str">
        <f>IF(IFERROR(_xlfn.XLOOKUP(Tableau4849[[#This Row],[SL]],'[1]Tickets (2)'!J158:J952,'[1]Tickets (2)'!I161:I955),"")=0,"",IFERROR(_xlfn.XLOOKUP(Tableau4849[[#This Row],[SL]],'[1]Tickets (2)'!J158:J952,'[1]Tickets (2)'!I161:I955),""))</f>
        <v/>
      </c>
      <c r="J161">
        <v>1</v>
      </c>
      <c r="K16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1" s="33">
        <v>44923.631425115738</v>
      </c>
      <c r="N161" s="3" t="str">
        <f>IF(Tableau4849[[#This Row],[T CLOSE]]&gt;[1]CONFIGURATION!$K$4,Tableau4849[[#This Row],[IDENTITE]],"")</f>
        <v/>
      </c>
      <c r="O161" s="26">
        <f>IFERROR(Tableau4849[[#This Row],[SL]]/(Tableau4849[[#This Row],[VOLUME]]/$I$5),0)</f>
        <v>0</v>
      </c>
      <c r="P161" s="26" t="str">
        <f>Tableau4849[[#This Row],[COMMAND]]</f>
        <v>SELL</v>
      </c>
      <c r="Q16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1.06397 M1M1</v>
      </c>
      <c r="R161" s="29">
        <v>12</v>
      </c>
      <c r="S161" s="26" t="str">
        <f>IF(Tableau4849[[#This Row],[ETAT]]="LOSE",IF(IFERROR(ABS(SUBSTITUTE(Tableau4849[[#This Row],[PRICE]],".",",")-'[1]Deal ticket'!$B$16)*1000,"")&lt;=$S$5,"GO","WAIT"),"")</f>
        <v/>
      </c>
      <c r="T16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1" s="34" t="str">
        <f>IF(Tableau4849[[#This Row],[ETAT]]="LOSE",IF(IFERROR(ABS(SUBSTITUTE(Tableau4849[[#This Row],[PRICE]],".",",")-'[1]Deal ticket'!$B$16)*1000,"")&lt;=$U$5,"GO","WAIT"),"")</f>
        <v/>
      </c>
      <c r="V161" s="26">
        <f>IF(Tableau4849[[#This Row],[INDEX]]&lt;3,"",SUMIFS(Tableau4849[SL],Tableau4849[Colonne5],Tableau4849[[#This Row],[Colonne5]])+$S$4)</f>
        <v>1</v>
      </c>
      <c r="W161" s="34" t="str">
        <f>IF(Tableau4849[[#This Row],[ETAT]]="LOSE",IF(IFERROR(ABS(SUBSTITUTE(Tableau4849[[#This Row],[PRICE]],".",",")-'[1]Deal ticket'!$B$16)*1000,"")&lt;=$W$5,"GO","WAIT"),"")</f>
        <v/>
      </c>
      <c r="X16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1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61" s="26" t="str">
        <f>IF(AND(Tableau4849[[#This Row],[3,8]]=1),Tableau4849[[#This Row],[INDEX]],"")</f>
        <v/>
      </c>
      <c r="AC161" s="26" t="str">
        <f ca="1">IF(IFERROR(_xlfn.XLOOKUP(Tableau4849[[#This Row],[IDENTITE]],[1]!Tableau47[GLOBUY],[1]!Tableau47[GLOBUY]),"")="","",1)</f>
        <v/>
      </c>
      <c r="AD161" s="26" t="str">
        <f>IF(IFERROR(_xlfn.XLOOKUP(Tableau4849[[#This Row],[IDENTITE]],[1]!Tableau47[GLOSELL],[1]!Tableau47[GLOSELL]),"")="","",1)</f>
        <v/>
      </c>
      <c r="AE161" s="26"/>
      <c r="AF161" s="26">
        <f>IF(Tableau4849[[#This Row],[INDEX]]&lt;3,"",IF(Tableau4849[[#This Row],[COMMAND]]="","",IF('[1]Bar history'!$AA$33=1,1,"")))</f>
        <v>1</v>
      </c>
      <c r="AG161" s="26"/>
      <c r="AH161" s="26" t="str">
        <f>IF(IFERROR(_xlfn.XLOOKUP(Tableau4849[[#This Row],[IDENTITE]],[1]!Tableau47[COMMENTAIRE],[1]!Tableau47[CLOTURE]),"")=[1]PARAMETRE!$BK$31,Tableau4849[[#This Row],[INDEX]],"")</f>
        <v/>
      </c>
      <c r="AI161" s="26"/>
      <c r="AJ161" s="35" t="str">
        <f>IF(AND(ISNUMBER(SEARCH("BUY",Tableau4849[[#This Row],[COMMAND]]))),"BUYSTOP",IF(AND(ISNUMBER(SEARCH("SELL",Tableau4849[[#This Row],[COMMAND]]))),"SELLSTOP",""))</f>
        <v>SELLSTOP</v>
      </c>
      <c r="AK161" s="35" t="str">
        <f>IFERROR(SUBSTITUTE(Tableau4849[[#This Row],[PRICE]],",","."),"")</f>
        <v>1.06396</v>
      </c>
      <c r="AL161" s="35" t="str">
        <f>IF(Tableau4849[[#This Row],[INDEX]]&lt;3,"",Tableau4849[[#This Row],[IDENTITE]])</f>
        <v>1 RSRS S 1.06397 M1M1</v>
      </c>
      <c r="AM161" s="35" t="str">
        <f>IF(Tableau4849[[#This Row],[INDEX]]&lt;3,"",Tableau4849[[#This Row],[DEVISE]])</f>
        <v>EURUSD</v>
      </c>
      <c r="AN161" s="35">
        <f>IFERROR(IF(Tableau4849[[#This Row],[INDEX]]&lt;3,"",Tableau4849[[#This Row],[ATTEINT]]),100000)</f>
        <v>100000</v>
      </c>
      <c r="AO161" s="35">
        <f>IF(Tableau4849[[#This Row],[INDEX]]&lt;3,"",Tableau4849[[#This Row],[COMPTE]])</f>
        <v>925832</v>
      </c>
      <c r="AP161" s="35" t="str">
        <f>IF(Tableau4849[[#This Row],[INDEX]]&lt;3,"","NON")</f>
        <v>NON</v>
      </c>
      <c r="AQ161" s="35" t="str">
        <f>IF(Tableau4849[[#This Row],[INDEX]]&lt;3,"",IF(Tableau4849[[#This Row],[0,5]]&lt;0,"NEGATIF",""))</f>
        <v/>
      </c>
    </row>
    <row r="162" spans="1:43" x14ac:dyDescent="0.25">
      <c r="A162" s="24">
        <v>70</v>
      </c>
      <c r="B162" s="32">
        <v>44923.303611111114</v>
      </c>
      <c r="C162" s="26">
        <v>925832</v>
      </c>
      <c r="D162" s="24" t="s">
        <v>0</v>
      </c>
      <c r="E162" s="24" t="s">
        <v>46</v>
      </c>
      <c r="F162" s="24">
        <v>1.06389</v>
      </c>
      <c r="G162" s="26">
        <v>3000</v>
      </c>
      <c r="H162" s="27" t="s">
        <v>229</v>
      </c>
      <c r="I162" s="28" t="str">
        <f>IF(IFERROR(_xlfn.XLOOKUP(Tableau4849[[#This Row],[SL]],'[1]Tickets (2)'!J159:J953,'[1]Tickets (2)'!I162:I956),"")=0,"",IFERROR(_xlfn.XLOOKUP(Tableau4849[[#This Row],[SL]],'[1]Tickets (2)'!J159:J953,'[1]Tickets (2)'!I162:I956),""))</f>
        <v/>
      </c>
      <c r="J162">
        <v>1</v>
      </c>
      <c r="K16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2" s="33">
        <v>44923.631425115738</v>
      </c>
      <c r="N162" s="3" t="str">
        <f>IF(Tableau4849[[#This Row],[T CLOSE]]&gt;[1]CONFIGURATION!$K$4,Tableau4849[[#This Row],[IDENTITE]],"")</f>
        <v/>
      </c>
      <c r="O162" s="26">
        <f>IFERROR(Tableau4849[[#This Row],[SL]]/(Tableau4849[[#This Row],[VOLUME]]/$I$5),0)</f>
        <v>0</v>
      </c>
      <c r="P162" s="26" t="str">
        <f>Tableau4849[[#This Row],[COMMAND]]</f>
        <v>SELL</v>
      </c>
      <c r="Q16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1.06389 M1M1</v>
      </c>
      <c r="R162" s="29">
        <v>13</v>
      </c>
      <c r="S162" s="26" t="str">
        <f>IF(Tableau4849[[#This Row],[ETAT]]="LOSE",IF(IFERROR(ABS(SUBSTITUTE(Tableau4849[[#This Row],[PRICE]],".",",")-'[1]Deal ticket'!$B$16)*1000,"")&lt;=$S$5,"GO","WAIT"),"")</f>
        <v/>
      </c>
      <c r="T16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2" s="34" t="str">
        <f>IF(Tableau4849[[#This Row],[ETAT]]="LOSE",IF(IFERROR(ABS(SUBSTITUTE(Tableau4849[[#This Row],[PRICE]],".",",")-'[1]Deal ticket'!$B$16)*1000,"")&lt;=$U$5,"GO","WAIT"),"")</f>
        <v/>
      </c>
      <c r="V162" s="26">
        <f>IF(Tableau4849[[#This Row],[INDEX]]&lt;3,"",SUMIFS(Tableau4849[SL],Tableau4849[Colonne5],Tableau4849[[#This Row],[Colonne5]])+$S$4)</f>
        <v>1</v>
      </c>
      <c r="W162" s="34" t="str">
        <f>IF(Tableau4849[[#This Row],[ETAT]]="LOSE",IF(IFERROR(ABS(SUBSTITUTE(Tableau4849[[#This Row],[PRICE]],".",",")-'[1]Deal ticket'!$B$16)*1000,"")&lt;=$W$5,"GO","WAIT"),"")</f>
        <v/>
      </c>
      <c r="X16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2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62" s="26" t="str">
        <f>IF(AND(Tableau4849[[#This Row],[3,8]]=1),Tableau4849[[#This Row],[INDEX]],"")</f>
        <v/>
      </c>
      <c r="AC162" s="26" t="str">
        <f ca="1">IF(IFERROR(_xlfn.XLOOKUP(Tableau4849[[#This Row],[IDENTITE]],[1]!Tableau47[GLOBUY],[1]!Tableau47[GLOBUY]),"")="","",1)</f>
        <v/>
      </c>
      <c r="AD162" s="26" t="str">
        <f>IF(IFERROR(_xlfn.XLOOKUP(Tableau4849[[#This Row],[IDENTITE]],[1]!Tableau47[GLOSELL],[1]!Tableau47[GLOSELL]),"")="","",1)</f>
        <v/>
      </c>
      <c r="AE162" s="26"/>
      <c r="AF162" s="26">
        <f>IF(Tableau4849[[#This Row],[INDEX]]&lt;3,"",IF(Tableau4849[[#This Row],[COMMAND]]="","",IF('[1]Bar history'!$AA$33=1,1,"")))</f>
        <v>1</v>
      </c>
      <c r="AG162" s="26"/>
      <c r="AH162" s="26" t="str">
        <f>IF(IFERROR(_xlfn.XLOOKUP(Tableau4849[[#This Row],[IDENTITE]],[1]!Tableau47[COMMENTAIRE],[1]!Tableau47[CLOTURE]),"")=[1]PARAMETRE!$BK$31,Tableau4849[[#This Row],[INDEX]],"")</f>
        <v/>
      </c>
      <c r="AI162" s="26"/>
      <c r="AJ162" s="35" t="str">
        <f>IF(AND(ISNUMBER(SEARCH("BUY",Tableau4849[[#This Row],[COMMAND]]))),"BUYSTOP",IF(AND(ISNUMBER(SEARCH("SELL",Tableau4849[[#This Row],[COMMAND]]))),"SELLSTOP",""))</f>
        <v>SELLSTOP</v>
      </c>
      <c r="AK162" s="35" t="str">
        <f>IFERROR(SUBSTITUTE(Tableau4849[[#This Row],[PRICE]],",","."),"")</f>
        <v>1.06389</v>
      </c>
      <c r="AL162" s="35" t="str">
        <f>IF(Tableau4849[[#This Row],[INDEX]]&lt;3,"",Tableau4849[[#This Row],[IDENTITE]])</f>
        <v>1 RSRS S 1.06389 M1M1</v>
      </c>
      <c r="AM162" s="35" t="str">
        <f>IF(Tableau4849[[#This Row],[INDEX]]&lt;3,"",Tableau4849[[#This Row],[DEVISE]])</f>
        <v>EURUSD</v>
      </c>
      <c r="AN162" s="35">
        <f>IFERROR(IF(Tableau4849[[#This Row],[INDEX]]&lt;3,"",Tableau4849[[#This Row],[ATTEINT]]),100000)</f>
        <v>100000</v>
      </c>
      <c r="AO162" s="35">
        <f>IF(Tableau4849[[#This Row],[INDEX]]&lt;3,"",Tableau4849[[#This Row],[COMPTE]])</f>
        <v>925832</v>
      </c>
      <c r="AP162" s="35" t="str">
        <f>IF(Tableau4849[[#This Row],[INDEX]]&lt;3,"","NON")</f>
        <v>NON</v>
      </c>
      <c r="AQ162" s="35" t="str">
        <f>IF(Tableau4849[[#This Row],[INDEX]]&lt;3,"",IF(Tableau4849[[#This Row],[0,5]]&lt;0,"NEGATIF",""))</f>
        <v/>
      </c>
    </row>
    <row r="163" spans="1:43" x14ac:dyDescent="0.25">
      <c r="A163" s="24">
        <v>71</v>
      </c>
      <c r="B163" s="32">
        <v>44923.303333333337</v>
      </c>
      <c r="C163" s="26">
        <v>925832</v>
      </c>
      <c r="D163" s="24" t="s">
        <v>0</v>
      </c>
      <c r="E163" s="24" t="s">
        <v>46</v>
      </c>
      <c r="F163" s="24">
        <v>1.0638399999999999</v>
      </c>
      <c r="G163" s="26">
        <v>3000</v>
      </c>
      <c r="H163" s="27" t="s">
        <v>231</v>
      </c>
      <c r="I163" s="28" t="str">
        <f>IF(IFERROR(_xlfn.XLOOKUP(Tableau4849[[#This Row],[SL]],'[1]Tickets (2)'!J160:J954,'[1]Tickets (2)'!I163:I957),"")=0,"",IFERROR(_xlfn.XLOOKUP(Tableau4849[[#This Row],[SL]],'[1]Tickets (2)'!J160:J954,'[1]Tickets (2)'!I163:I957),""))</f>
        <v/>
      </c>
      <c r="J163">
        <v>1</v>
      </c>
      <c r="K16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3" s="33">
        <v>44923.631425115738</v>
      </c>
      <c r="N163" s="3" t="str">
        <f>IF(Tableau4849[[#This Row],[T CLOSE]]&gt;[1]CONFIGURATION!$K$4,Tableau4849[[#This Row],[IDENTITE]],"")</f>
        <v/>
      </c>
      <c r="O163" s="26">
        <f>IFERROR(Tableau4849[[#This Row],[SL]]/(Tableau4849[[#This Row],[VOLUME]]/$I$5),0)</f>
        <v>0</v>
      </c>
      <c r="P163" s="26" t="str">
        <f>Tableau4849[[#This Row],[COMMAND]]</f>
        <v>SELL</v>
      </c>
      <c r="Q16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1.06386 M1M1</v>
      </c>
      <c r="R163" s="29">
        <v>14</v>
      </c>
      <c r="S163" s="26" t="str">
        <f>IF(Tableau4849[[#This Row],[ETAT]]="LOSE",IF(IFERROR(ABS(SUBSTITUTE(Tableau4849[[#This Row],[PRICE]],".",",")-'[1]Deal ticket'!$B$16)*1000,"")&lt;=$S$5,"GO","WAIT"),"")</f>
        <v/>
      </c>
      <c r="T16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3" s="34" t="str">
        <f>IF(Tableau4849[[#This Row],[ETAT]]="LOSE",IF(IFERROR(ABS(SUBSTITUTE(Tableau4849[[#This Row],[PRICE]],".",",")-'[1]Deal ticket'!$B$16)*1000,"")&lt;=$U$5,"GO","WAIT"),"")</f>
        <v/>
      </c>
      <c r="V163" s="26">
        <f>IF(Tableau4849[[#This Row],[INDEX]]&lt;3,"",SUMIFS(Tableau4849[SL],Tableau4849[Colonne5],Tableau4849[[#This Row],[Colonne5]])+$S$4)</f>
        <v>1</v>
      </c>
      <c r="W163" s="34" t="str">
        <f>IF(Tableau4849[[#This Row],[ETAT]]="LOSE",IF(IFERROR(ABS(SUBSTITUTE(Tableau4849[[#This Row],[PRICE]],".",",")-'[1]Deal ticket'!$B$16)*1000,"")&lt;=$W$5,"GO","WAIT"),"")</f>
        <v/>
      </c>
      <c r="X16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3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63" s="26" t="str">
        <f>IF(AND(Tableau4849[[#This Row],[3,8]]=1),Tableau4849[[#This Row],[INDEX]],"")</f>
        <v/>
      </c>
      <c r="AC163" s="26" t="str">
        <f ca="1">IF(IFERROR(_xlfn.XLOOKUP(Tableau4849[[#This Row],[IDENTITE]],[1]!Tableau47[GLOBUY],[1]!Tableau47[GLOBUY]),"")="","",1)</f>
        <v/>
      </c>
      <c r="AD163" s="26" t="str">
        <f>IF(IFERROR(_xlfn.XLOOKUP(Tableau4849[[#This Row],[IDENTITE]],[1]!Tableau47[GLOSELL],[1]!Tableau47[GLOSELL]),"")="","",1)</f>
        <v/>
      </c>
      <c r="AE163" s="26"/>
      <c r="AF163" s="26">
        <f>IF(Tableau4849[[#This Row],[INDEX]]&lt;3,"",IF(Tableau4849[[#This Row],[COMMAND]]="","",IF('[1]Bar history'!$AA$33=1,1,"")))</f>
        <v>1</v>
      </c>
      <c r="AG163" s="26"/>
      <c r="AH163" s="26" t="str">
        <f>IF(IFERROR(_xlfn.XLOOKUP(Tableau4849[[#This Row],[IDENTITE]],[1]!Tableau47[COMMENTAIRE],[1]!Tableau47[CLOTURE]),"")=[1]PARAMETRE!$BK$31,Tableau4849[[#This Row],[INDEX]],"")</f>
        <v/>
      </c>
      <c r="AI163" s="26"/>
      <c r="AJ163" s="35" t="str">
        <f>IF(AND(ISNUMBER(SEARCH("BUY",Tableau4849[[#This Row],[COMMAND]]))),"BUYSTOP",IF(AND(ISNUMBER(SEARCH("SELL",Tableau4849[[#This Row],[COMMAND]]))),"SELLSTOP",""))</f>
        <v>SELLSTOP</v>
      </c>
      <c r="AK163" s="35" t="str">
        <f>IFERROR(SUBSTITUTE(Tableau4849[[#This Row],[PRICE]],",","."),"")</f>
        <v>1.06384</v>
      </c>
      <c r="AL163" s="35" t="str">
        <f>IF(Tableau4849[[#This Row],[INDEX]]&lt;3,"",Tableau4849[[#This Row],[IDENTITE]])</f>
        <v>1 RSRS S 1.06386 M1M1</v>
      </c>
      <c r="AM163" s="35" t="str">
        <f>IF(Tableau4849[[#This Row],[INDEX]]&lt;3,"",Tableau4849[[#This Row],[DEVISE]])</f>
        <v>EURUSD</v>
      </c>
      <c r="AN163" s="35">
        <f>IFERROR(IF(Tableau4849[[#This Row],[INDEX]]&lt;3,"",Tableau4849[[#This Row],[ATTEINT]]),100000)</f>
        <v>100000</v>
      </c>
      <c r="AO163" s="35">
        <f>IF(Tableau4849[[#This Row],[INDEX]]&lt;3,"",Tableau4849[[#This Row],[COMPTE]])</f>
        <v>925832</v>
      </c>
      <c r="AP163" s="35" t="str">
        <f>IF(Tableau4849[[#This Row],[INDEX]]&lt;3,"","NON")</f>
        <v>NON</v>
      </c>
      <c r="AQ163" s="35" t="str">
        <f>IF(Tableau4849[[#This Row],[INDEX]]&lt;3,"",IF(Tableau4849[[#This Row],[0,5]]&lt;0,"NEGATIF",""))</f>
        <v/>
      </c>
    </row>
    <row r="164" spans="1:43" x14ac:dyDescent="0.25">
      <c r="A164" s="24">
        <v>72</v>
      </c>
      <c r="B164" s="32">
        <v>44923.303090277775</v>
      </c>
      <c r="C164" s="26">
        <v>925832</v>
      </c>
      <c r="D164" s="24" t="s">
        <v>0</v>
      </c>
      <c r="E164" s="24" t="s">
        <v>46</v>
      </c>
      <c r="F164" s="24">
        <v>1.0638099999999999</v>
      </c>
      <c r="G164" s="26">
        <v>4000</v>
      </c>
      <c r="H164" s="27" t="s">
        <v>233</v>
      </c>
      <c r="I164" s="28" t="str">
        <f>IF(IFERROR(_xlfn.XLOOKUP(Tableau4849[[#This Row],[SL]],'[1]Tickets (2)'!J161:J955,'[1]Tickets (2)'!I164:I958),"")=0,"",IFERROR(_xlfn.XLOOKUP(Tableau4849[[#This Row],[SL]],'[1]Tickets (2)'!J161:J955,'[1]Tickets (2)'!I164:I958),""))</f>
        <v/>
      </c>
      <c r="J164">
        <v>1</v>
      </c>
      <c r="K16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4" s="33">
        <v>44923.631425115738</v>
      </c>
      <c r="N164" s="3" t="str">
        <f>IF(Tableau4849[[#This Row],[T CLOSE]]&gt;[1]CONFIGURATION!$K$4,Tableau4849[[#This Row],[IDENTITE]],"")</f>
        <v/>
      </c>
      <c r="O164" s="26">
        <f>IFERROR(Tableau4849[[#This Row],[SL]]/(Tableau4849[[#This Row],[VOLUME]]/$I$5),0)</f>
        <v>0</v>
      </c>
      <c r="P164" s="26" t="str">
        <f>Tableau4849[[#This Row],[COMMAND]]</f>
        <v>SELL</v>
      </c>
      <c r="Q16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1.06382 M1M1</v>
      </c>
      <c r="R164" s="29">
        <v>15</v>
      </c>
      <c r="S164" s="26" t="str">
        <f>IF(Tableau4849[[#This Row],[ETAT]]="LOSE",IF(IFERROR(ABS(SUBSTITUTE(Tableau4849[[#This Row],[PRICE]],".",",")-'[1]Deal ticket'!$B$16)*1000,"")&lt;=$S$5,"GO","WAIT"),"")</f>
        <v/>
      </c>
      <c r="T16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4" s="34" t="str">
        <f>IF(Tableau4849[[#This Row],[ETAT]]="LOSE",IF(IFERROR(ABS(SUBSTITUTE(Tableau4849[[#This Row],[PRICE]],".",",")-'[1]Deal ticket'!$B$16)*1000,"")&lt;=$U$5,"GO","WAIT"),"")</f>
        <v/>
      </c>
      <c r="V164" s="26">
        <f>IF(Tableau4849[[#This Row],[INDEX]]&lt;3,"",SUMIFS(Tableau4849[SL],Tableau4849[Colonne5],Tableau4849[[#This Row],[Colonne5]])+$S$4)</f>
        <v>1</v>
      </c>
      <c r="W164" s="34" t="str">
        <f>IF(Tableau4849[[#This Row],[ETAT]]="LOSE",IF(IFERROR(ABS(SUBSTITUTE(Tableau4849[[#This Row],[PRICE]],".",",")-'[1]Deal ticket'!$B$16)*1000,"")&lt;=$W$5,"GO","WAIT"),"")</f>
        <v/>
      </c>
      <c r="X16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4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64" s="26" t="str">
        <f>IF(AND(Tableau4849[[#This Row],[3,8]]=1),Tableau4849[[#This Row],[INDEX]],"")</f>
        <v/>
      </c>
      <c r="AC164" s="26" t="str">
        <f ca="1">IF(IFERROR(_xlfn.XLOOKUP(Tableau4849[[#This Row],[IDENTITE]],[1]!Tableau47[GLOBUY],[1]!Tableau47[GLOBUY]),"")="","",1)</f>
        <v/>
      </c>
      <c r="AD164" s="26" t="str">
        <f>IF(IFERROR(_xlfn.XLOOKUP(Tableau4849[[#This Row],[IDENTITE]],[1]!Tableau47[GLOSELL],[1]!Tableau47[GLOSELL]),"")="","",1)</f>
        <v/>
      </c>
      <c r="AE164" s="26"/>
      <c r="AF164" s="26">
        <f>IF(Tableau4849[[#This Row],[INDEX]]&lt;3,"",IF(Tableau4849[[#This Row],[COMMAND]]="","",IF('[1]Bar history'!$AA$33=1,1,"")))</f>
        <v>1</v>
      </c>
      <c r="AG164" s="26"/>
      <c r="AH164" s="26" t="str">
        <f>IF(IFERROR(_xlfn.XLOOKUP(Tableau4849[[#This Row],[IDENTITE]],[1]!Tableau47[COMMENTAIRE],[1]!Tableau47[CLOTURE]),"")=[1]PARAMETRE!$BK$31,Tableau4849[[#This Row],[INDEX]],"")</f>
        <v/>
      </c>
      <c r="AI164" s="26"/>
      <c r="AJ164" s="35" t="str">
        <f>IF(AND(ISNUMBER(SEARCH("BUY",Tableau4849[[#This Row],[COMMAND]]))),"BUYSTOP",IF(AND(ISNUMBER(SEARCH("SELL",Tableau4849[[#This Row],[COMMAND]]))),"SELLSTOP",""))</f>
        <v>SELLSTOP</v>
      </c>
      <c r="AK164" s="35" t="str">
        <f>IFERROR(SUBSTITUTE(Tableau4849[[#This Row],[PRICE]],",","."),"")</f>
        <v>1.06381</v>
      </c>
      <c r="AL164" s="35" t="str">
        <f>IF(Tableau4849[[#This Row],[INDEX]]&lt;3,"",Tableau4849[[#This Row],[IDENTITE]])</f>
        <v>1 RSRS S 1.06382 M1M1</v>
      </c>
      <c r="AM164" s="35" t="str">
        <f>IF(Tableau4849[[#This Row],[INDEX]]&lt;3,"",Tableau4849[[#This Row],[DEVISE]])</f>
        <v>EURUSD</v>
      </c>
      <c r="AN164" s="35">
        <f>IFERROR(IF(Tableau4849[[#This Row],[INDEX]]&lt;3,"",Tableau4849[[#This Row],[ATTEINT]]),100000)</f>
        <v>100000</v>
      </c>
      <c r="AO164" s="35">
        <f>IF(Tableau4849[[#This Row],[INDEX]]&lt;3,"",Tableau4849[[#This Row],[COMPTE]])</f>
        <v>925832</v>
      </c>
      <c r="AP164" s="35" t="str">
        <f>IF(Tableau4849[[#This Row],[INDEX]]&lt;3,"","NON")</f>
        <v>NON</v>
      </c>
      <c r="AQ164" s="35" t="str">
        <f>IF(Tableau4849[[#This Row],[INDEX]]&lt;3,"",IF(Tableau4849[[#This Row],[0,5]]&lt;0,"NEGATIF",""))</f>
        <v/>
      </c>
    </row>
    <row r="165" spans="1:43" x14ac:dyDescent="0.25">
      <c r="A165" s="24">
        <v>73</v>
      </c>
      <c r="B165" s="32">
        <v>44923.302627314813</v>
      </c>
      <c r="C165" s="26">
        <v>925832</v>
      </c>
      <c r="D165" s="24" t="s">
        <v>0</v>
      </c>
      <c r="E165" s="24" t="s">
        <v>46</v>
      </c>
      <c r="F165" s="24">
        <v>1.0639099999999999</v>
      </c>
      <c r="G165" s="26">
        <v>3000</v>
      </c>
      <c r="H165" s="27" t="s">
        <v>235</v>
      </c>
      <c r="I165" s="28" t="str">
        <f>IF(IFERROR(_xlfn.XLOOKUP(Tableau4849[[#This Row],[SL]],'[1]Tickets (2)'!J162:J956,'[1]Tickets (2)'!I165:I959),"")=0,"",IFERROR(_xlfn.XLOOKUP(Tableau4849[[#This Row],[SL]],'[1]Tickets (2)'!J162:J956,'[1]Tickets (2)'!I165:I959),""))</f>
        <v/>
      </c>
      <c r="J165">
        <v>1</v>
      </c>
      <c r="K16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5" s="33">
        <v>44923.631425115738</v>
      </c>
      <c r="N165" s="3" t="str">
        <f>IF(Tableau4849[[#This Row],[T CLOSE]]&gt;[1]CONFIGURATION!$K$4,Tableau4849[[#This Row],[IDENTITE]],"")</f>
        <v/>
      </c>
      <c r="O165" s="26">
        <f>IFERROR(Tableau4849[[#This Row],[SL]]/(Tableau4849[[#This Row],[VOLUME]]/$I$5),0)</f>
        <v>0</v>
      </c>
      <c r="P165" s="26" t="str">
        <f>Tableau4849[[#This Row],[COMMAND]]</f>
        <v>SELL</v>
      </c>
      <c r="Q16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1.06391 M1M1</v>
      </c>
      <c r="R165" s="29">
        <v>16</v>
      </c>
      <c r="S165" s="26" t="str">
        <f>IF(Tableau4849[[#This Row],[ETAT]]="LOSE",IF(IFERROR(ABS(SUBSTITUTE(Tableau4849[[#This Row],[PRICE]],".",",")-'[1]Deal ticket'!$B$16)*1000,"")&lt;=$S$5,"GO","WAIT"),"")</f>
        <v/>
      </c>
      <c r="T16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5" s="34" t="str">
        <f>IF(Tableau4849[[#This Row],[ETAT]]="LOSE",IF(IFERROR(ABS(SUBSTITUTE(Tableau4849[[#This Row],[PRICE]],".",",")-'[1]Deal ticket'!$B$16)*1000,"")&lt;=$U$5,"GO","WAIT"),"")</f>
        <v/>
      </c>
      <c r="V165" s="26">
        <f>IF(Tableau4849[[#This Row],[INDEX]]&lt;3,"",SUMIFS(Tableau4849[SL],Tableau4849[Colonne5],Tableau4849[[#This Row],[Colonne5]])+$S$4)</f>
        <v>1</v>
      </c>
      <c r="W165" s="34" t="str">
        <f>IF(Tableau4849[[#This Row],[ETAT]]="LOSE",IF(IFERROR(ABS(SUBSTITUTE(Tableau4849[[#This Row],[PRICE]],".",",")-'[1]Deal ticket'!$B$16)*1000,"")&lt;=$W$5,"GO","WAIT"),"")</f>
        <v/>
      </c>
      <c r="X16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5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65" s="26" t="str">
        <f>IF(AND(Tableau4849[[#This Row],[3,8]]=1),Tableau4849[[#This Row],[INDEX]],"")</f>
        <v/>
      </c>
      <c r="AC165" s="26" t="str">
        <f ca="1">IF(IFERROR(_xlfn.XLOOKUP(Tableau4849[[#This Row],[IDENTITE]],[1]!Tableau47[GLOBUY],[1]!Tableau47[GLOBUY]),"")="","",1)</f>
        <v/>
      </c>
      <c r="AD165" s="26" t="str">
        <f>IF(IFERROR(_xlfn.XLOOKUP(Tableau4849[[#This Row],[IDENTITE]],[1]!Tableau47[GLOSELL],[1]!Tableau47[GLOSELL]),"")="","",1)</f>
        <v/>
      </c>
      <c r="AE165" s="26"/>
      <c r="AF165" s="26">
        <f>IF(Tableau4849[[#This Row],[INDEX]]&lt;3,"",IF(Tableau4849[[#This Row],[COMMAND]]="","",IF('[1]Bar history'!$AA$33=1,1,"")))</f>
        <v>1</v>
      </c>
      <c r="AG165" s="26"/>
      <c r="AH165" s="26" t="str">
        <f>IF(IFERROR(_xlfn.XLOOKUP(Tableau4849[[#This Row],[IDENTITE]],[1]!Tableau47[COMMENTAIRE],[1]!Tableau47[CLOTURE]),"")=[1]PARAMETRE!$BK$31,Tableau4849[[#This Row],[INDEX]],"")</f>
        <v/>
      </c>
      <c r="AI165" s="26"/>
      <c r="AJ165" s="35" t="str">
        <f>IF(AND(ISNUMBER(SEARCH("BUY",Tableau4849[[#This Row],[COMMAND]]))),"BUYSTOP",IF(AND(ISNUMBER(SEARCH("SELL",Tableau4849[[#This Row],[COMMAND]]))),"SELLSTOP",""))</f>
        <v>SELLSTOP</v>
      </c>
      <c r="AK165" s="35" t="str">
        <f>IFERROR(SUBSTITUTE(Tableau4849[[#This Row],[PRICE]],",","."),"")</f>
        <v>1.06391</v>
      </c>
      <c r="AL165" s="35" t="str">
        <f>IF(Tableau4849[[#This Row],[INDEX]]&lt;3,"",Tableau4849[[#This Row],[IDENTITE]])</f>
        <v>1 RSRS S 1.06391 M1M1</v>
      </c>
      <c r="AM165" s="35" t="str">
        <f>IF(Tableau4849[[#This Row],[INDEX]]&lt;3,"",Tableau4849[[#This Row],[DEVISE]])</f>
        <v>EURUSD</v>
      </c>
      <c r="AN165" s="35">
        <f>IFERROR(IF(Tableau4849[[#This Row],[INDEX]]&lt;3,"",Tableau4849[[#This Row],[ATTEINT]]),100000)</f>
        <v>100000</v>
      </c>
      <c r="AO165" s="35">
        <f>IF(Tableau4849[[#This Row],[INDEX]]&lt;3,"",Tableau4849[[#This Row],[COMPTE]])</f>
        <v>925832</v>
      </c>
      <c r="AP165" s="35" t="str">
        <f>IF(Tableau4849[[#This Row],[INDEX]]&lt;3,"","NON")</f>
        <v>NON</v>
      </c>
      <c r="AQ165" s="35" t="str">
        <f>IF(Tableau4849[[#This Row],[INDEX]]&lt;3,"",IF(Tableau4849[[#This Row],[0,5]]&lt;0,"NEGATIF",""))</f>
        <v/>
      </c>
    </row>
    <row r="166" spans="1:43" x14ac:dyDescent="0.25">
      <c r="A166" s="24">
        <v>74</v>
      </c>
      <c r="B166" s="32">
        <v>44923.127349537041</v>
      </c>
      <c r="C166" s="26">
        <v>925832</v>
      </c>
      <c r="D166" s="24" t="s">
        <v>0</v>
      </c>
      <c r="E166" s="24" t="s">
        <v>46</v>
      </c>
      <c r="F166" s="24">
        <v>1.06271</v>
      </c>
      <c r="G166" s="26">
        <v>4000</v>
      </c>
      <c r="H166" s="27" t="s">
        <v>236</v>
      </c>
      <c r="I166" s="28" t="str">
        <f>IF(IFERROR(_xlfn.XLOOKUP(Tableau4849[[#This Row],[SL]],'[1]Tickets (2)'!J163:J957,'[1]Tickets (2)'!I166:I960),"")=0,"",IFERROR(_xlfn.XLOOKUP(Tableau4849[[#This Row],[SL]],'[1]Tickets (2)'!J163:J957,'[1]Tickets (2)'!I166:I960),""))</f>
        <v/>
      </c>
      <c r="J166">
        <v>1</v>
      </c>
      <c r="K16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6" s="33">
        <v>44923.631425115738</v>
      </c>
      <c r="N166" s="3" t="str">
        <f>IF(Tableau4849[[#This Row],[T CLOSE]]&gt;[1]CONFIGURATION!$K$4,Tableau4849[[#This Row],[IDENTITE]],"")</f>
        <v/>
      </c>
      <c r="O166" s="26">
        <f>IFERROR(Tableau4849[[#This Row],[SL]]/(Tableau4849[[#This Row],[VOLUME]]/$I$5),0)</f>
        <v>0</v>
      </c>
      <c r="P166" s="26" t="str">
        <f>Tableau4849[[#This Row],[COMMAND]]</f>
        <v>SELL</v>
      </c>
      <c r="Q16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1.06271 M1M1</v>
      </c>
      <c r="R166" s="29">
        <v>17</v>
      </c>
      <c r="S166" s="26" t="str">
        <f>IF(Tableau4849[[#This Row],[ETAT]]="LOSE",IF(IFERROR(ABS(SUBSTITUTE(Tableau4849[[#This Row],[PRICE]],".",",")-'[1]Deal ticket'!$B$16)*1000,"")&lt;=$S$5,"GO","WAIT"),"")</f>
        <v/>
      </c>
      <c r="T16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6" s="34" t="str">
        <f>IF(Tableau4849[[#This Row],[ETAT]]="LOSE",IF(IFERROR(ABS(SUBSTITUTE(Tableau4849[[#This Row],[PRICE]],".",",")-'[1]Deal ticket'!$B$16)*1000,"")&lt;=$U$5,"GO","WAIT"),"")</f>
        <v/>
      </c>
      <c r="V166" s="26">
        <f>IF(Tableau4849[[#This Row],[INDEX]]&lt;3,"",SUMIFS(Tableau4849[SL],Tableau4849[Colonne5],Tableau4849[[#This Row],[Colonne5]])+$S$4)</f>
        <v>1</v>
      </c>
      <c r="W166" s="34" t="str">
        <f>IF(Tableau4849[[#This Row],[ETAT]]="LOSE",IF(IFERROR(ABS(SUBSTITUTE(Tableau4849[[#This Row],[PRICE]],".",",")-'[1]Deal ticket'!$B$16)*1000,"")&lt;=$W$5,"GO","WAIT"),"")</f>
        <v/>
      </c>
      <c r="X16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6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66" s="26" t="str">
        <f>IF(AND(Tableau4849[[#This Row],[3,8]]=1),Tableau4849[[#This Row],[INDEX]],"")</f>
        <v/>
      </c>
      <c r="AC166" s="26" t="str">
        <f ca="1">IF(IFERROR(_xlfn.XLOOKUP(Tableau4849[[#This Row],[IDENTITE]],[1]!Tableau47[GLOBUY],[1]!Tableau47[GLOBUY]),"")="","",1)</f>
        <v/>
      </c>
      <c r="AD166" s="26" t="str">
        <f>IF(IFERROR(_xlfn.XLOOKUP(Tableau4849[[#This Row],[IDENTITE]],[1]!Tableau47[GLOSELL],[1]!Tableau47[GLOSELL]),"")="","",1)</f>
        <v/>
      </c>
      <c r="AE166" s="26"/>
      <c r="AF166" s="26">
        <f>IF(Tableau4849[[#This Row],[INDEX]]&lt;3,"",IF(Tableau4849[[#This Row],[COMMAND]]="","",IF('[1]Bar history'!$AA$33=1,1,"")))</f>
        <v>1</v>
      </c>
      <c r="AG166" s="26"/>
      <c r="AH166" s="26" t="str">
        <f>IF(IFERROR(_xlfn.XLOOKUP(Tableau4849[[#This Row],[IDENTITE]],[1]!Tableau47[COMMENTAIRE],[1]!Tableau47[CLOTURE]),"")=[1]PARAMETRE!$BK$31,Tableau4849[[#This Row],[INDEX]],"")</f>
        <v/>
      </c>
      <c r="AI166" s="26"/>
      <c r="AJ166" s="35" t="str">
        <f>IF(AND(ISNUMBER(SEARCH("BUY",Tableau4849[[#This Row],[COMMAND]]))),"BUYSTOP",IF(AND(ISNUMBER(SEARCH("SELL",Tableau4849[[#This Row],[COMMAND]]))),"SELLSTOP",""))</f>
        <v>SELLSTOP</v>
      </c>
      <c r="AK166" s="35" t="str">
        <f>IFERROR(SUBSTITUTE(Tableau4849[[#This Row],[PRICE]],",","."),"")</f>
        <v>1.06271</v>
      </c>
      <c r="AL166" s="35" t="str">
        <f>IF(Tableau4849[[#This Row],[INDEX]]&lt;3,"",Tableau4849[[#This Row],[IDENTITE]])</f>
        <v>1 RSRS S 1.06271 M1M1</v>
      </c>
      <c r="AM166" s="35" t="str">
        <f>IF(Tableau4849[[#This Row],[INDEX]]&lt;3,"",Tableau4849[[#This Row],[DEVISE]])</f>
        <v>EURUSD</v>
      </c>
      <c r="AN166" s="35">
        <f>IFERROR(IF(Tableau4849[[#This Row],[INDEX]]&lt;3,"",Tableau4849[[#This Row],[ATTEINT]]),100000)</f>
        <v>100000</v>
      </c>
      <c r="AO166" s="35">
        <f>IF(Tableau4849[[#This Row],[INDEX]]&lt;3,"",Tableau4849[[#This Row],[COMPTE]])</f>
        <v>925832</v>
      </c>
      <c r="AP166" s="35" t="str">
        <f>IF(Tableau4849[[#This Row],[INDEX]]&lt;3,"","NON")</f>
        <v>NON</v>
      </c>
      <c r="AQ166" s="35" t="str">
        <f>IF(Tableau4849[[#This Row],[INDEX]]&lt;3,"",IF(Tableau4849[[#This Row],[0,5]]&lt;0,"NEGATIF",""))</f>
        <v/>
      </c>
    </row>
    <row r="167" spans="1:43" x14ac:dyDescent="0.25">
      <c r="A167" s="24">
        <v>75</v>
      </c>
      <c r="B167" s="32">
        <v>44923.127118055556</v>
      </c>
      <c r="C167" s="26">
        <v>925832</v>
      </c>
      <c r="D167" s="24" t="s">
        <v>0</v>
      </c>
      <c r="E167" s="24" t="s">
        <v>46</v>
      </c>
      <c r="F167" s="24">
        <v>1.06271</v>
      </c>
      <c r="G167" s="26">
        <v>4000</v>
      </c>
      <c r="H167" s="27" t="s">
        <v>237</v>
      </c>
      <c r="I167" s="28" t="str">
        <f>IF(IFERROR(_xlfn.XLOOKUP(Tableau4849[[#This Row],[SL]],'[1]Tickets (2)'!J164:J958,'[1]Tickets (2)'!I167:I961),"")=0,"",IFERROR(_xlfn.XLOOKUP(Tableau4849[[#This Row],[SL]],'[1]Tickets (2)'!J164:J958,'[1]Tickets (2)'!I167:I961),""))</f>
        <v/>
      </c>
      <c r="J167">
        <v>1</v>
      </c>
      <c r="K16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7" s="33">
        <v>44923.631425115738</v>
      </c>
      <c r="N167" s="3" t="str">
        <f>IF(Tableau4849[[#This Row],[T CLOSE]]&gt;[1]CONFIGURATION!$K$4,Tableau4849[[#This Row],[IDENTITE]],"")</f>
        <v/>
      </c>
      <c r="O167" s="26">
        <f>IFERROR(Tableau4849[[#This Row],[SL]]/(Tableau4849[[#This Row],[VOLUME]]/$I$5),0)</f>
        <v>0</v>
      </c>
      <c r="P167" s="26" t="str">
        <f>Tableau4849[[#This Row],[COMMAND]]</f>
        <v>SELL</v>
      </c>
      <c r="Q16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1.06269 M1M1</v>
      </c>
      <c r="R167" s="29">
        <v>-256</v>
      </c>
      <c r="S167" s="26" t="str">
        <f>IF(Tableau4849[[#This Row],[ETAT]]="LOSE",IF(IFERROR(ABS(SUBSTITUTE(Tableau4849[[#This Row],[PRICE]],".",",")-'[1]Deal ticket'!$B$16)*1000,"")&lt;=$S$5,"GO","WAIT"),"")</f>
        <v/>
      </c>
      <c r="T16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7" s="34" t="str">
        <f>IF(Tableau4849[[#This Row],[ETAT]]="LOSE",IF(IFERROR(ABS(SUBSTITUTE(Tableau4849[[#This Row],[PRICE]],".",",")-'[1]Deal ticket'!$B$16)*1000,"")&lt;=$U$5,"GO","WAIT"),"")</f>
        <v/>
      </c>
      <c r="V167" s="26">
        <f>IF(Tableau4849[[#This Row],[INDEX]]&lt;3,"",SUMIFS(Tableau4849[SL],Tableau4849[Colonne5],Tableau4849[[#This Row],[Colonne5]])+$S$4)</f>
        <v>1</v>
      </c>
      <c r="W167" s="34" t="str">
        <f>IF(Tableau4849[[#This Row],[ETAT]]="LOSE",IF(IFERROR(ABS(SUBSTITUTE(Tableau4849[[#This Row],[PRICE]],".",",")-'[1]Deal ticket'!$B$16)*1000,"")&lt;=$W$5,"GO","WAIT"),"")</f>
        <v/>
      </c>
      <c r="X16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7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67" s="26" t="str">
        <f>IF(AND(Tableau4849[[#This Row],[3,8]]=1),Tableau4849[[#This Row],[INDEX]],"")</f>
        <v/>
      </c>
      <c r="AC167" s="26" t="str">
        <f ca="1">IF(IFERROR(_xlfn.XLOOKUP(Tableau4849[[#This Row],[IDENTITE]],[1]!Tableau47[GLOBUY],[1]!Tableau47[GLOBUY]),"")="","",1)</f>
        <v/>
      </c>
      <c r="AD167" s="26" t="str">
        <f>IF(IFERROR(_xlfn.XLOOKUP(Tableau4849[[#This Row],[IDENTITE]],[1]!Tableau47[GLOSELL],[1]!Tableau47[GLOSELL]),"")="","",1)</f>
        <v/>
      </c>
      <c r="AE167" s="26"/>
      <c r="AF167" s="26">
        <f>IF(Tableau4849[[#This Row],[INDEX]]&lt;3,"",IF(Tableau4849[[#This Row],[COMMAND]]="","",IF('[1]Bar history'!$AA$33=1,1,"")))</f>
        <v>1</v>
      </c>
      <c r="AG167" s="26"/>
      <c r="AH167" s="26" t="str">
        <f>IF(IFERROR(_xlfn.XLOOKUP(Tableau4849[[#This Row],[IDENTITE]],[1]!Tableau47[COMMENTAIRE],[1]!Tableau47[CLOTURE]),"")=[1]PARAMETRE!$BK$31,Tableau4849[[#This Row],[INDEX]],"")</f>
        <v/>
      </c>
      <c r="AI167" s="26"/>
      <c r="AJ167" s="35" t="str">
        <f>IF(AND(ISNUMBER(SEARCH("BUY",Tableau4849[[#This Row],[COMMAND]]))),"BUYSTOP",IF(AND(ISNUMBER(SEARCH("SELL",Tableau4849[[#This Row],[COMMAND]]))),"SELLSTOP",""))</f>
        <v>SELLSTOP</v>
      </c>
      <c r="AK167" s="35" t="str">
        <f>IFERROR(SUBSTITUTE(Tableau4849[[#This Row],[PRICE]],",","."),"")</f>
        <v>1.06271</v>
      </c>
      <c r="AL167" s="35" t="str">
        <f>IF(Tableau4849[[#This Row],[INDEX]]&lt;3,"",Tableau4849[[#This Row],[IDENTITE]])</f>
        <v>1 RSRS S 1.06269 M1M1</v>
      </c>
      <c r="AM167" s="35" t="str">
        <f>IF(Tableau4849[[#This Row],[INDEX]]&lt;3,"",Tableau4849[[#This Row],[DEVISE]])</f>
        <v>EURUSD</v>
      </c>
      <c r="AN167" s="35">
        <f>IFERROR(IF(Tableau4849[[#This Row],[INDEX]]&lt;3,"",Tableau4849[[#This Row],[ATTEINT]]),100000)</f>
        <v>100000</v>
      </c>
      <c r="AO167" s="35">
        <f>IF(Tableau4849[[#This Row],[INDEX]]&lt;3,"",Tableau4849[[#This Row],[COMPTE]])</f>
        <v>925832</v>
      </c>
      <c r="AP167" s="35" t="str">
        <f>IF(Tableau4849[[#This Row],[INDEX]]&lt;3,"","NON")</f>
        <v>NON</v>
      </c>
      <c r="AQ167" s="35" t="str">
        <f>IF(Tableau4849[[#This Row],[INDEX]]&lt;3,"",IF(Tableau4849[[#This Row],[0,5]]&lt;0,"NEGATIF",""))</f>
        <v>NEGATIF</v>
      </c>
    </row>
    <row r="168" spans="1:43" x14ac:dyDescent="0.25">
      <c r="A168" s="24">
        <v>76</v>
      </c>
      <c r="B168" s="32">
        <v>44923.126898148148</v>
      </c>
      <c r="C168" s="26">
        <v>925832</v>
      </c>
      <c r="D168" s="24" t="s">
        <v>0</v>
      </c>
      <c r="E168" s="24" t="s">
        <v>46</v>
      </c>
      <c r="F168" s="24">
        <v>1.0626800000000001</v>
      </c>
      <c r="G168" s="26">
        <v>4000</v>
      </c>
      <c r="H168" s="27" t="s">
        <v>239</v>
      </c>
      <c r="I168" s="28" t="str">
        <f>IF(IFERROR(_xlfn.XLOOKUP(Tableau4849[[#This Row],[SL]],'[1]Tickets (2)'!J165:J959,'[1]Tickets (2)'!I168:I962),"")=0,"",IFERROR(_xlfn.XLOOKUP(Tableau4849[[#This Row],[SL]],'[1]Tickets (2)'!J165:J959,'[1]Tickets (2)'!I168:I962),""))</f>
        <v/>
      </c>
      <c r="J168">
        <v>1</v>
      </c>
      <c r="K16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8" s="33">
        <v>44923.631425115738</v>
      </c>
      <c r="N168" s="3" t="str">
        <f>IF(Tableau4849[[#This Row],[T CLOSE]]&gt;[1]CONFIGURATION!$K$4,Tableau4849[[#This Row],[IDENTITE]],"")</f>
        <v/>
      </c>
      <c r="O168" s="26">
        <f>IFERROR(Tableau4849[[#This Row],[SL]]/(Tableau4849[[#This Row],[VOLUME]]/$I$5),0)</f>
        <v>0</v>
      </c>
      <c r="P168" s="26" t="str">
        <f>Tableau4849[[#This Row],[COMMAND]]</f>
        <v>SELL</v>
      </c>
      <c r="Q16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1.06268 M1M1</v>
      </c>
      <c r="R168" s="29">
        <v>-266</v>
      </c>
      <c r="S168" s="26" t="str">
        <f>IF(Tableau4849[[#This Row],[ETAT]]="LOSE",IF(IFERROR(ABS(SUBSTITUTE(Tableau4849[[#This Row],[PRICE]],".",",")-'[1]Deal ticket'!$B$16)*1000,"")&lt;=$S$5,"GO","WAIT"),"")</f>
        <v/>
      </c>
      <c r="T16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8" s="34" t="str">
        <f>IF(Tableau4849[[#This Row],[ETAT]]="LOSE",IF(IFERROR(ABS(SUBSTITUTE(Tableau4849[[#This Row],[PRICE]],".",",")-'[1]Deal ticket'!$B$16)*1000,"")&lt;=$U$5,"GO","WAIT"),"")</f>
        <v/>
      </c>
      <c r="V168" s="26">
        <f>IF(Tableau4849[[#This Row],[INDEX]]&lt;3,"",SUMIFS(Tableau4849[SL],Tableau4849[Colonne5],Tableau4849[[#This Row],[Colonne5]])+$S$4)</f>
        <v>1</v>
      </c>
      <c r="W168" s="34" t="str">
        <f>IF(Tableau4849[[#This Row],[ETAT]]="LOSE",IF(IFERROR(ABS(SUBSTITUTE(Tableau4849[[#This Row],[PRICE]],".",",")-'[1]Deal ticket'!$B$16)*1000,"")&lt;=$W$5,"GO","WAIT"),"")</f>
        <v/>
      </c>
      <c r="X16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68" s="26">
        <f>IF(AND(Tableau4849[[#This Row],[3,8]]=1),Tableau4849[[#This Row],[INDEX]],"")</f>
        <v>76</v>
      </c>
      <c r="AC168" s="26" t="str">
        <f ca="1">IF(IFERROR(_xlfn.XLOOKUP(Tableau4849[[#This Row],[IDENTITE]],[1]!Tableau47[GLOBUY],[1]!Tableau47[GLOBUY]),"")="","",1)</f>
        <v/>
      </c>
      <c r="AD168" s="26" t="str">
        <f>IF(IFERROR(_xlfn.XLOOKUP(Tableau4849[[#This Row],[IDENTITE]],[1]!Tableau47[GLOSELL],[1]!Tableau47[GLOSELL]),"")="","",1)</f>
        <v/>
      </c>
      <c r="AE168" s="26"/>
      <c r="AF168" s="26">
        <f>IF(Tableau4849[[#This Row],[INDEX]]&lt;3,"",IF(Tableau4849[[#This Row],[COMMAND]]="","",IF('[1]Bar history'!$AA$33=1,1,"")))</f>
        <v>1</v>
      </c>
      <c r="AG168" s="26"/>
      <c r="AH168" s="26" t="str">
        <f>IF(IFERROR(_xlfn.XLOOKUP(Tableau4849[[#This Row],[IDENTITE]],[1]!Tableau47[COMMENTAIRE],[1]!Tableau47[CLOTURE]),"")=[1]PARAMETRE!$BK$31,Tableau4849[[#This Row],[INDEX]],"")</f>
        <v/>
      </c>
      <c r="AI168" s="26"/>
      <c r="AJ168" s="35" t="str">
        <f>IF(AND(ISNUMBER(SEARCH("BUY",Tableau4849[[#This Row],[COMMAND]]))),"BUYSTOP",IF(AND(ISNUMBER(SEARCH("SELL",Tableau4849[[#This Row],[COMMAND]]))),"SELLSTOP",""))</f>
        <v>SELLSTOP</v>
      </c>
      <c r="AK168" s="35" t="str">
        <f>IFERROR(SUBSTITUTE(Tableau4849[[#This Row],[PRICE]],",","."),"")</f>
        <v>1.06268</v>
      </c>
      <c r="AL168" s="35" t="str">
        <f>IF(Tableau4849[[#This Row],[INDEX]]&lt;3,"",Tableau4849[[#This Row],[IDENTITE]])</f>
        <v>1 RSRS S 1.06268 M1M1</v>
      </c>
      <c r="AM168" s="35" t="str">
        <f>IF(Tableau4849[[#This Row],[INDEX]]&lt;3,"",Tableau4849[[#This Row],[DEVISE]])</f>
        <v>EURUSD</v>
      </c>
      <c r="AN168" s="35">
        <f>IFERROR(IF(Tableau4849[[#This Row],[INDEX]]&lt;3,"",Tableau4849[[#This Row],[ATTEINT]]),100000)</f>
        <v>100000</v>
      </c>
      <c r="AO168" s="35">
        <f>IF(Tableau4849[[#This Row],[INDEX]]&lt;3,"",Tableau4849[[#This Row],[COMPTE]])</f>
        <v>925832</v>
      </c>
      <c r="AP168" s="35" t="str">
        <f>IF(Tableau4849[[#This Row],[INDEX]]&lt;3,"","NON")</f>
        <v>NON</v>
      </c>
      <c r="AQ168" s="35" t="str">
        <f>IF(Tableau4849[[#This Row],[INDEX]]&lt;3,"",IF(Tableau4849[[#This Row],[0,5]]&lt;0,"NEGATIF",""))</f>
        <v>NEGATIF</v>
      </c>
    </row>
    <row r="169" spans="1:43" x14ac:dyDescent="0.25">
      <c r="A169" s="24">
        <v>77</v>
      </c>
      <c r="B169" s="32">
        <v>44923.126655092594</v>
      </c>
      <c r="C169" s="26">
        <v>925832</v>
      </c>
      <c r="D169" s="24" t="s">
        <v>0</v>
      </c>
      <c r="E169" s="24" t="s">
        <v>46</v>
      </c>
      <c r="F169" s="24">
        <v>1.0626599999999999</v>
      </c>
      <c r="G169" s="26">
        <v>4000</v>
      </c>
      <c r="H169" s="27" t="s">
        <v>241</v>
      </c>
      <c r="I169" s="28" t="str">
        <f>IF(IFERROR(_xlfn.XLOOKUP(Tableau4849[[#This Row],[SL]],'[1]Tickets (2)'!J166:J960,'[1]Tickets (2)'!I169:I963),"")=0,"",IFERROR(_xlfn.XLOOKUP(Tableau4849[[#This Row],[SL]],'[1]Tickets (2)'!J166:J960,'[1]Tickets (2)'!I169:I963),""))</f>
        <v/>
      </c>
      <c r="J169">
        <v>1</v>
      </c>
      <c r="K16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69" s="33">
        <v>44923.631425115738</v>
      </c>
      <c r="N169" s="3" t="str">
        <f>IF(Tableau4849[[#This Row],[T CLOSE]]&gt;[1]CONFIGURATION!$K$4,Tableau4849[[#This Row],[IDENTITE]],"")</f>
        <v/>
      </c>
      <c r="O169" s="26">
        <f>IFERROR(Tableau4849[[#This Row],[SL]]/(Tableau4849[[#This Row],[VOLUME]]/$I$5),0)</f>
        <v>0</v>
      </c>
      <c r="P169" s="26" t="str">
        <f>Tableau4849[[#This Row],[COMMAND]]</f>
        <v>SELL</v>
      </c>
      <c r="Q16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1.06266 M1M1</v>
      </c>
      <c r="R169" s="29">
        <v>-276</v>
      </c>
      <c r="S169" s="26" t="str">
        <f>IF(Tableau4849[[#This Row],[ETAT]]="LOSE",IF(IFERROR(ABS(SUBSTITUTE(Tableau4849[[#This Row],[PRICE]],".",",")-'[1]Deal ticket'!$B$16)*1000,"")&lt;=$S$5,"GO","WAIT"),"")</f>
        <v/>
      </c>
      <c r="T16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69" s="34" t="str">
        <f>IF(Tableau4849[[#This Row],[ETAT]]="LOSE",IF(IFERROR(ABS(SUBSTITUTE(Tableau4849[[#This Row],[PRICE]],".",",")-'[1]Deal ticket'!$B$16)*1000,"")&lt;=$U$5,"GO","WAIT"),"")</f>
        <v/>
      </c>
      <c r="V169" s="26">
        <f>IF(Tableau4849[[#This Row],[INDEX]]&lt;3,"",SUMIFS(Tableau4849[SL],Tableau4849[Colonne5],Tableau4849[[#This Row],[Colonne5]])+$S$4)</f>
        <v>1</v>
      </c>
      <c r="W169" s="34" t="str">
        <f>IF(Tableau4849[[#This Row],[ETAT]]="LOSE",IF(IFERROR(ABS(SUBSTITUTE(Tableau4849[[#This Row],[PRICE]],".",",")-'[1]Deal ticket'!$B$16)*1000,"")&lt;=$W$5,"GO","WAIT"),"")</f>
        <v/>
      </c>
      <c r="X16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6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6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6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69" s="26">
        <f>IF(AND(Tableau4849[[#This Row],[3,8]]=1),Tableau4849[[#This Row],[INDEX]],"")</f>
        <v>77</v>
      </c>
      <c r="AC169" s="26" t="str">
        <f ca="1">IF(IFERROR(_xlfn.XLOOKUP(Tableau4849[[#This Row],[IDENTITE]],[1]!Tableau47[GLOBUY],[1]!Tableau47[GLOBUY]),"")="","",1)</f>
        <v/>
      </c>
      <c r="AD169" s="26" t="str">
        <f>IF(IFERROR(_xlfn.XLOOKUP(Tableau4849[[#This Row],[IDENTITE]],[1]!Tableau47[GLOSELL],[1]!Tableau47[GLOSELL]),"")="","",1)</f>
        <v/>
      </c>
      <c r="AE169" s="26"/>
      <c r="AF169" s="26">
        <f>IF(Tableau4849[[#This Row],[INDEX]]&lt;3,"",IF(Tableau4849[[#This Row],[COMMAND]]="","",IF('[1]Bar history'!$AA$33=1,1,"")))</f>
        <v>1</v>
      </c>
      <c r="AG169" s="26"/>
      <c r="AH169" s="26" t="str">
        <f>IF(IFERROR(_xlfn.XLOOKUP(Tableau4849[[#This Row],[IDENTITE]],[1]!Tableau47[COMMENTAIRE],[1]!Tableau47[CLOTURE]),"")=[1]PARAMETRE!$BK$31,Tableau4849[[#This Row],[INDEX]],"")</f>
        <v/>
      </c>
      <c r="AI169" s="26"/>
      <c r="AJ169" s="35" t="str">
        <f>IF(AND(ISNUMBER(SEARCH("BUY",Tableau4849[[#This Row],[COMMAND]]))),"BUYSTOP",IF(AND(ISNUMBER(SEARCH("SELL",Tableau4849[[#This Row],[COMMAND]]))),"SELLSTOP",""))</f>
        <v>SELLSTOP</v>
      </c>
      <c r="AK169" s="35" t="str">
        <f>IFERROR(SUBSTITUTE(Tableau4849[[#This Row],[PRICE]],",","."),"")</f>
        <v>1.06266</v>
      </c>
      <c r="AL169" s="35" t="str">
        <f>IF(Tableau4849[[#This Row],[INDEX]]&lt;3,"",Tableau4849[[#This Row],[IDENTITE]])</f>
        <v>1 RSRS S 1.06266 M1M1</v>
      </c>
      <c r="AM169" s="35" t="str">
        <f>IF(Tableau4849[[#This Row],[INDEX]]&lt;3,"",Tableau4849[[#This Row],[DEVISE]])</f>
        <v>EURUSD</v>
      </c>
      <c r="AN169" s="35">
        <f>IFERROR(IF(Tableau4849[[#This Row],[INDEX]]&lt;3,"",Tableau4849[[#This Row],[ATTEINT]]),100000)</f>
        <v>100000</v>
      </c>
      <c r="AO169" s="35">
        <f>IF(Tableau4849[[#This Row],[INDEX]]&lt;3,"",Tableau4849[[#This Row],[COMPTE]])</f>
        <v>925832</v>
      </c>
      <c r="AP169" s="35" t="str">
        <f>IF(Tableau4849[[#This Row],[INDEX]]&lt;3,"","NON")</f>
        <v>NON</v>
      </c>
      <c r="AQ169" s="35" t="str">
        <f>IF(Tableau4849[[#This Row],[INDEX]]&lt;3,"",IF(Tableau4849[[#This Row],[0,5]]&lt;0,"NEGATIF",""))</f>
        <v>NEGATIF</v>
      </c>
    </row>
    <row r="170" spans="1:43" x14ac:dyDescent="0.25">
      <c r="A170" s="24">
        <v>78</v>
      </c>
      <c r="B170" s="32">
        <v>44923.12641203704</v>
      </c>
      <c r="C170" s="26">
        <v>925832</v>
      </c>
      <c r="D170" s="24" t="s">
        <v>0</v>
      </c>
      <c r="E170" s="24" t="s">
        <v>46</v>
      </c>
      <c r="F170" s="24">
        <v>1.0626599999999999</v>
      </c>
      <c r="G170" s="26">
        <v>4000</v>
      </c>
      <c r="H170" s="27" t="s">
        <v>242</v>
      </c>
      <c r="I170" s="28" t="str">
        <f>IF(IFERROR(_xlfn.XLOOKUP(Tableau4849[[#This Row],[SL]],'[1]Tickets (2)'!J167:J961,'[1]Tickets (2)'!I170:I964),"")=0,"",IFERROR(_xlfn.XLOOKUP(Tableau4849[[#This Row],[SL]],'[1]Tickets (2)'!J167:J961,'[1]Tickets (2)'!I170:I964),""))</f>
        <v/>
      </c>
      <c r="J170">
        <v>1</v>
      </c>
      <c r="K17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0" s="33">
        <v>44923.631425115738</v>
      </c>
      <c r="N170" s="3" t="str">
        <f>IF(Tableau4849[[#This Row],[T CLOSE]]&gt;[1]CONFIGURATION!$K$4,Tableau4849[[#This Row],[IDENTITE]],"")</f>
        <v/>
      </c>
      <c r="O170" s="26">
        <f>IFERROR(Tableau4849[[#This Row],[SL]]/(Tableau4849[[#This Row],[VOLUME]]/$I$5),0)</f>
        <v>0</v>
      </c>
      <c r="P170" s="26" t="str">
        <f>Tableau4849[[#This Row],[COMMAND]]</f>
        <v>SELL</v>
      </c>
      <c r="Q17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1.06264 M1M1</v>
      </c>
      <c r="R170" s="29">
        <v>-286</v>
      </c>
      <c r="S170" s="26" t="str">
        <f>IF(Tableau4849[[#This Row],[ETAT]]="LOSE",IF(IFERROR(ABS(SUBSTITUTE(Tableau4849[[#This Row],[PRICE]],".",",")-'[1]Deal ticket'!$B$16)*1000,"")&lt;=$S$5,"GO","WAIT"),"")</f>
        <v/>
      </c>
      <c r="T17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0" s="34" t="str">
        <f>IF(Tableau4849[[#This Row],[ETAT]]="LOSE",IF(IFERROR(ABS(SUBSTITUTE(Tableau4849[[#This Row],[PRICE]],".",",")-'[1]Deal ticket'!$B$16)*1000,"")&lt;=$U$5,"GO","WAIT"),"")</f>
        <v/>
      </c>
      <c r="V170" s="26">
        <f>IF(Tableau4849[[#This Row],[INDEX]]&lt;3,"",SUMIFS(Tableau4849[SL],Tableau4849[Colonne5],Tableau4849[[#This Row],[Colonne5]])+$S$4)</f>
        <v>1</v>
      </c>
      <c r="W170" s="34" t="str">
        <f>IF(Tableau4849[[#This Row],[ETAT]]="LOSE",IF(IFERROR(ABS(SUBSTITUTE(Tableau4849[[#This Row],[PRICE]],".",",")-'[1]Deal ticket'!$B$16)*1000,"")&lt;=$W$5,"GO","WAIT"),"")</f>
        <v/>
      </c>
      <c r="X17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70" s="26">
        <f>IF(AND(Tableau4849[[#This Row],[3,8]]=1),Tableau4849[[#This Row],[INDEX]],"")</f>
        <v>78</v>
      </c>
      <c r="AC170" s="26" t="str">
        <f ca="1">IF(IFERROR(_xlfn.XLOOKUP(Tableau4849[[#This Row],[IDENTITE]],[1]!Tableau47[GLOBUY],[1]!Tableau47[GLOBUY]),"")="","",1)</f>
        <v/>
      </c>
      <c r="AD170" s="26" t="str">
        <f>IF(IFERROR(_xlfn.XLOOKUP(Tableau4849[[#This Row],[IDENTITE]],[1]!Tableau47[GLOSELL],[1]!Tableau47[GLOSELL]),"")="","",1)</f>
        <v/>
      </c>
      <c r="AE170" s="26"/>
      <c r="AF170" s="26">
        <f>IF(Tableau4849[[#This Row],[INDEX]]&lt;3,"",IF(Tableau4849[[#This Row],[COMMAND]]="","",IF('[1]Bar history'!$AA$33=1,1,"")))</f>
        <v>1</v>
      </c>
      <c r="AG170" s="26"/>
      <c r="AH170" s="26" t="str">
        <f>IF(IFERROR(_xlfn.XLOOKUP(Tableau4849[[#This Row],[IDENTITE]],[1]!Tableau47[COMMENTAIRE],[1]!Tableau47[CLOTURE]),"")=[1]PARAMETRE!$BK$31,Tableau4849[[#This Row],[INDEX]],"")</f>
        <v/>
      </c>
      <c r="AI170" s="26"/>
      <c r="AJ170" s="35" t="str">
        <f>IF(AND(ISNUMBER(SEARCH("BUY",Tableau4849[[#This Row],[COMMAND]]))),"BUYSTOP",IF(AND(ISNUMBER(SEARCH("SELL",Tableau4849[[#This Row],[COMMAND]]))),"SELLSTOP",""))</f>
        <v>SELLSTOP</v>
      </c>
      <c r="AK170" s="35" t="str">
        <f>IFERROR(SUBSTITUTE(Tableau4849[[#This Row],[PRICE]],",","."),"")</f>
        <v>1.06266</v>
      </c>
      <c r="AL170" s="35" t="str">
        <f>IF(Tableau4849[[#This Row],[INDEX]]&lt;3,"",Tableau4849[[#This Row],[IDENTITE]])</f>
        <v>1 RSRS S 1.06264 M1M1</v>
      </c>
      <c r="AM170" s="35" t="str">
        <f>IF(Tableau4849[[#This Row],[INDEX]]&lt;3,"",Tableau4849[[#This Row],[DEVISE]])</f>
        <v>EURUSD</v>
      </c>
      <c r="AN170" s="35">
        <f>IFERROR(IF(Tableau4849[[#This Row],[INDEX]]&lt;3,"",Tableau4849[[#This Row],[ATTEINT]]),100000)</f>
        <v>100000</v>
      </c>
      <c r="AO170" s="35">
        <f>IF(Tableau4849[[#This Row],[INDEX]]&lt;3,"",Tableau4849[[#This Row],[COMPTE]])</f>
        <v>925832</v>
      </c>
      <c r="AP170" s="35" t="str">
        <f>IF(Tableau4849[[#This Row],[INDEX]]&lt;3,"","NON")</f>
        <v>NON</v>
      </c>
      <c r="AQ170" s="35" t="str">
        <f>IF(Tableau4849[[#This Row],[INDEX]]&lt;3,"",IF(Tableau4849[[#This Row],[0,5]]&lt;0,"NEGATIF",""))</f>
        <v>NEGATIF</v>
      </c>
    </row>
    <row r="171" spans="1:43" x14ac:dyDescent="0.25">
      <c r="A171" s="24">
        <v>79</v>
      </c>
      <c r="B171" s="32">
        <v>44923.126168981478</v>
      </c>
      <c r="C171" s="26">
        <v>925832</v>
      </c>
      <c r="D171" s="24" t="s">
        <v>0</v>
      </c>
      <c r="E171" s="24" t="s">
        <v>46</v>
      </c>
      <c r="F171" s="24">
        <v>1.0626500000000001</v>
      </c>
      <c r="G171" s="26">
        <v>4000</v>
      </c>
      <c r="H171" s="27" t="s">
        <v>244</v>
      </c>
      <c r="I171" s="28" t="str">
        <f>IF(IFERROR(_xlfn.XLOOKUP(Tableau4849[[#This Row],[SL]],'[1]Tickets (2)'!J168:J962,'[1]Tickets (2)'!I171:I965),"")=0,"",IFERROR(_xlfn.XLOOKUP(Tableau4849[[#This Row],[SL]],'[1]Tickets (2)'!J168:J962,'[1]Tickets (2)'!I171:I965),""))</f>
        <v/>
      </c>
      <c r="J171">
        <v>1</v>
      </c>
      <c r="K17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1" s="33">
        <v>44923.631425115738</v>
      </c>
      <c r="N171" s="3" t="str">
        <f>IF(Tableau4849[[#This Row],[T CLOSE]]&gt;[1]CONFIGURATION!$K$4,Tableau4849[[#This Row],[IDENTITE]],"")</f>
        <v/>
      </c>
      <c r="O171" s="26">
        <f>IFERROR(Tableau4849[[#This Row],[SL]]/(Tableau4849[[#This Row],[VOLUME]]/$I$5),0)</f>
        <v>0</v>
      </c>
      <c r="P171" s="26" t="str">
        <f>Tableau4849[[#This Row],[COMMAND]]</f>
        <v>SELL</v>
      </c>
      <c r="Q17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 M1M1</v>
      </c>
      <c r="R171" s="29">
        <v>-296</v>
      </c>
      <c r="S171" s="26" t="str">
        <f>IF(Tableau4849[[#This Row],[ETAT]]="LOSE",IF(IFERROR(ABS(SUBSTITUTE(Tableau4849[[#This Row],[PRICE]],".",",")-'[1]Deal ticket'!$B$16)*1000,"")&lt;=$S$5,"GO","WAIT"),"")</f>
        <v/>
      </c>
      <c r="T17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1" s="34" t="str">
        <f>IF(Tableau4849[[#This Row],[ETAT]]="LOSE",IF(IFERROR(ABS(SUBSTITUTE(Tableau4849[[#This Row],[PRICE]],".",",")-'[1]Deal ticket'!$B$16)*1000,"")&lt;=$U$5,"GO","WAIT"),"")</f>
        <v/>
      </c>
      <c r="V171" s="26">
        <f>IF(Tableau4849[[#This Row],[INDEX]]&lt;3,"",SUMIFS(Tableau4849[SL],Tableau4849[Colonne5],Tableau4849[[#This Row],[Colonne5]])+$S$4)</f>
        <v>1</v>
      </c>
      <c r="W171" s="34" t="str">
        <f>IF(Tableau4849[[#This Row],[ETAT]]="LOSE",IF(IFERROR(ABS(SUBSTITUTE(Tableau4849[[#This Row],[PRICE]],".",",")-'[1]Deal ticket'!$B$16)*1000,"")&lt;=$W$5,"GO","WAIT"),"")</f>
        <v/>
      </c>
      <c r="X17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71" s="26">
        <f>IF(AND(Tableau4849[[#This Row],[3,8]]=1),Tableau4849[[#This Row],[INDEX]],"")</f>
        <v>79</v>
      </c>
      <c r="AC171" s="26" t="str">
        <f ca="1">IF(IFERROR(_xlfn.XLOOKUP(Tableau4849[[#This Row],[IDENTITE]],[1]!Tableau47[GLOBUY],[1]!Tableau47[GLOBUY]),"")="","",1)</f>
        <v/>
      </c>
      <c r="AD171" s="26" t="str">
        <f>IF(IFERROR(_xlfn.XLOOKUP(Tableau4849[[#This Row],[IDENTITE]],[1]!Tableau47[GLOSELL],[1]!Tableau47[GLOSELL]),"")="","",1)</f>
        <v/>
      </c>
      <c r="AE171" s="26"/>
      <c r="AF171" s="26">
        <f>IF(Tableau4849[[#This Row],[INDEX]]&lt;3,"",IF(Tableau4849[[#This Row],[COMMAND]]="","",IF('[1]Bar history'!$AA$33=1,1,"")))</f>
        <v>1</v>
      </c>
      <c r="AG171" s="26"/>
      <c r="AH171" s="26" t="str">
        <f>IF(IFERROR(_xlfn.XLOOKUP(Tableau4849[[#This Row],[IDENTITE]],[1]!Tableau47[COMMENTAIRE],[1]!Tableau47[CLOTURE]),"")=[1]PARAMETRE!$BK$31,Tableau4849[[#This Row],[INDEX]],"")</f>
        <v/>
      </c>
      <c r="AI171" s="26"/>
      <c r="AJ171" s="35" t="str">
        <f>IF(AND(ISNUMBER(SEARCH("BUY",Tableau4849[[#This Row],[COMMAND]]))),"BUYSTOP",IF(AND(ISNUMBER(SEARCH("SELL",Tableau4849[[#This Row],[COMMAND]]))),"SELLSTOP",""))</f>
        <v>SELLSTOP</v>
      </c>
      <c r="AK171" s="35" t="str">
        <f>IFERROR(SUBSTITUTE(Tableau4849[[#This Row],[PRICE]],",","."),"")</f>
        <v>1.06265</v>
      </c>
      <c r="AL171" s="35" t="str">
        <f>IF(Tableau4849[[#This Row],[INDEX]]&lt;3,"",Tableau4849[[#This Row],[IDENTITE]])</f>
        <v>1 RSRS S 1.0626 M1M1</v>
      </c>
      <c r="AM171" s="35" t="str">
        <f>IF(Tableau4849[[#This Row],[INDEX]]&lt;3,"",Tableau4849[[#This Row],[DEVISE]])</f>
        <v>EURUSD</v>
      </c>
      <c r="AN171" s="35">
        <f>IFERROR(IF(Tableau4849[[#This Row],[INDEX]]&lt;3,"",Tableau4849[[#This Row],[ATTEINT]]),100000)</f>
        <v>100000</v>
      </c>
      <c r="AO171" s="35">
        <f>IF(Tableau4849[[#This Row],[INDEX]]&lt;3,"",Tableau4849[[#This Row],[COMPTE]])</f>
        <v>925832</v>
      </c>
      <c r="AP171" s="35" t="str">
        <f>IF(Tableau4849[[#This Row],[INDEX]]&lt;3,"","NON")</f>
        <v>NON</v>
      </c>
      <c r="AQ171" s="35" t="str">
        <f>IF(Tableau4849[[#This Row],[INDEX]]&lt;3,"",IF(Tableau4849[[#This Row],[0,5]]&lt;0,"NEGATIF",""))</f>
        <v>NEGATIF</v>
      </c>
    </row>
    <row r="172" spans="1:43" x14ac:dyDescent="0.25">
      <c r="A172" s="24">
        <v>80</v>
      </c>
      <c r="B172" s="32">
        <v>44923.125902777778</v>
      </c>
      <c r="C172" s="26">
        <v>925832</v>
      </c>
      <c r="D172" s="24" t="s">
        <v>0</v>
      </c>
      <c r="E172" s="24" t="s">
        <v>46</v>
      </c>
      <c r="F172" s="24">
        <v>1.0626599999999999</v>
      </c>
      <c r="G172" s="26">
        <v>4000</v>
      </c>
      <c r="H172" s="27" t="s">
        <v>245</v>
      </c>
      <c r="I172" s="28" t="str">
        <f>IF(IFERROR(_xlfn.XLOOKUP(Tableau4849[[#This Row],[SL]],'[1]Tickets (2)'!J169:J963,'[1]Tickets (2)'!I172:I966),"")=0,"",IFERROR(_xlfn.XLOOKUP(Tableau4849[[#This Row],[SL]],'[1]Tickets (2)'!J169:J963,'[1]Tickets (2)'!I172:I966),""))</f>
        <v/>
      </c>
      <c r="J172">
        <v>1</v>
      </c>
      <c r="K172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2" s="33">
        <v>44923.631425115738</v>
      </c>
      <c r="N172" s="3" t="str">
        <f>IF(Tableau4849[[#This Row],[T CLOSE]]&gt;[1]CONFIGURATION!$K$4,Tableau4849[[#This Row],[IDENTITE]],"")</f>
        <v/>
      </c>
      <c r="O172" s="26">
        <f>IFERROR(Tableau4849[[#This Row],[SL]]/(Tableau4849[[#This Row],[VOLUME]]/$I$5),0)</f>
        <v>0</v>
      </c>
      <c r="P172" s="26" t="str">
        <f>Tableau4849[[#This Row],[COMMAND]]</f>
        <v>SELL</v>
      </c>
      <c r="Q172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1.06267 M1M1</v>
      </c>
      <c r="R172" s="29">
        <v>23</v>
      </c>
      <c r="S172" s="26" t="str">
        <f>IF(Tableau4849[[#This Row],[ETAT]]="LOSE",IF(IFERROR(ABS(SUBSTITUTE(Tableau4849[[#This Row],[PRICE]],".",",")-'[1]Deal ticket'!$B$16)*1000,"")&lt;=$S$5,"GO","WAIT"),"")</f>
        <v/>
      </c>
      <c r="T17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2" s="34" t="str">
        <f>IF(Tableau4849[[#This Row],[ETAT]]="LOSE",IF(IFERROR(ABS(SUBSTITUTE(Tableau4849[[#This Row],[PRICE]],".",",")-'[1]Deal ticket'!$B$16)*1000,"")&lt;=$U$5,"GO","WAIT"),"")</f>
        <v/>
      </c>
      <c r="V172" s="26">
        <f>IF(Tableau4849[[#This Row],[INDEX]]&lt;3,"",SUMIFS(Tableau4849[SL],Tableau4849[Colonne5],Tableau4849[[#This Row],[Colonne5]])+$S$4)</f>
        <v>1</v>
      </c>
      <c r="W172" s="34" t="str">
        <f>IF(Tableau4849[[#This Row],[ETAT]]="LOSE",IF(IFERROR(ABS(SUBSTITUTE(Tableau4849[[#This Row],[PRICE]],".",",")-'[1]Deal ticket'!$B$16)*1000,"")&lt;=$W$5,"GO","WAIT"),"")</f>
        <v/>
      </c>
      <c r="X17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2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2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2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72" s="26" t="str">
        <f>IF(AND(Tableau4849[[#This Row],[3,8]]=1),Tableau4849[[#This Row],[INDEX]],"")</f>
        <v/>
      </c>
      <c r="AC172" s="26" t="str">
        <f ca="1">IF(IFERROR(_xlfn.XLOOKUP(Tableau4849[[#This Row],[IDENTITE]],[1]!Tableau47[GLOBUY],[1]!Tableau47[GLOBUY]),"")="","",1)</f>
        <v/>
      </c>
      <c r="AD172" s="26" t="str">
        <f>IF(IFERROR(_xlfn.XLOOKUP(Tableau4849[[#This Row],[IDENTITE]],[1]!Tableau47[GLOSELL],[1]!Tableau47[GLOSELL]),"")="","",1)</f>
        <v/>
      </c>
      <c r="AE172" s="26"/>
      <c r="AF172" s="26">
        <f>IF(Tableau4849[[#This Row],[INDEX]]&lt;3,"",IF(Tableau4849[[#This Row],[COMMAND]]="","",IF('[1]Bar history'!$AA$33=1,1,"")))</f>
        <v>1</v>
      </c>
      <c r="AG172" s="26"/>
      <c r="AH172" s="26" t="str">
        <f>IF(IFERROR(_xlfn.XLOOKUP(Tableau4849[[#This Row],[IDENTITE]],[1]!Tableau47[COMMENTAIRE],[1]!Tableau47[CLOTURE]),"")=[1]PARAMETRE!$BK$31,Tableau4849[[#This Row],[INDEX]],"")</f>
        <v/>
      </c>
      <c r="AI172" s="26"/>
      <c r="AJ172" s="35" t="str">
        <f>IF(AND(ISNUMBER(SEARCH("BUY",Tableau4849[[#This Row],[COMMAND]]))),"BUYSTOP",IF(AND(ISNUMBER(SEARCH("SELL",Tableau4849[[#This Row],[COMMAND]]))),"SELLSTOP",""))</f>
        <v>SELLSTOP</v>
      </c>
      <c r="AK172" s="35" t="str">
        <f>IFERROR(SUBSTITUTE(Tableau4849[[#This Row],[PRICE]],",","."),"")</f>
        <v>1.06266</v>
      </c>
      <c r="AL172" s="35" t="str">
        <f>IF(Tableau4849[[#This Row],[INDEX]]&lt;3,"",Tableau4849[[#This Row],[IDENTITE]])</f>
        <v>1 RSRS S 1.06267 M1M1</v>
      </c>
      <c r="AM172" s="35" t="str">
        <f>IF(Tableau4849[[#This Row],[INDEX]]&lt;3,"",Tableau4849[[#This Row],[DEVISE]])</f>
        <v>EURUSD</v>
      </c>
      <c r="AN172" s="35">
        <f>IFERROR(IF(Tableau4849[[#This Row],[INDEX]]&lt;3,"",Tableau4849[[#This Row],[ATTEINT]]),100000)</f>
        <v>100000</v>
      </c>
      <c r="AO172" s="35">
        <f>IF(Tableau4849[[#This Row],[INDEX]]&lt;3,"",Tableau4849[[#This Row],[COMPTE]])</f>
        <v>925832</v>
      </c>
      <c r="AP172" s="35" t="str">
        <f>IF(Tableau4849[[#This Row],[INDEX]]&lt;3,"","NON")</f>
        <v>NON</v>
      </c>
      <c r="AQ172" s="35" t="str">
        <f>IF(Tableau4849[[#This Row],[INDEX]]&lt;3,"",IF(Tableau4849[[#This Row],[0,5]]&lt;0,"NEGATIF",""))</f>
        <v/>
      </c>
    </row>
    <row r="173" spans="1:43" x14ac:dyDescent="0.25">
      <c r="A173" s="24">
        <v>81</v>
      </c>
      <c r="B173" s="32">
        <v>44923.100312499999</v>
      </c>
      <c r="C173" s="26">
        <v>925832</v>
      </c>
      <c r="D173" s="24" t="s">
        <v>0</v>
      </c>
      <c r="E173" s="24" t="s">
        <v>46</v>
      </c>
      <c r="F173" s="24">
        <v>1.06253</v>
      </c>
      <c r="G173" s="26">
        <v>4000</v>
      </c>
      <c r="H173" s="27" t="s">
        <v>247</v>
      </c>
      <c r="I173" s="28" t="str">
        <f>IF(IFERROR(_xlfn.XLOOKUP(Tableau4849[[#This Row],[SL]],'[1]Tickets (2)'!J170:J964,'[1]Tickets (2)'!I173:I967),"")=0,"",IFERROR(_xlfn.XLOOKUP(Tableau4849[[#This Row],[SL]],'[1]Tickets (2)'!J170:J964,'[1]Tickets (2)'!I173:I967),""))</f>
        <v/>
      </c>
      <c r="J173">
        <v>1</v>
      </c>
      <c r="K173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3" s="33">
        <v>44923.631425115738</v>
      </c>
      <c r="N173" s="3" t="str">
        <f>IF(Tableau4849[[#This Row],[T CLOSE]]&gt;[1]CONFIGURATION!$K$4,Tableau4849[[#This Row],[IDENTITE]],"")</f>
        <v/>
      </c>
      <c r="O173" s="26">
        <f>IFERROR(Tableau4849[[#This Row],[SL]]/(Tableau4849[[#This Row],[VOLUME]]/$I$5),0)</f>
        <v>0</v>
      </c>
      <c r="P173" s="26" t="str">
        <f>Tableau4849[[#This Row],[COMMAND]]</f>
        <v>SELL</v>
      </c>
      <c r="Q173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1.06255 M1M1</v>
      </c>
      <c r="R173" s="29">
        <v>16</v>
      </c>
      <c r="S173" s="26" t="str">
        <f>IF(Tableau4849[[#This Row],[ETAT]]="LOSE",IF(IFERROR(ABS(SUBSTITUTE(Tableau4849[[#This Row],[PRICE]],".",",")-'[1]Deal ticket'!$B$16)*1000,"")&lt;=$S$5,"GO","WAIT"),"")</f>
        <v/>
      </c>
      <c r="T17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3" s="34" t="str">
        <f>IF(Tableau4849[[#This Row],[ETAT]]="LOSE",IF(IFERROR(ABS(SUBSTITUTE(Tableau4849[[#This Row],[PRICE]],".",",")-'[1]Deal ticket'!$B$16)*1000,"")&lt;=$U$5,"GO","WAIT"),"")</f>
        <v/>
      </c>
      <c r="V173" s="26">
        <f>IF(Tableau4849[[#This Row],[INDEX]]&lt;3,"",SUMIFS(Tableau4849[SL],Tableau4849[Colonne5],Tableau4849[[#This Row],[Colonne5]])+$S$4)</f>
        <v>1</v>
      </c>
      <c r="W173" s="34" t="str">
        <f>IF(Tableau4849[[#This Row],[ETAT]]="LOSE",IF(IFERROR(ABS(SUBSTITUTE(Tableau4849[[#This Row],[PRICE]],".",",")-'[1]Deal ticket'!$B$16)*1000,"")&lt;=$W$5,"GO","WAIT"),"")</f>
        <v/>
      </c>
      <c r="X17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3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3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3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73" s="26" t="str">
        <f>IF(AND(Tableau4849[[#This Row],[3,8]]=1),Tableau4849[[#This Row],[INDEX]],"")</f>
        <v/>
      </c>
      <c r="AC173" s="26" t="str">
        <f ca="1">IF(IFERROR(_xlfn.XLOOKUP(Tableau4849[[#This Row],[IDENTITE]],[1]!Tableau47[GLOBUY],[1]!Tableau47[GLOBUY]),"")="","",1)</f>
        <v/>
      </c>
      <c r="AD173" s="26" t="str">
        <f>IF(IFERROR(_xlfn.XLOOKUP(Tableau4849[[#This Row],[IDENTITE]],[1]!Tableau47[GLOSELL],[1]!Tableau47[GLOSELL]),"")="","",1)</f>
        <v/>
      </c>
      <c r="AE173" s="26"/>
      <c r="AF173" s="26">
        <f>IF(Tableau4849[[#This Row],[INDEX]]&lt;3,"",IF(Tableau4849[[#This Row],[COMMAND]]="","",IF('[1]Bar history'!$AA$33=1,1,"")))</f>
        <v>1</v>
      </c>
      <c r="AG173" s="26"/>
      <c r="AH173" s="26" t="str">
        <f>IF(IFERROR(_xlfn.XLOOKUP(Tableau4849[[#This Row],[IDENTITE]],[1]!Tableau47[COMMENTAIRE],[1]!Tableau47[CLOTURE]),"")=[1]PARAMETRE!$BK$31,Tableau4849[[#This Row],[INDEX]],"")</f>
        <v/>
      </c>
      <c r="AI173" s="26"/>
      <c r="AJ173" s="35" t="str">
        <f>IF(AND(ISNUMBER(SEARCH("BUY",Tableau4849[[#This Row],[COMMAND]]))),"BUYSTOP",IF(AND(ISNUMBER(SEARCH("SELL",Tableau4849[[#This Row],[COMMAND]]))),"SELLSTOP",""))</f>
        <v>SELLSTOP</v>
      </c>
      <c r="AK173" s="35" t="str">
        <f>IFERROR(SUBSTITUTE(Tableau4849[[#This Row],[PRICE]],",","."),"")</f>
        <v>1.06253</v>
      </c>
      <c r="AL173" s="35" t="str">
        <f>IF(Tableau4849[[#This Row],[INDEX]]&lt;3,"",Tableau4849[[#This Row],[IDENTITE]])</f>
        <v>1 RSRS S 1.06255 M1M1</v>
      </c>
      <c r="AM173" s="35" t="str">
        <f>IF(Tableau4849[[#This Row],[INDEX]]&lt;3,"",Tableau4849[[#This Row],[DEVISE]])</f>
        <v>EURUSD</v>
      </c>
      <c r="AN173" s="35">
        <f>IFERROR(IF(Tableau4849[[#This Row],[INDEX]]&lt;3,"",Tableau4849[[#This Row],[ATTEINT]]),100000)</f>
        <v>100000</v>
      </c>
      <c r="AO173" s="35">
        <f>IF(Tableau4849[[#This Row],[INDEX]]&lt;3,"",Tableau4849[[#This Row],[COMPTE]])</f>
        <v>925832</v>
      </c>
      <c r="AP173" s="35" t="str">
        <f>IF(Tableau4849[[#This Row],[INDEX]]&lt;3,"","NON")</f>
        <v>NON</v>
      </c>
      <c r="AQ173" s="35" t="str">
        <f>IF(Tableau4849[[#This Row],[INDEX]]&lt;3,"",IF(Tableau4849[[#This Row],[0,5]]&lt;0,"NEGATIF",""))</f>
        <v/>
      </c>
    </row>
    <row r="174" spans="1:43" x14ac:dyDescent="0.25">
      <c r="A174" s="24">
        <v>82</v>
      </c>
      <c r="B174" s="32">
        <v>44923.100081018521</v>
      </c>
      <c r="C174" s="26">
        <v>925832</v>
      </c>
      <c r="D174" s="24" t="s">
        <v>0</v>
      </c>
      <c r="E174" s="24" t="s">
        <v>46</v>
      </c>
      <c r="F174" s="24">
        <v>1.0626</v>
      </c>
      <c r="G174" s="26">
        <v>3000</v>
      </c>
      <c r="H174" s="27" t="s">
        <v>2</v>
      </c>
      <c r="I174" s="28" t="str">
        <f>IF(IFERROR(_xlfn.XLOOKUP(Tableau4849[[#This Row],[SL]],'[1]Tickets (2)'!J171:J965,'[1]Tickets (2)'!I174:I968),"")=0,"",IFERROR(_xlfn.XLOOKUP(Tableau4849[[#This Row],[SL]],'[1]Tickets (2)'!J171:J965,'[1]Tickets (2)'!I174:I968),""))</f>
        <v/>
      </c>
      <c r="J174">
        <v>1</v>
      </c>
      <c r="K174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4" s="33">
        <v>44923.631425115738</v>
      </c>
      <c r="N174" s="3" t="str">
        <f>IF(Tableau4849[[#This Row],[T CLOSE]]&gt;[1]CONFIGURATION!$K$4,Tableau4849[[#This Row],[IDENTITE]],"")</f>
        <v/>
      </c>
      <c r="O174" s="26">
        <f>IFERROR(Tableau4849[[#This Row],[SL]]/(Tableau4849[[#This Row],[VOLUME]]/$I$5),0)</f>
        <v>0</v>
      </c>
      <c r="P174" s="26" t="str">
        <f>Tableau4849[[#This Row],[COMMAND]]</f>
        <v>SELL</v>
      </c>
      <c r="Q174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RSRS S 1.06246 M1M1</v>
      </c>
      <c r="R174" s="29">
        <v>17</v>
      </c>
      <c r="S174" s="26" t="str">
        <f>IF(Tableau4849[[#This Row],[ETAT]]="LOSE",IF(IFERROR(ABS(SUBSTITUTE(Tableau4849[[#This Row],[PRICE]],".",",")-'[1]Deal ticket'!$B$16)*1000,"")&lt;=$S$5,"GO","WAIT"),"")</f>
        <v/>
      </c>
      <c r="T17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4" s="34" t="str">
        <f>IF(Tableau4849[[#This Row],[ETAT]]="LOSE",IF(IFERROR(ABS(SUBSTITUTE(Tableau4849[[#This Row],[PRICE]],".",",")-'[1]Deal ticket'!$B$16)*1000,"")&lt;=$U$5,"GO","WAIT"),"")</f>
        <v/>
      </c>
      <c r="V174" s="26">
        <f>IF(Tableau4849[[#This Row],[INDEX]]&lt;3,"",SUMIFS(Tableau4849[SL],Tableau4849[Colonne5],Tableau4849[[#This Row],[Colonne5]])+$S$4)</f>
        <v>1</v>
      </c>
      <c r="W174" s="34" t="str">
        <f>IF(Tableau4849[[#This Row],[ETAT]]="LOSE",IF(IFERROR(ABS(SUBSTITUTE(Tableau4849[[#This Row],[PRICE]],".",",")-'[1]Deal ticket'!$B$16)*1000,"")&lt;=$W$5,"GO","WAIT"),"")</f>
        <v/>
      </c>
      <c r="X17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4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4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4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74" s="26" t="str">
        <f>IF(AND(Tableau4849[[#This Row],[3,8]]=1),Tableau4849[[#This Row],[INDEX]],"")</f>
        <v/>
      </c>
      <c r="AC174" s="26" t="str">
        <f ca="1">IF(IFERROR(_xlfn.XLOOKUP(Tableau4849[[#This Row],[IDENTITE]],[1]!Tableau47[GLOBUY],[1]!Tableau47[GLOBUY]),"")="","",1)</f>
        <v/>
      </c>
      <c r="AD174" s="26" t="str">
        <f>IF(IFERROR(_xlfn.XLOOKUP(Tableau4849[[#This Row],[IDENTITE]],[1]!Tableau47[GLOSELL],[1]!Tableau47[GLOSELL]),"")="","",1)</f>
        <v/>
      </c>
      <c r="AE174" s="26"/>
      <c r="AF174" s="26">
        <f>IF(Tableau4849[[#This Row],[INDEX]]&lt;3,"",IF(Tableau4849[[#This Row],[COMMAND]]="","",IF('[1]Bar history'!$AA$33=1,1,"")))</f>
        <v>1</v>
      </c>
      <c r="AG174" s="26"/>
      <c r="AH174" s="26" t="str">
        <f>IF(IFERROR(_xlfn.XLOOKUP(Tableau4849[[#This Row],[IDENTITE]],[1]!Tableau47[COMMENTAIRE],[1]!Tableau47[CLOTURE]),"")=[1]PARAMETRE!$BK$31,Tableau4849[[#This Row],[INDEX]],"")</f>
        <v/>
      </c>
      <c r="AI174" s="26"/>
      <c r="AJ174" s="35" t="str">
        <f>IF(AND(ISNUMBER(SEARCH("BUY",Tableau4849[[#This Row],[COMMAND]]))),"BUYSTOP",IF(AND(ISNUMBER(SEARCH("SELL",Tableau4849[[#This Row],[COMMAND]]))),"SELLSTOP",""))</f>
        <v>SELLSTOP</v>
      </c>
      <c r="AK174" s="35" t="str">
        <f>IFERROR(SUBSTITUTE(Tableau4849[[#This Row],[PRICE]],",","."),"")</f>
        <v>1.0626</v>
      </c>
      <c r="AL174" s="35" t="str">
        <f>IF(Tableau4849[[#This Row],[INDEX]]&lt;3,"",Tableau4849[[#This Row],[IDENTITE]])</f>
        <v>1 RSRS S 1.06246 M1M1</v>
      </c>
      <c r="AM174" s="35" t="str">
        <f>IF(Tableau4849[[#This Row],[INDEX]]&lt;3,"",Tableau4849[[#This Row],[DEVISE]])</f>
        <v>EURUSD</v>
      </c>
      <c r="AN174" s="35">
        <f>IFERROR(IF(Tableau4849[[#This Row],[INDEX]]&lt;3,"",Tableau4849[[#This Row],[ATTEINT]]),100000)</f>
        <v>100000</v>
      </c>
      <c r="AO174" s="35">
        <f>IF(Tableau4849[[#This Row],[INDEX]]&lt;3,"",Tableau4849[[#This Row],[COMPTE]])</f>
        <v>925832</v>
      </c>
      <c r="AP174" s="35" t="str">
        <f>IF(Tableau4849[[#This Row],[INDEX]]&lt;3,"","NON")</f>
        <v>NON</v>
      </c>
      <c r="AQ174" s="35" t="str">
        <f>IF(Tableau4849[[#This Row],[INDEX]]&lt;3,"",IF(Tableau4849[[#This Row],[0,5]]&lt;0,"NEGATIF",""))</f>
        <v/>
      </c>
    </row>
    <row r="175" spans="1:43" x14ac:dyDescent="0.25">
      <c r="A175" s="24">
        <v>83</v>
      </c>
      <c r="B175" s="32">
        <v>44923.055474537039</v>
      </c>
      <c r="C175" s="26">
        <v>925832</v>
      </c>
      <c r="D175" s="24" t="s">
        <v>0</v>
      </c>
      <c r="E175" s="24" t="s">
        <v>47</v>
      </c>
      <c r="F175" s="24">
        <v>1.0655300000000001</v>
      </c>
      <c r="G175" s="26">
        <v>21000</v>
      </c>
      <c r="H175" s="27" t="s">
        <v>249</v>
      </c>
      <c r="I175" s="28" t="str">
        <f>IF(IFERROR(_xlfn.XLOOKUP(Tableau4849[[#This Row],[SL]],'[1]Tickets (2)'!J172:J966,'[1]Tickets (2)'!I175:I969),"")=0,"",IFERROR(_xlfn.XLOOKUP(Tableau4849[[#This Row],[SL]],'[1]Tickets (2)'!J172:J966,'[1]Tickets (2)'!I175:I969),""))</f>
        <v/>
      </c>
      <c r="J175">
        <v>1</v>
      </c>
      <c r="K175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5" s="33">
        <v>44923.631425115738</v>
      </c>
      <c r="N175" s="3" t="str">
        <f>IF(Tableau4849[[#This Row],[T CLOSE]]&gt;[1]CONFIGURATION!$K$4,Tableau4849[[#This Row],[IDENTITE]],"")</f>
        <v/>
      </c>
      <c r="O175" s="26">
        <f>IFERROR(Tableau4849[[#This Row],[SL]]/(Tableau4849[[#This Row],[VOLUME]]/$I$5),0)</f>
        <v>0</v>
      </c>
      <c r="P175" s="26" t="str">
        <f>Tableau4849[[#This Row],[COMMAND]]</f>
        <v>BUY</v>
      </c>
      <c r="Q175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1.06414 M1M1</v>
      </c>
      <c r="R175" s="29">
        <v>18</v>
      </c>
      <c r="S175" s="26" t="str">
        <f>IF(Tableau4849[[#This Row],[ETAT]]="LOSE",IF(IFERROR(ABS(SUBSTITUTE(Tableau4849[[#This Row],[PRICE]],".",",")-'[1]Deal ticket'!$B$16)*1000,"")&lt;=$S$5,"GO","WAIT"),"")</f>
        <v/>
      </c>
      <c r="T17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5" s="34" t="str">
        <f>IF(Tableau4849[[#This Row],[ETAT]]="LOSE",IF(IFERROR(ABS(SUBSTITUTE(Tableau4849[[#This Row],[PRICE]],".",",")-'[1]Deal ticket'!$B$16)*1000,"")&lt;=$U$5,"GO","WAIT"),"")</f>
        <v/>
      </c>
      <c r="V175" s="26">
        <f>IF(Tableau4849[[#This Row],[INDEX]]&lt;3,"",SUMIFS(Tableau4849[SL],Tableau4849[Colonne5],Tableau4849[[#This Row],[Colonne5]])+$S$4)</f>
        <v>1</v>
      </c>
      <c r="W175" s="34" t="str">
        <f>IF(Tableau4849[[#This Row],[ETAT]]="LOSE",IF(IFERROR(ABS(SUBSTITUTE(Tableau4849[[#This Row],[PRICE]],".",",")-'[1]Deal ticket'!$B$16)*1000,"")&lt;=$W$5,"GO","WAIT"),"")</f>
        <v/>
      </c>
      <c r="X17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5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5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5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75" s="26" t="str">
        <f>IF(AND(Tableau4849[[#This Row],[3,8]]=1),Tableau4849[[#This Row],[INDEX]],"")</f>
        <v/>
      </c>
      <c r="AC175" s="26" t="str">
        <f ca="1">IF(IFERROR(_xlfn.XLOOKUP(Tableau4849[[#This Row],[IDENTITE]],[1]!Tableau47[GLOBUY],[1]!Tableau47[GLOBUY]),"")="","",1)</f>
        <v/>
      </c>
      <c r="AD175" s="26" t="str">
        <f>IF(IFERROR(_xlfn.XLOOKUP(Tableau4849[[#This Row],[IDENTITE]],[1]!Tableau47[GLOSELL],[1]!Tableau47[GLOSELL]),"")="","",1)</f>
        <v/>
      </c>
      <c r="AE175" s="26"/>
      <c r="AF175" s="26">
        <f>IF(Tableau4849[[#This Row],[INDEX]]&lt;3,"",IF(Tableau4849[[#This Row],[COMMAND]]="","",IF('[1]Bar history'!$AA$33=1,1,"")))</f>
        <v>1</v>
      </c>
      <c r="AG175" s="26"/>
      <c r="AH175" s="26" t="str">
        <f>IF(IFERROR(_xlfn.XLOOKUP(Tableau4849[[#This Row],[IDENTITE]],[1]!Tableau47[COMMENTAIRE],[1]!Tableau47[CLOTURE]),"")=[1]PARAMETRE!$BK$31,Tableau4849[[#This Row],[INDEX]],"")</f>
        <v/>
      </c>
      <c r="AI175" s="26"/>
      <c r="AJ175" s="35" t="str">
        <f>IF(AND(ISNUMBER(SEARCH("BUY",Tableau4849[[#This Row],[COMMAND]]))),"BUYSTOP",IF(AND(ISNUMBER(SEARCH("SELL",Tableau4849[[#This Row],[COMMAND]]))),"SELLSTOP",""))</f>
        <v>BUYSTOP</v>
      </c>
      <c r="AK175" s="35" t="str">
        <f>IFERROR(SUBSTITUTE(Tableau4849[[#This Row],[PRICE]],",","."),"")</f>
        <v>1.06553</v>
      </c>
      <c r="AL175" s="35" t="str">
        <f>IF(Tableau4849[[#This Row],[INDEX]]&lt;3,"",Tableau4849[[#This Row],[IDENTITE]])</f>
        <v>1 RBRB B 1.06414 M1M1</v>
      </c>
      <c r="AM175" s="35" t="str">
        <f>IF(Tableau4849[[#This Row],[INDEX]]&lt;3,"",Tableau4849[[#This Row],[DEVISE]])</f>
        <v>EURUSD</v>
      </c>
      <c r="AN175" s="35">
        <f>IFERROR(IF(Tableau4849[[#This Row],[INDEX]]&lt;3,"",Tableau4849[[#This Row],[ATTEINT]]),100000)</f>
        <v>100000</v>
      </c>
      <c r="AO175" s="35">
        <f>IF(Tableau4849[[#This Row],[INDEX]]&lt;3,"",Tableau4849[[#This Row],[COMPTE]])</f>
        <v>925832</v>
      </c>
      <c r="AP175" s="35" t="str">
        <f>IF(Tableau4849[[#This Row],[INDEX]]&lt;3,"","NON")</f>
        <v>NON</v>
      </c>
      <c r="AQ175" s="35" t="str">
        <f>IF(Tableau4849[[#This Row],[INDEX]]&lt;3,"",IF(Tableau4849[[#This Row],[0,5]]&lt;0,"NEGATIF",""))</f>
        <v/>
      </c>
    </row>
    <row r="176" spans="1:43" x14ac:dyDescent="0.25">
      <c r="A176" s="24">
        <v>84</v>
      </c>
      <c r="B176" s="32">
        <v>44923.036446759259</v>
      </c>
      <c r="C176" s="26">
        <v>925832</v>
      </c>
      <c r="D176" s="24" t="s">
        <v>0</v>
      </c>
      <c r="E176" s="24" t="s">
        <v>47</v>
      </c>
      <c r="F176" s="24">
        <v>1.06565</v>
      </c>
      <c r="G176" s="26">
        <v>41000</v>
      </c>
      <c r="H176" s="27" t="s">
        <v>250</v>
      </c>
      <c r="I176" s="28" t="str">
        <f>IF(IFERROR(_xlfn.XLOOKUP(Tableau4849[[#This Row],[SL]],'[1]Tickets (2)'!J173:J967,'[1]Tickets (2)'!I176:I970),"")=0,"",IFERROR(_xlfn.XLOOKUP(Tableau4849[[#This Row],[SL]],'[1]Tickets (2)'!J173:J967,'[1]Tickets (2)'!I176:I970),""))</f>
        <v/>
      </c>
      <c r="J176">
        <v>1</v>
      </c>
      <c r="K176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6" s="33">
        <v>44923.631423611114</v>
      </c>
      <c r="N176" s="3" t="str">
        <f>IF(Tableau4849[[#This Row],[T CLOSE]]&gt;[1]CONFIGURATION!$K$4,Tableau4849[[#This Row],[IDENTITE]],"")</f>
        <v/>
      </c>
      <c r="O176" s="26">
        <f>IFERROR(Tableau4849[[#This Row],[SL]]/(Tableau4849[[#This Row],[VOLUME]]/$I$5),0)</f>
        <v>0</v>
      </c>
      <c r="P176" s="26" t="str">
        <f>Tableau4849[[#This Row],[COMMAND]]</f>
        <v>BUY</v>
      </c>
      <c r="Q176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1.20221 M1M1</v>
      </c>
      <c r="R176" s="29">
        <v>19</v>
      </c>
      <c r="S176" s="26" t="str">
        <f>IF(Tableau4849[[#This Row],[ETAT]]="LOSE",IF(IFERROR(ABS(SUBSTITUTE(Tableau4849[[#This Row],[PRICE]],".",",")-'[1]Deal ticket'!$B$16)*1000,"")&lt;=$S$5,"GO","WAIT"),"")</f>
        <v/>
      </c>
      <c r="T17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6" s="34" t="str">
        <f>IF(Tableau4849[[#This Row],[ETAT]]="LOSE",IF(IFERROR(ABS(SUBSTITUTE(Tableau4849[[#This Row],[PRICE]],".",",")-'[1]Deal ticket'!$B$16)*1000,"")&lt;=$U$5,"GO","WAIT"),"")</f>
        <v/>
      </c>
      <c r="V176" s="26">
        <f>IF(Tableau4849[[#This Row],[INDEX]]&lt;3,"",SUMIFS(Tableau4849[SL],Tableau4849[Colonne5],Tableau4849[[#This Row],[Colonne5]])+$S$4)</f>
        <v>1</v>
      </c>
      <c r="W176" s="34" t="str">
        <f>IF(Tableau4849[[#This Row],[ETAT]]="LOSE",IF(IFERROR(ABS(SUBSTITUTE(Tableau4849[[#This Row],[PRICE]],".",",")-'[1]Deal ticket'!$B$16)*1000,"")&lt;=$W$5,"GO","WAIT"),"")</f>
        <v/>
      </c>
      <c r="X17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6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6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6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76" s="26" t="str">
        <f>IF(AND(Tableau4849[[#This Row],[3,8]]=1),Tableau4849[[#This Row],[INDEX]],"")</f>
        <v/>
      </c>
      <c r="AC176" s="26" t="str">
        <f ca="1">IF(IFERROR(_xlfn.XLOOKUP(Tableau4849[[#This Row],[IDENTITE]],[1]!Tableau47[GLOBUY],[1]!Tableau47[GLOBUY]),"")="","",1)</f>
        <v/>
      </c>
      <c r="AD176" s="26" t="str">
        <f>IF(IFERROR(_xlfn.XLOOKUP(Tableau4849[[#This Row],[IDENTITE]],[1]!Tableau47[GLOSELL],[1]!Tableau47[GLOSELL]),"")="","",1)</f>
        <v/>
      </c>
      <c r="AE176" s="26"/>
      <c r="AF176" s="26">
        <f>IF(Tableau4849[[#This Row],[INDEX]]&lt;3,"",IF(Tableau4849[[#This Row],[COMMAND]]="","",IF('[1]Bar history'!$AA$33=1,1,"")))</f>
        <v>1</v>
      </c>
      <c r="AG176" s="26"/>
      <c r="AH176" s="26" t="str">
        <f>IF(IFERROR(_xlfn.XLOOKUP(Tableau4849[[#This Row],[IDENTITE]],[1]!Tableau47[COMMENTAIRE],[1]!Tableau47[CLOTURE]),"")=[1]PARAMETRE!$BK$31,Tableau4849[[#This Row],[INDEX]],"")</f>
        <v/>
      </c>
      <c r="AI176" s="26"/>
      <c r="AJ176" s="35" t="str">
        <f>IF(AND(ISNUMBER(SEARCH("BUY",Tableau4849[[#This Row],[COMMAND]]))),"BUYSTOP",IF(AND(ISNUMBER(SEARCH("SELL",Tableau4849[[#This Row],[COMMAND]]))),"SELLSTOP",""))</f>
        <v>BUYSTOP</v>
      </c>
      <c r="AK176" s="35" t="str">
        <f>IFERROR(SUBSTITUTE(Tableau4849[[#This Row],[PRICE]],",","."),"")</f>
        <v>1.06565</v>
      </c>
      <c r="AL176" s="35" t="str">
        <f>IF(Tableau4849[[#This Row],[INDEX]]&lt;3,"",Tableau4849[[#This Row],[IDENTITE]])</f>
        <v>1 RBRB B 1.20221 M1M1</v>
      </c>
      <c r="AM176" s="35" t="str">
        <f>IF(Tableau4849[[#This Row],[INDEX]]&lt;3,"",Tableau4849[[#This Row],[DEVISE]])</f>
        <v>EURUSD</v>
      </c>
      <c r="AN176" s="35">
        <f>IFERROR(IF(Tableau4849[[#This Row],[INDEX]]&lt;3,"",Tableau4849[[#This Row],[ATTEINT]]),100000)</f>
        <v>100000</v>
      </c>
      <c r="AO176" s="35">
        <f>IF(Tableau4849[[#This Row],[INDEX]]&lt;3,"",Tableau4849[[#This Row],[COMPTE]])</f>
        <v>925832</v>
      </c>
      <c r="AP176" s="35" t="str">
        <f>IF(Tableau4849[[#This Row],[INDEX]]&lt;3,"","NON")</f>
        <v>NON</v>
      </c>
      <c r="AQ176" s="35" t="str">
        <f>IF(Tableau4849[[#This Row],[INDEX]]&lt;3,"",IF(Tableau4849[[#This Row],[0,5]]&lt;0,"NEGATIF",""))</f>
        <v/>
      </c>
    </row>
    <row r="177" spans="1:43" x14ac:dyDescent="0.25">
      <c r="A177" s="24">
        <v>85</v>
      </c>
      <c r="B177" s="32">
        <v>44923.036249999997</v>
      </c>
      <c r="C177" s="26">
        <v>925832</v>
      </c>
      <c r="D177" s="24" t="s">
        <v>0</v>
      </c>
      <c r="E177" s="24" t="s">
        <v>47</v>
      </c>
      <c r="F177" s="24">
        <v>1.06559</v>
      </c>
      <c r="G177" s="26">
        <v>40000</v>
      </c>
      <c r="H177" s="27" t="s">
        <v>252</v>
      </c>
      <c r="I177" s="28" t="str">
        <f>IF(IFERROR(_xlfn.XLOOKUP(Tableau4849[[#This Row],[SL]],'[1]Tickets (2)'!J174:J968,'[1]Tickets (2)'!I177:I971),"")=0,"",IFERROR(_xlfn.XLOOKUP(Tableau4849[[#This Row],[SL]],'[1]Tickets (2)'!J174:J968,'[1]Tickets (2)'!I177:I971),""))</f>
        <v/>
      </c>
      <c r="J177">
        <v>1</v>
      </c>
      <c r="K177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7" s="33">
        <v>44923.631423611114</v>
      </c>
      <c r="N177" s="3" t="str">
        <f>IF(Tableau4849[[#This Row],[T CLOSE]]&gt;[1]CONFIGURATION!$K$4,Tableau4849[[#This Row],[IDENTITE]],"")</f>
        <v/>
      </c>
      <c r="O177" s="26">
        <f>IFERROR(Tableau4849[[#This Row],[SL]]/(Tableau4849[[#This Row],[VOLUME]]/$I$5),0)</f>
        <v>0</v>
      </c>
      <c r="P177" s="26" t="str">
        <f>Tableau4849[[#This Row],[COMMAND]]</f>
        <v>BUY</v>
      </c>
      <c r="Q177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1.2015 M1M1</v>
      </c>
      <c r="R177" s="29">
        <v>20</v>
      </c>
      <c r="S177" s="26" t="str">
        <f>IF(Tableau4849[[#This Row],[ETAT]]="LOSE",IF(IFERROR(ABS(SUBSTITUTE(Tableau4849[[#This Row],[PRICE]],".",",")-'[1]Deal ticket'!$B$16)*1000,"")&lt;=$S$5,"GO","WAIT"),"")</f>
        <v/>
      </c>
      <c r="T17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7" s="34" t="str">
        <f>IF(Tableau4849[[#This Row],[ETAT]]="LOSE",IF(IFERROR(ABS(SUBSTITUTE(Tableau4849[[#This Row],[PRICE]],".",",")-'[1]Deal ticket'!$B$16)*1000,"")&lt;=$U$5,"GO","WAIT"),"")</f>
        <v/>
      </c>
      <c r="V177" s="26">
        <f>IF(Tableau4849[[#This Row],[INDEX]]&lt;3,"",SUMIFS(Tableau4849[SL],Tableau4849[Colonne5],Tableau4849[[#This Row],[Colonne5]])+$S$4)</f>
        <v>1</v>
      </c>
      <c r="W177" s="34" t="str">
        <f>IF(Tableau4849[[#This Row],[ETAT]]="LOSE",IF(IFERROR(ABS(SUBSTITUTE(Tableau4849[[#This Row],[PRICE]],".",",")-'[1]Deal ticket'!$B$16)*1000,"")&lt;=$W$5,"GO","WAIT"),"")</f>
        <v/>
      </c>
      <c r="X17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7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7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7" s="26" t="str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/>
      </c>
      <c r="AB177" s="26" t="str">
        <f>IF(AND(Tableau4849[[#This Row],[3,8]]=1),Tableau4849[[#This Row],[INDEX]],"")</f>
        <v/>
      </c>
      <c r="AC177" s="26" t="str">
        <f ca="1">IF(IFERROR(_xlfn.XLOOKUP(Tableau4849[[#This Row],[IDENTITE]],[1]!Tableau47[GLOBUY],[1]!Tableau47[GLOBUY]),"")="","",1)</f>
        <v/>
      </c>
      <c r="AD177" s="26" t="str">
        <f>IF(IFERROR(_xlfn.XLOOKUP(Tableau4849[[#This Row],[IDENTITE]],[1]!Tableau47[GLOSELL],[1]!Tableau47[GLOSELL]),"")="","",1)</f>
        <v/>
      </c>
      <c r="AE177" s="26"/>
      <c r="AF177" s="26">
        <f>IF(Tableau4849[[#This Row],[INDEX]]&lt;3,"",IF(Tableau4849[[#This Row],[COMMAND]]="","",IF('[1]Bar history'!$AA$33=1,1,"")))</f>
        <v>1</v>
      </c>
      <c r="AG177" s="26"/>
      <c r="AH177" s="26" t="str">
        <f>IF(IFERROR(_xlfn.XLOOKUP(Tableau4849[[#This Row],[IDENTITE]],[1]!Tableau47[COMMENTAIRE],[1]!Tableau47[CLOTURE]),"")=[1]PARAMETRE!$BK$31,Tableau4849[[#This Row],[INDEX]],"")</f>
        <v/>
      </c>
      <c r="AI177" s="26"/>
      <c r="AJ177" s="35" t="str">
        <f>IF(AND(ISNUMBER(SEARCH("BUY",Tableau4849[[#This Row],[COMMAND]]))),"BUYSTOP",IF(AND(ISNUMBER(SEARCH("SELL",Tableau4849[[#This Row],[COMMAND]]))),"SELLSTOP",""))</f>
        <v>BUYSTOP</v>
      </c>
      <c r="AK177" s="35" t="str">
        <f>IFERROR(SUBSTITUTE(Tableau4849[[#This Row],[PRICE]],",","."),"")</f>
        <v>1.06559</v>
      </c>
      <c r="AL177" s="35" t="str">
        <f>IF(Tableau4849[[#This Row],[INDEX]]&lt;3,"",Tableau4849[[#This Row],[IDENTITE]])</f>
        <v>1 RBRB B 1.2015 M1M1</v>
      </c>
      <c r="AM177" s="35" t="str">
        <f>IF(Tableau4849[[#This Row],[INDEX]]&lt;3,"",Tableau4849[[#This Row],[DEVISE]])</f>
        <v>EURUSD</v>
      </c>
      <c r="AN177" s="35">
        <f>IFERROR(IF(Tableau4849[[#This Row],[INDEX]]&lt;3,"",Tableau4849[[#This Row],[ATTEINT]]),100000)</f>
        <v>100000</v>
      </c>
      <c r="AO177" s="35">
        <f>IF(Tableau4849[[#This Row],[INDEX]]&lt;3,"",Tableau4849[[#This Row],[COMPTE]])</f>
        <v>925832</v>
      </c>
      <c r="AP177" s="35" t="str">
        <f>IF(Tableau4849[[#This Row],[INDEX]]&lt;3,"","NON")</f>
        <v>NON</v>
      </c>
      <c r="AQ177" s="35" t="str">
        <f>IF(Tableau4849[[#This Row],[INDEX]]&lt;3,"",IF(Tableau4849[[#This Row],[0,5]]&lt;0,"NEGATIF",""))</f>
        <v/>
      </c>
    </row>
    <row r="178" spans="1:43" x14ac:dyDescent="0.25">
      <c r="A178" s="24">
        <v>86</v>
      </c>
      <c r="B178" s="32">
        <v>44923.036030092589</v>
      </c>
      <c r="C178" s="26">
        <v>925832</v>
      </c>
      <c r="D178" s="24" t="s">
        <v>0</v>
      </c>
      <c r="E178" s="24" t="s">
        <v>47</v>
      </c>
      <c r="F178" s="24">
        <v>1.06565</v>
      </c>
      <c r="G178" s="26">
        <v>31000</v>
      </c>
      <c r="H178" s="27" t="s">
        <v>253</v>
      </c>
      <c r="I178" s="28" t="str">
        <f>IF(IFERROR(_xlfn.XLOOKUP(Tableau4849[[#This Row],[SL]],'[1]Tickets (2)'!J175:J969,'[1]Tickets (2)'!I178:I972),"")=0,"",IFERROR(_xlfn.XLOOKUP(Tableau4849[[#This Row],[SL]],'[1]Tickets (2)'!J175:J969,'[1]Tickets (2)'!I178:I972),""))</f>
        <v/>
      </c>
      <c r="J178">
        <v>1</v>
      </c>
      <c r="K178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8" s="33">
        <v>44923.631423611114</v>
      </c>
      <c r="N178" s="3" t="str">
        <f>IF(Tableau4849[[#This Row],[T CLOSE]]&gt;[1]CONFIGURATION!$K$4,Tableau4849[[#This Row],[IDENTITE]],"")</f>
        <v/>
      </c>
      <c r="O178" s="26">
        <f>IFERROR(Tableau4849[[#This Row],[SL]]/(Tableau4849[[#This Row],[VOLUME]]/$I$5),0)</f>
        <v>0</v>
      </c>
      <c r="P178" s="26" t="str">
        <f>Tableau4849[[#This Row],[COMMAND]]</f>
        <v>BUY</v>
      </c>
      <c r="Q178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1.20233 M1M1</v>
      </c>
      <c r="R178" s="29">
        <v>-1716</v>
      </c>
      <c r="S178" s="26" t="str">
        <f>IF(Tableau4849[[#This Row],[ETAT]]="LOSE",IF(IFERROR(ABS(SUBSTITUTE(Tableau4849[[#This Row],[PRICE]],".",",")-'[1]Deal ticket'!$B$16)*1000,"")&lt;=$S$5,"GO","WAIT"),"")</f>
        <v/>
      </c>
      <c r="T17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8" s="34" t="str">
        <f>IF(Tableau4849[[#This Row],[ETAT]]="LOSE",IF(IFERROR(ABS(SUBSTITUTE(Tableau4849[[#This Row],[PRICE]],".",",")-'[1]Deal ticket'!$B$16)*1000,"")&lt;=$U$5,"GO","WAIT"),"")</f>
        <v/>
      </c>
      <c r="V178" s="26">
        <f>IF(Tableau4849[[#This Row],[INDEX]]&lt;3,"",SUMIFS(Tableau4849[SL],Tableau4849[Colonne5],Tableau4849[[#This Row],[Colonne5]])+$S$4)</f>
        <v>1</v>
      </c>
      <c r="W178" s="34" t="str">
        <f>IF(Tableau4849[[#This Row],[ETAT]]="LOSE",IF(IFERROR(ABS(SUBSTITUTE(Tableau4849[[#This Row],[PRICE]],".",",")-'[1]Deal ticket'!$B$16)*1000,"")&lt;=$W$5,"GO","WAIT"),"")</f>
        <v/>
      </c>
      <c r="X17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8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8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8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78" s="26">
        <f>IF(AND(Tableau4849[[#This Row],[3,8]]=1),Tableau4849[[#This Row],[INDEX]],"")</f>
        <v>86</v>
      </c>
      <c r="AC178" s="26" t="str">
        <f ca="1">IF(IFERROR(_xlfn.XLOOKUP(Tableau4849[[#This Row],[IDENTITE]],[1]!Tableau47[GLOBUY],[1]!Tableau47[GLOBUY]),"")="","",1)</f>
        <v/>
      </c>
      <c r="AD178" s="26" t="str">
        <f>IF(IFERROR(_xlfn.XLOOKUP(Tableau4849[[#This Row],[IDENTITE]],[1]!Tableau47[GLOSELL],[1]!Tableau47[GLOSELL]),"")="","",1)</f>
        <v/>
      </c>
      <c r="AE178" s="26"/>
      <c r="AF178" s="26">
        <f>IF(Tableau4849[[#This Row],[INDEX]]&lt;3,"",IF(Tableau4849[[#This Row],[COMMAND]]="","",IF('[1]Bar history'!$AA$33=1,1,"")))</f>
        <v>1</v>
      </c>
      <c r="AG178" s="26"/>
      <c r="AH178" s="26" t="str">
        <f>IF(IFERROR(_xlfn.XLOOKUP(Tableau4849[[#This Row],[IDENTITE]],[1]!Tableau47[COMMENTAIRE],[1]!Tableau47[CLOTURE]),"")=[1]PARAMETRE!$BK$31,Tableau4849[[#This Row],[INDEX]],"")</f>
        <v/>
      </c>
      <c r="AI178" s="26"/>
      <c r="AJ178" s="35" t="str">
        <f>IF(AND(ISNUMBER(SEARCH("BUY",Tableau4849[[#This Row],[COMMAND]]))),"BUYSTOP",IF(AND(ISNUMBER(SEARCH("SELL",Tableau4849[[#This Row],[COMMAND]]))),"SELLSTOP",""))</f>
        <v>BUYSTOP</v>
      </c>
      <c r="AK178" s="35" t="str">
        <f>IFERROR(SUBSTITUTE(Tableau4849[[#This Row],[PRICE]],",","."),"")</f>
        <v>1.06565</v>
      </c>
      <c r="AL178" s="35" t="str">
        <f>IF(Tableau4849[[#This Row],[INDEX]]&lt;3,"",Tableau4849[[#This Row],[IDENTITE]])</f>
        <v>1 RBRB B 1.20233 M1M1</v>
      </c>
      <c r="AM178" s="35" t="str">
        <f>IF(Tableau4849[[#This Row],[INDEX]]&lt;3,"",Tableau4849[[#This Row],[DEVISE]])</f>
        <v>EURUSD</v>
      </c>
      <c r="AN178" s="35">
        <f>IFERROR(IF(Tableau4849[[#This Row],[INDEX]]&lt;3,"",Tableau4849[[#This Row],[ATTEINT]]),100000)</f>
        <v>100000</v>
      </c>
      <c r="AO178" s="35">
        <f>IF(Tableau4849[[#This Row],[INDEX]]&lt;3,"",Tableau4849[[#This Row],[COMPTE]])</f>
        <v>925832</v>
      </c>
      <c r="AP178" s="35" t="str">
        <f>IF(Tableau4849[[#This Row],[INDEX]]&lt;3,"","NON")</f>
        <v>NON</v>
      </c>
      <c r="AQ178" s="35" t="str">
        <f>IF(Tableau4849[[#This Row],[INDEX]]&lt;3,"",IF(Tableau4849[[#This Row],[0,5]]&lt;0,"NEGATIF",""))</f>
        <v>NEGATIF</v>
      </c>
    </row>
    <row r="179" spans="1:43" x14ac:dyDescent="0.25">
      <c r="A179" s="24">
        <v>87</v>
      </c>
      <c r="B179" s="32">
        <v>44923.035810185182</v>
      </c>
      <c r="C179" s="26">
        <v>925832</v>
      </c>
      <c r="D179" s="24" t="s">
        <v>0</v>
      </c>
      <c r="E179" s="24" t="s">
        <v>47</v>
      </c>
      <c r="F179" s="24">
        <v>1.0655600000000001</v>
      </c>
      <c r="G179" s="26">
        <v>292000</v>
      </c>
      <c r="H179" s="27" t="s">
        <v>254</v>
      </c>
      <c r="I179" s="28" t="str">
        <f>IF(IFERROR(_xlfn.XLOOKUP(Tableau4849[[#This Row],[SL]],'[1]Tickets (2)'!J176:J970,'[1]Tickets (2)'!I179:I973),"")=0,"",IFERROR(_xlfn.XLOOKUP(Tableau4849[[#This Row],[SL]],'[1]Tickets (2)'!J176:J970,'[1]Tickets (2)'!I179:I973),""))</f>
        <v/>
      </c>
      <c r="J179">
        <v>1</v>
      </c>
      <c r="K179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79" s="33">
        <v>44923.631423611114</v>
      </c>
      <c r="N179" s="3" t="str">
        <f>IF(Tableau4849[[#This Row],[T CLOSE]]&gt;[1]CONFIGURATION!$K$4,Tableau4849[[#This Row],[IDENTITE]],"")</f>
        <v/>
      </c>
      <c r="O179" s="26">
        <f>IFERROR(Tableau4849[[#This Row],[SL]]/(Tableau4849[[#This Row],[VOLUME]]/$I$5),0)</f>
        <v>0</v>
      </c>
      <c r="P179" s="26" t="str">
        <f>Tableau4849[[#This Row],[COMMAND]]</f>
        <v>BUY</v>
      </c>
      <c r="Q179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1.20059 M1M1</v>
      </c>
      <c r="R179" s="29">
        <v>-1726</v>
      </c>
      <c r="S179" s="26" t="str">
        <f>IF(Tableau4849[[#This Row],[ETAT]]="LOSE",IF(IFERROR(ABS(SUBSTITUTE(Tableau4849[[#This Row],[PRICE]],".",",")-'[1]Deal ticket'!$B$16)*1000,"")&lt;=$S$5,"GO","WAIT"),"")</f>
        <v/>
      </c>
      <c r="T17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79" s="34" t="str">
        <f>IF(Tableau4849[[#This Row],[ETAT]]="LOSE",IF(IFERROR(ABS(SUBSTITUTE(Tableau4849[[#This Row],[PRICE]],".",",")-'[1]Deal ticket'!$B$16)*1000,"")&lt;=$U$5,"GO","WAIT"),"")</f>
        <v/>
      </c>
      <c r="V179" s="26">
        <f>IF(Tableau4849[[#This Row],[INDEX]]&lt;3,"",SUMIFS(Tableau4849[SL],Tableau4849[Colonne5],Tableau4849[[#This Row],[Colonne5]])+$S$4)</f>
        <v>1</v>
      </c>
      <c r="W179" s="34" t="str">
        <f>IF(Tableau4849[[#This Row],[ETAT]]="LOSE",IF(IFERROR(ABS(SUBSTITUTE(Tableau4849[[#This Row],[PRICE]],".",",")-'[1]Deal ticket'!$B$16)*1000,"")&lt;=$W$5,"GO","WAIT"),"")</f>
        <v/>
      </c>
      <c r="X17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79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79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79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79" s="26">
        <f>IF(AND(Tableau4849[[#This Row],[3,8]]=1),Tableau4849[[#This Row],[INDEX]],"")</f>
        <v>87</v>
      </c>
      <c r="AC179" s="26" t="str">
        <f ca="1">IF(IFERROR(_xlfn.XLOOKUP(Tableau4849[[#This Row],[IDENTITE]],[1]!Tableau47[GLOBUY],[1]!Tableau47[GLOBUY]),"")="","",1)</f>
        <v/>
      </c>
      <c r="AD179" s="26" t="str">
        <f>IF(IFERROR(_xlfn.XLOOKUP(Tableau4849[[#This Row],[IDENTITE]],[1]!Tableau47[GLOSELL],[1]!Tableau47[GLOSELL]),"")="","",1)</f>
        <v/>
      </c>
      <c r="AE179" s="26"/>
      <c r="AF179" s="26">
        <f>IF(Tableau4849[[#This Row],[INDEX]]&lt;3,"",IF(Tableau4849[[#This Row],[COMMAND]]="","",IF('[1]Bar history'!$AA$33=1,1,"")))</f>
        <v>1</v>
      </c>
      <c r="AG179" s="26"/>
      <c r="AH179" s="26" t="str">
        <f>IF(IFERROR(_xlfn.XLOOKUP(Tableau4849[[#This Row],[IDENTITE]],[1]!Tableau47[COMMENTAIRE],[1]!Tableau47[CLOTURE]),"")=[1]PARAMETRE!$BK$31,Tableau4849[[#This Row],[INDEX]],"")</f>
        <v/>
      </c>
      <c r="AI179" s="26"/>
      <c r="AJ179" s="35" t="str">
        <f>IF(AND(ISNUMBER(SEARCH("BUY",Tableau4849[[#This Row],[COMMAND]]))),"BUYSTOP",IF(AND(ISNUMBER(SEARCH("SELL",Tableau4849[[#This Row],[COMMAND]]))),"SELLSTOP",""))</f>
        <v>BUYSTOP</v>
      </c>
      <c r="AK179" s="35" t="str">
        <f>IFERROR(SUBSTITUTE(Tableau4849[[#This Row],[PRICE]],",","."),"")</f>
        <v>1.06556</v>
      </c>
      <c r="AL179" s="35" t="str">
        <f>IF(Tableau4849[[#This Row],[INDEX]]&lt;3,"",Tableau4849[[#This Row],[IDENTITE]])</f>
        <v>1 RBRB B 1.20059 M1M1</v>
      </c>
      <c r="AM179" s="35" t="str">
        <f>IF(Tableau4849[[#This Row],[INDEX]]&lt;3,"",Tableau4849[[#This Row],[DEVISE]])</f>
        <v>EURUSD</v>
      </c>
      <c r="AN179" s="35">
        <f>IFERROR(IF(Tableau4849[[#This Row],[INDEX]]&lt;3,"",Tableau4849[[#This Row],[ATTEINT]]),100000)</f>
        <v>100000</v>
      </c>
      <c r="AO179" s="35">
        <f>IF(Tableau4849[[#This Row],[INDEX]]&lt;3,"",Tableau4849[[#This Row],[COMPTE]])</f>
        <v>925832</v>
      </c>
      <c r="AP179" s="35" t="str">
        <f>IF(Tableau4849[[#This Row],[INDEX]]&lt;3,"","NON")</f>
        <v>NON</v>
      </c>
      <c r="AQ179" s="35" t="str">
        <f>IF(Tableau4849[[#This Row],[INDEX]]&lt;3,"",IF(Tableau4849[[#This Row],[0,5]]&lt;0,"NEGATIF",""))</f>
        <v>NEGATIF</v>
      </c>
    </row>
    <row r="180" spans="1:43" x14ac:dyDescent="0.25">
      <c r="A180" s="24">
        <v>88</v>
      </c>
      <c r="B180" s="32">
        <v>44923.035590277781</v>
      </c>
      <c r="C180" s="26">
        <v>925832</v>
      </c>
      <c r="D180" s="24" t="s">
        <v>0</v>
      </c>
      <c r="E180" s="24" t="s">
        <v>47</v>
      </c>
      <c r="F180" s="24">
        <v>1.0655399999999999</v>
      </c>
      <c r="G180" s="26">
        <v>43000</v>
      </c>
      <c r="H180" s="27" t="s">
        <v>256</v>
      </c>
      <c r="I180" s="28" t="str">
        <f>IF(IFERROR(_xlfn.XLOOKUP(Tableau4849[[#This Row],[SL]],'[1]Tickets (2)'!J177:J971,'[1]Tickets (2)'!I180:I974),"")=0,"",IFERROR(_xlfn.XLOOKUP(Tableau4849[[#This Row],[SL]],'[1]Tickets (2)'!J177:J971,'[1]Tickets (2)'!I180:I974),""))</f>
        <v/>
      </c>
      <c r="J180">
        <v>1</v>
      </c>
      <c r="K180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80" s="33">
        <v>44923.631423611114</v>
      </c>
      <c r="N180" s="3" t="str">
        <f>IF(Tableau4849[[#This Row],[T CLOSE]]&gt;[1]CONFIGURATION!$K$4,Tableau4849[[#This Row],[IDENTITE]],"")</f>
        <v/>
      </c>
      <c r="O180" s="26">
        <f>IFERROR(Tableau4849[[#This Row],[SL]]/(Tableau4849[[#This Row],[VOLUME]]/$I$5),0)</f>
        <v>0</v>
      </c>
      <c r="P180" s="26" t="str">
        <f>Tableau4849[[#This Row],[COMMAND]]</f>
        <v>BUY</v>
      </c>
      <c r="Q180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1 RBRB B 1.0637 M1M1</v>
      </c>
      <c r="R180" s="29">
        <v>-1736</v>
      </c>
      <c r="S180" s="26" t="str">
        <f>IF(Tableau4849[[#This Row],[ETAT]]="LOSE",IF(IFERROR(ABS(SUBSTITUTE(Tableau4849[[#This Row],[PRICE]],".",",")-'[1]Deal ticket'!$B$16)*1000,"")&lt;=$S$5,"GO","WAIT"),"")</f>
        <v/>
      </c>
      <c r="T18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80" s="34" t="str">
        <f>IF(Tableau4849[[#This Row],[ETAT]]="LOSE",IF(IFERROR(ABS(SUBSTITUTE(Tableau4849[[#This Row],[PRICE]],".",",")-'[1]Deal ticket'!$B$16)*1000,"")&lt;=$U$5,"GO","WAIT"),"")</f>
        <v/>
      </c>
      <c r="V180" s="26">
        <f>IF(Tableau4849[[#This Row],[INDEX]]&lt;3,"",SUMIFS(Tableau4849[SL],Tableau4849[Colonne5],Tableau4849[[#This Row],[Colonne5]])+$S$4)</f>
        <v>1</v>
      </c>
      <c r="W180" s="34" t="str">
        <f>IF(Tableau4849[[#This Row],[ETAT]]="LOSE",IF(IFERROR(ABS(SUBSTITUTE(Tableau4849[[#This Row],[PRICE]],".",",")-'[1]Deal ticket'!$B$16)*1000,"")&lt;=$W$5,"GO","WAIT"),"")</f>
        <v/>
      </c>
      <c r="X18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80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80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80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80" s="26">
        <f>IF(AND(Tableau4849[[#This Row],[3,8]]=1),Tableau4849[[#This Row],[INDEX]],"")</f>
        <v>88</v>
      </c>
      <c r="AC180" s="26" t="str">
        <f ca="1">IF(IFERROR(_xlfn.XLOOKUP(Tableau4849[[#This Row],[IDENTITE]],[1]!Tableau47[GLOBUY],[1]!Tableau47[GLOBUY]),"")="","",1)</f>
        <v/>
      </c>
      <c r="AD180" s="26" t="str">
        <f>IF(IFERROR(_xlfn.XLOOKUP(Tableau4849[[#This Row],[IDENTITE]],[1]!Tableau47[GLOSELL],[1]!Tableau47[GLOSELL]),"")="","",1)</f>
        <v/>
      </c>
      <c r="AE180" s="26"/>
      <c r="AF180" s="26">
        <f>IF(Tableau4849[[#This Row],[INDEX]]&lt;3,"",IF(Tableau4849[[#This Row],[COMMAND]]="","",IF('[1]Bar history'!$AA$33=1,1,"")))</f>
        <v>1</v>
      </c>
      <c r="AG180" s="26"/>
      <c r="AH180" s="26" t="str">
        <f>IF(IFERROR(_xlfn.XLOOKUP(Tableau4849[[#This Row],[IDENTITE]],[1]!Tableau47[COMMENTAIRE],[1]!Tableau47[CLOTURE]),"")=[1]PARAMETRE!$BK$31,Tableau4849[[#This Row],[INDEX]],"")</f>
        <v/>
      </c>
      <c r="AI180" s="26"/>
      <c r="AJ180" s="35" t="str">
        <f>IF(AND(ISNUMBER(SEARCH("BUY",Tableau4849[[#This Row],[COMMAND]]))),"BUYSTOP",IF(AND(ISNUMBER(SEARCH("SELL",Tableau4849[[#This Row],[COMMAND]]))),"SELLSTOP",""))</f>
        <v>BUYSTOP</v>
      </c>
      <c r="AK180" s="35" t="str">
        <f>IFERROR(SUBSTITUTE(Tableau4849[[#This Row],[PRICE]],",","."),"")</f>
        <v>1.06554</v>
      </c>
      <c r="AL180" s="35" t="str">
        <f>IF(Tableau4849[[#This Row],[INDEX]]&lt;3,"",Tableau4849[[#This Row],[IDENTITE]])</f>
        <v>1 RBRB B 1.0637 M1M1</v>
      </c>
      <c r="AM180" s="35" t="str">
        <f>IF(Tableau4849[[#This Row],[INDEX]]&lt;3,"",Tableau4849[[#This Row],[DEVISE]])</f>
        <v>EURUSD</v>
      </c>
      <c r="AN180" s="35">
        <f>IFERROR(IF(Tableau4849[[#This Row],[INDEX]]&lt;3,"",Tableau4849[[#This Row],[ATTEINT]]),100000)</f>
        <v>100000</v>
      </c>
      <c r="AO180" s="35">
        <f>IF(Tableau4849[[#This Row],[INDEX]]&lt;3,"",Tableau4849[[#This Row],[COMPTE]])</f>
        <v>925832</v>
      </c>
      <c r="AP180" s="35" t="str">
        <f>IF(Tableau4849[[#This Row],[INDEX]]&lt;3,"","NON")</f>
        <v>NON</v>
      </c>
      <c r="AQ180" s="35" t="str">
        <f>IF(Tableau4849[[#This Row],[INDEX]]&lt;3,"",IF(Tableau4849[[#This Row],[0,5]]&lt;0,"NEGATIF",""))</f>
        <v>NEGATIF</v>
      </c>
    </row>
    <row r="181" spans="1:43" x14ac:dyDescent="0.25">
      <c r="A181" s="24">
        <v>89</v>
      </c>
      <c r="B181" s="32">
        <v>44917.608657407407</v>
      </c>
      <c r="C181" s="26">
        <v>925832</v>
      </c>
      <c r="D181" s="24" t="s">
        <v>0</v>
      </c>
      <c r="E181" s="24"/>
      <c r="F181" s="24">
        <v>1.06071</v>
      </c>
      <c r="G181" s="26">
        <v>1000</v>
      </c>
      <c r="H181" s="27" t="s">
        <v>258</v>
      </c>
      <c r="I181" s="28" t="str">
        <f>IF(IFERROR(_xlfn.XLOOKUP(Tableau4849[[#This Row],[SL]],'[1]Tickets (2)'!J178:J972,'[1]Tickets (2)'!I181:I975),"")=0,"",IFERROR(_xlfn.XLOOKUP(Tableau4849[[#This Row],[SL]],'[1]Tickets (2)'!J178:J972,'[1]Tickets (2)'!I181:I975),""))</f>
        <v/>
      </c>
      <c r="J181">
        <v>1</v>
      </c>
      <c r="K181" s="29" t="str">
        <f>IF(Tableau4849[[#This Row],[SL]]="","WINE",IF(AND(IF(AND(ISNUMBER(SEARCH("BUY",Tableau4849[[#This Row],[COMPTE]]))),"BUY",IF(AND(ISNUMBER(SEARCH("SELL",Tableau4849[[#This Row],[COMPTE]]))),"SELL",""))="BUY",_xlfn.MAXIFS('[1]Live (2)'!$DF$360:$DF$526,'[1]Live (2)'!$DD$360:$DD$526,$P$2&amp;Tableau4849[[#This Row],[open T]])&gt;IF(AND(ISNUMBER(SEARCH("SELL",Tableau4849[[#This Row],[COMPTE]]))),Tableau4849[[#This Row],[IDENTITE]]-#REF!,IF(AND(ISNUMBER(SEARCH("BUY",Tableau4849[[#This Row],[COMPTE]]))),Tableau4849[[#This Row],[IDENTITE]]+#REF!,"")),IFERROR(_xlfn.XLOOKUP(_xlfn.MAXIFS('[1]Live (2)'!$DF$360:$DF$526,'[1]Live (2)'!DD$360:DD$526,$P$2&amp;Tableau4849[[#This Row],[open T]]),'[1]Live (2)'!$DF$360:$DF$526,'[1]Live (2)'!DD$360:DD$526),"")&lt;IFERROR(_xlfn.XLOOKUP(_xlfn.MINIFS('[1]Live (2)'!$DG$360:$DG$526,'[1]Live (2)'!DD$360:DD$526,"&gt;"&amp;Tableau4849[[#This Row],[open T]]),'[1]Live (2)'!$DG$360:$DG$526,'[1]Live (2)'!$DD$360:$DD$526),"")),"WIN",IF(AND(IF(AND(ISNUMBER(SEARCH("BUY",Tableau4849[[#This Row],[COMPTE]]))),"BUY",IF(AND(ISNUMBER(SEARCH("SELL",Tableau4849[[#This Row],[COMPTE]]))),"SELL",""))="SELL",_xlfn.MINIFS('[1]Live (2)'!$DG$360:$DG$526,'[1]Live (2)'!$DD$360:$DD$526,"&gt;"&amp;Tableau4849[[#This Row],[open T]])&lt;IF(AND(ISNUMBER(SEARCH("SELL",Tableau4849[[#This Row],[COMPTE]]))),Tableau4849[[#This Row],[IDENTITE]]-#REF!,IF(AND(ISNUMBER(SEARCH("BUY",Tableau4849[[#This Row],[COMPTE]]))),Tableau4849[[#This Row],[IDENTITE]]+#REF!,"")),IFERROR(_xlfn.XLOOKUP(_xlfn.MINIFS('[1]Live (2)'!$DG$360:$DG$526,'[1]Live (2)'!DD$360:DD$526,"&gt;"&amp;Tableau4849[[#This Row],[open T]]),'[1]Live (2)'!$DG$360:$DG$526,'[1]Live (2)'!$DD$360:$DD$526),"")&lt;IFERROR(_xlfn.XLOOKUP(_xlfn.MAXIFS('[1]Live (2)'!$DF$360:$DF$526,'[1]Live (2)'!DD$360:DD$526,$P$2&amp;Tableau4849[[#This Row],[open T]]),'[1]Live (2)'!$DF$360:$DF$526,'[1]Live (2)'!DD$360:DD$526),"")),"WIN","")))</f>
        <v/>
      </c>
      <c r="L181" s="33">
        <v>44923.631423611114</v>
      </c>
      <c r="N181" s="3" t="str">
        <f>IF(Tableau4849[[#This Row],[T CLOSE]]&gt;[1]CONFIGURATION!$K$4,Tableau4849[[#This Row],[IDENTITE]],"")</f>
        <v/>
      </c>
      <c r="O181" s="26">
        <f>IFERROR(Tableau4849[[#This Row],[SL]]/(Tableau4849[[#This Row],[VOLUME]]/$I$5),0)</f>
        <v>0</v>
      </c>
      <c r="P181" s="26">
        <f>Tableau4849[[#This Row],[COMMAND]]</f>
        <v>0</v>
      </c>
      <c r="Q181" s="31" t="str">
        <f>IFERROR(IF(IFERROR(VALUE(RIGHT(Tableau4849[[#This Row],[IDENTITE]],2)),Tableau4849[[#This Row],[IDENTITE]]-2)&gt;=1,LEFT(Tableau4849[[#This Row],[IDENTITE]],LEN(Tableau4849[[#This Row],[IDENTITE]])-2),""),Tableau4849[[#This Row],[IDENTITE]])</f>
        <v>[sl 1.06071]</v>
      </c>
      <c r="R181" s="29">
        <v>-1746</v>
      </c>
      <c r="S181" s="26" t="str">
        <f>IF(Tableau4849[[#This Row],[ETAT]]="LOSE",IF(IFERROR(ABS(SUBSTITUTE(Tableau4849[[#This Row],[PRICE]],".",",")-'[1]Deal ticket'!$B$16)*1000,"")&lt;=$S$5,"GO","WAIT"),"")</f>
        <v/>
      </c>
      <c r="T18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U181" s="34" t="str">
        <f>IF(Tableau4849[[#This Row],[ETAT]]="LOSE",IF(IFERROR(ABS(SUBSTITUTE(Tableau4849[[#This Row],[PRICE]],".",",")-'[1]Deal ticket'!$B$16)*1000,"")&lt;=$U$5,"GO","WAIT"),"")</f>
        <v/>
      </c>
      <c r="V181" s="26">
        <f>IF(Tableau4849[[#This Row],[INDEX]]&lt;3,"",SUMIFS(Tableau4849[SL],Tableau4849[Colonne5],Tableau4849[[#This Row],[Colonne5]])+$S$4)</f>
        <v>1</v>
      </c>
      <c r="W181" s="34" t="str">
        <f>IF(Tableau4849[[#This Row],[ETAT]]="LOSE",IF(IFERROR(ABS(SUBSTITUTE(Tableau4849[[#This Row],[PRICE]],".",",")-'[1]Deal ticket'!$B$16)*1000,"")&lt;=$W$5,"GO","WAIT"),"")</f>
        <v/>
      </c>
      <c r="X18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Y181" s="26" t="e">
        <f>IF(Tableau4849[[#This Row],[INDEX]]&lt;3,"",IF('[1]Bar history'!$V$36="STABLE",'[1]Bar history'!$W$36,IFERROR(ROUNDUP(ABS(IFERROR(ABS(Tableau4849[[#This Row],[0,5]]/IF(OR(_xlfn.MAXIFS(Tableau4849[T CLOSE],Tableau4849[Colonne5],Tableau4849[[#This Row],[Colonne5]])&gt;=$S$3),$Z$4,$S$3-_xlfn.MAXIFS(Tableau4849[T CLOSE],Tableau4849[Colonne5],Tableau4849[[#This Row],[Colonne5]]))),"")),0)+1,"")*$Y$4))</f>
        <v>#VALUE!</v>
      </c>
      <c r="Z181" s="26">
        <f>IF(Tableau4849[[#This Row],[INDEX]]&lt;3,"",IF(OR(_xlfn.MAXIFS(Tableau4849[T CLOSE],Tableau4849[Colonne5],Tableau4849[[#This Row],[Colonne5]])&gt;=$S$3),$Z$4,$S$3-_xlfn.MAXIFS(Tableau4849[T CLOSE],Tableau4849[Colonne5],Tableau4849[[#This Row],[Colonne5]])))</f>
        <v>0</v>
      </c>
      <c r="AA181" s="26">
        <f>IF(Tableau4849[[#This Row],[INDEX]]&lt;3,"",IF(IFERROR(_xlfn.XLOOKUP(Tableau4849[[#This Row],[Colonne5]],'[1]Tickets (2)'!$J$6:$J$805,'[1]Tickets (2)'!$J$6:$J$805),"")="",IF(AND(IFERROR(_xlfn.XLOOKUP(Tableau4849[[#This Row],[Colonne5]],[1]!Tableau47[COMMENTAIRE],[1]!Tableau47[COMMENTAIRE]),"")="",Tableau4849[[#This Row],[0,5]]&lt;0),1,""),""))</f>
        <v>1</v>
      </c>
      <c r="AB181" s="26">
        <f>IF(AND(Tableau4849[[#This Row],[3,8]]=1),Tableau4849[[#This Row],[INDEX]],"")</f>
        <v>89</v>
      </c>
      <c r="AC181" s="26" t="str">
        <f ca="1">IF(IFERROR(_xlfn.XLOOKUP(Tableau4849[[#This Row],[IDENTITE]],[1]!Tableau47[GLOBUY],[1]!Tableau47[GLOBUY]),"")="","",1)</f>
        <v/>
      </c>
      <c r="AD181" s="26" t="str">
        <f>IF(IFERROR(_xlfn.XLOOKUP(Tableau4849[[#This Row],[IDENTITE]],[1]!Tableau47[GLOSELL],[1]!Tableau47[GLOSELL]),"")="","",1)</f>
        <v/>
      </c>
      <c r="AE181" s="26"/>
      <c r="AF181" s="26" t="str">
        <f>IF(Tableau4849[[#This Row],[INDEX]]&lt;3,"",IF(Tableau4849[[#This Row],[COMMAND]]="","",IF('[1]Bar history'!$AA$33=1,1,"")))</f>
        <v/>
      </c>
      <c r="AG181" s="26"/>
      <c r="AH181" s="26" t="str">
        <f>IF(IFERROR(_xlfn.XLOOKUP(Tableau4849[[#This Row],[IDENTITE]],[1]!Tableau47[COMMENTAIRE],[1]!Tableau47[CLOTURE]),"")=[1]PARAMETRE!$BK$31,Tableau4849[[#This Row],[INDEX]],"")</f>
        <v/>
      </c>
      <c r="AI181" s="26"/>
      <c r="AJ181" s="35" t="str">
        <f>IF(AND(ISNUMBER(SEARCH("BUY",Tableau4849[[#This Row],[COMMAND]]))),"BUYSTOP",IF(AND(ISNUMBER(SEARCH("SELL",Tableau4849[[#This Row],[COMMAND]]))),"SELLSTOP",""))</f>
        <v/>
      </c>
      <c r="AK181" s="35" t="str">
        <f>IFERROR(SUBSTITUTE(Tableau4849[[#This Row],[PRICE]],",","."),"")</f>
        <v>1.06071</v>
      </c>
      <c r="AL181" s="35" t="str">
        <f>IF(Tableau4849[[#This Row],[INDEX]]&lt;3,"",Tableau4849[[#This Row],[IDENTITE]])</f>
        <v>[sl 1.06071]</v>
      </c>
      <c r="AM181" s="35" t="str">
        <f>IF(Tableau4849[[#This Row],[INDEX]]&lt;3,"",Tableau4849[[#This Row],[DEVISE]])</f>
        <v>EURUSD</v>
      </c>
      <c r="AN181" s="35">
        <f>IFERROR(IF(Tableau4849[[#This Row],[INDEX]]&lt;3,"",Tableau4849[[#This Row],[ATTEINT]]),100000)</f>
        <v>100000</v>
      </c>
      <c r="AO181" s="35">
        <f>IF(Tableau4849[[#This Row],[INDEX]]&lt;3,"",Tableau4849[[#This Row],[COMPTE]])</f>
        <v>925832</v>
      </c>
      <c r="AP181" s="35" t="str">
        <f>IF(Tableau4849[[#This Row],[INDEX]]&lt;3,"","NON")</f>
        <v>NON</v>
      </c>
      <c r="AQ181" s="35" t="str">
        <f>IF(Tableau4849[[#This Row],[INDEX]]&lt;3,"",IF(Tableau4849[[#This Row],[0,5]]&lt;0,"NEGATIF",""))</f>
        <v>NEGATIF</v>
      </c>
    </row>
  </sheetData>
  <phoneticPr fontId="12" type="noConversion"/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686F7-36DD-4E1D-8BCB-246AB1A0EF97}">
  <sheetPr codeName="Feuil4">
    <pageSetUpPr autoPageBreaks="0"/>
  </sheetPr>
  <dimension ref="C1:CY243"/>
  <sheetViews>
    <sheetView tabSelected="1" topLeftCell="J27" workbookViewId="0">
      <selection activeCell="Q27" sqref="Q1:Q1048576"/>
    </sheetView>
  </sheetViews>
  <sheetFormatPr baseColWidth="10" defaultRowHeight="15" x14ac:dyDescent="0.25"/>
  <cols>
    <col min="3" max="3" width="18.42578125" customWidth="1"/>
    <col min="6" max="6" width="22.85546875" customWidth="1"/>
    <col min="7" max="9" width="11.7109375" customWidth="1"/>
    <col min="10" max="10" width="15.42578125" customWidth="1"/>
    <col min="11" max="12" width="11.7109375" customWidth="1"/>
    <col min="13" max="13" width="12" customWidth="1"/>
    <col min="14" max="14" width="20.28515625" style="3" customWidth="1"/>
    <col min="15" max="17" width="11.85546875" style="3" customWidth="1"/>
    <col min="18" max="19" width="11.85546875" customWidth="1"/>
    <col min="93" max="93" width="23.28515625" customWidth="1"/>
    <col min="99" max="99" width="25.7109375" customWidth="1"/>
  </cols>
  <sheetData>
    <row r="1" spans="3:20" x14ac:dyDescent="0.25">
      <c r="C1" t="e">
        <f>COUNTIF(#REF!,"NEGATIF")</f>
        <v>#REF!</v>
      </c>
      <c r="F1" t="s">
        <v>32</v>
      </c>
      <c r="G1" s="10" t="s">
        <v>31</v>
      </c>
      <c r="T1">
        <v>1</v>
      </c>
    </row>
    <row r="2" spans="3:20" x14ac:dyDescent="0.25">
      <c r="C2" t="e">
        <f>COUNTIF(#REF!,"POSITIF")</f>
        <v>#REF!</v>
      </c>
      <c r="F2" s="6" t="s">
        <v>0</v>
      </c>
      <c r="G2">
        <v>1.0629</v>
      </c>
      <c r="I2" t="s">
        <v>29</v>
      </c>
      <c r="J2">
        <v>0.01</v>
      </c>
      <c r="K2">
        <v>2</v>
      </c>
      <c r="T2">
        <v>1</v>
      </c>
    </row>
    <row r="3" spans="3:20" x14ac:dyDescent="0.25">
      <c r="T3">
        <v>1</v>
      </c>
    </row>
    <row r="4" spans="3:20" x14ac:dyDescent="0.25">
      <c r="T4">
        <v>1</v>
      </c>
    </row>
    <row r="5" spans="3:20" x14ac:dyDescent="0.25">
      <c r="C5" s="1"/>
      <c r="D5" s="1"/>
      <c r="E5" s="1"/>
      <c r="F5" s="1"/>
      <c r="G5" s="1"/>
      <c r="H5" s="1"/>
      <c r="I5" s="1"/>
      <c r="J5" s="1"/>
      <c r="K5" s="1"/>
      <c r="M5" s="3"/>
      <c r="Q5"/>
      <c r="T5">
        <v>1</v>
      </c>
    </row>
    <row r="6" spans="3:20" x14ac:dyDescent="0.25">
      <c r="C6" s="7"/>
      <c r="M6" s="3"/>
      <c r="P6" s="4"/>
      <c r="Q6"/>
      <c r="T6">
        <v>1</v>
      </c>
    </row>
    <row r="7" spans="3:20" ht="15.75" x14ac:dyDescent="0.25">
      <c r="C7" s="8"/>
      <c r="D7" s="9"/>
      <c r="M7" s="3"/>
      <c r="O7" s="4"/>
      <c r="Q7" s="4"/>
      <c r="T7">
        <v>1</v>
      </c>
    </row>
    <row r="8" spans="3:20" ht="15.75" x14ac:dyDescent="0.25">
      <c r="C8" s="8"/>
      <c r="D8" s="9"/>
      <c r="M8" s="3"/>
      <c r="N8" s="11"/>
      <c r="O8" s="5"/>
      <c r="P8" s="5"/>
      <c r="Q8"/>
      <c r="T8">
        <v>1</v>
      </c>
    </row>
    <row r="9" spans="3:20" ht="15.75" x14ac:dyDescent="0.25">
      <c r="C9" s="8"/>
      <c r="D9" s="9"/>
      <c r="M9" s="3"/>
      <c r="Q9"/>
      <c r="T9">
        <v>1</v>
      </c>
    </row>
    <row r="10" spans="3:20" ht="15.75" x14ac:dyDescent="0.25">
      <c r="C10" s="8"/>
      <c r="D10" s="9"/>
      <c r="M10" s="3"/>
      <c r="Q10"/>
      <c r="T10">
        <v>1</v>
      </c>
    </row>
    <row r="11" spans="3:20" ht="15.75" x14ac:dyDescent="0.25">
      <c r="C11" s="8"/>
      <c r="D11" s="9"/>
      <c r="M11" s="3"/>
      <c r="Q11"/>
      <c r="T11">
        <v>1</v>
      </c>
    </row>
    <row r="12" spans="3:20" ht="15.75" x14ac:dyDescent="0.25">
      <c r="C12" s="8"/>
      <c r="D12" s="9"/>
      <c r="M12" s="3"/>
      <c r="Q12"/>
      <c r="T12">
        <v>1</v>
      </c>
    </row>
    <row r="13" spans="3:20" ht="15.75" x14ac:dyDescent="0.25">
      <c r="C13" s="8"/>
      <c r="D13" s="9"/>
      <c r="M13" s="3"/>
      <c r="Q13"/>
      <c r="T13">
        <v>1</v>
      </c>
    </row>
    <row r="14" spans="3:20" ht="15.75" x14ac:dyDescent="0.25">
      <c r="C14" s="8"/>
      <c r="D14" s="9"/>
      <c r="M14" s="3"/>
      <c r="Q14"/>
      <c r="T14">
        <v>1</v>
      </c>
    </row>
    <row r="15" spans="3:20" ht="15.75" x14ac:dyDescent="0.25">
      <c r="C15" s="8"/>
      <c r="D15" s="9"/>
      <c r="M15" s="3"/>
      <c r="Q15"/>
      <c r="T15">
        <v>1</v>
      </c>
    </row>
    <row r="16" spans="3:20" ht="15.75" x14ac:dyDescent="0.25">
      <c r="C16" s="8"/>
      <c r="D16" s="9"/>
      <c r="M16" s="3"/>
      <c r="Q16"/>
      <c r="T16">
        <v>1</v>
      </c>
    </row>
    <row r="17" spans="3:103" ht="15.75" x14ac:dyDescent="0.25">
      <c r="C17" s="8"/>
      <c r="D17" s="9"/>
      <c r="M17" s="3"/>
      <c r="Q17"/>
      <c r="T17">
        <v>1</v>
      </c>
    </row>
    <row r="18" spans="3:103" ht="15.75" x14ac:dyDescent="0.25">
      <c r="C18" s="8"/>
      <c r="D18" s="9"/>
      <c r="M18" s="3"/>
      <c r="Q18"/>
      <c r="T18">
        <v>1</v>
      </c>
    </row>
    <row r="19" spans="3:103" ht="15.75" x14ac:dyDescent="0.25">
      <c r="C19" s="8"/>
      <c r="D19" s="9"/>
      <c r="M19" s="3"/>
      <c r="Q19"/>
      <c r="T19">
        <v>1</v>
      </c>
    </row>
    <row r="20" spans="3:103" ht="15.75" x14ac:dyDescent="0.25">
      <c r="C20" s="8"/>
      <c r="D20" s="9"/>
      <c r="M20" s="3"/>
      <c r="Q20"/>
      <c r="T20">
        <v>1</v>
      </c>
    </row>
    <row r="21" spans="3:103" ht="15.75" x14ac:dyDescent="0.25">
      <c r="C21" s="8"/>
      <c r="D21" s="9"/>
      <c r="M21" s="3"/>
      <c r="Q21"/>
      <c r="T21">
        <v>1</v>
      </c>
    </row>
    <row r="22" spans="3:103" ht="15.75" x14ac:dyDescent="0.25">
      <c r="C22" s="8"/>
      <c r="D22" s="9"/>
      <c r="M22" s="3"/>
      <c r="Q22"/>
      <c r="T22">
        <v>1</v>
      </c>
    </row>
    <row r="23" spans="3:103" ht="15.75" x14ac:dyDescent="0.25">
      <c r="C23" s="8"/>
      <c r="D23" s="9"/>
      <c r="M23" s="3"/>
      <c r="Q23"/>
      <c r="T23">
        <v>1</v>
      </c>
      <c r="CN23" t="s">
        <v>280</v>
      </c>
      <c r="CO23" t="s">
        <v>278</v>
      </c>
      <c r="CP23" t="s">
        <v>279</v>
      </c>
    </row>
    <row r="24" spans="3:103" ht="15.75" x14ac:dyDescent="0.25">
      <c r="C24" s="8"/>
      <c r="D24" s="9"/>
      <c r="M24" s="3"/>
      <c r="Q24"/>
      <c r="T24">
        <v>1</v>
      </c>
      <c r="CN24" t="s">
        <v>281</v>
      </c>
      <c r="CO24" t="s">
        <v>282</v>
      </c>
      <c r="CP24" t="s">
        <v>283</v>
      </c>
      <c r="CQ24" t="s">
        <v>284</v>
      </c>
      <c r="CR24" t="s">
        <v>285</v>
      </c>
    </row>
    <row r="25" spans="3:103" ht="15.75" x14ac:dyDescent="0.25">
      <c r="C25" s="8"/>
      <c r="D25" s="9"/>
      <c r="M25" s="3"/>
      <c r="Q25"/>
      <c r="T25">
        <v>1</v>
      </c>
    </row>
    <row r="26" spans="3:103" ht="15.75" x14ac:dyDescent="0.25">
      <c r="C26" s="8"/>
      <c r="D26" s="9"/>
      <c r="M26" s="3"/>
      <c r="Q26"/>
      <c r="T26">
        <v>1</v>
      </c>
    </row>
    <row r="27" spans="3:103" ht="15.75" x14ac:dyDescent="0.25">
      <c r="C27" s="8"/>
      <c r="D27" s="9"/>
      <c r="M27" s="3"/>
      <c r="Q27"/>
      <c r="T27">
        <v>1</v>
      </c>
    </row>
    <row r="28" spans="3:103" ht="15.75" x14ac:dyDescent="0.25">
      <c r="C28" s="8"/>
      <c r="D28" s="9"/>
      <c r="M28" s="3"/>
      <c r="Q28"/>
      <c r="T28">
        <v>1</v>
      </c>
    </row>
    <row r="29" spans="3:103" ht="15.75" x14ac:dyDescent="0.25">
      <c r="C29" s="8"/>
      <c r="D29" s="9"/>
      <c r="M29" s="3"/>
      <c r="Q29"/>
      <c r="T29">
        <v>1</v>
      </c>
    </row>
    <row r="30" spans="3:103" ht="15.75" x14ac:dyDescent="0.25">
      <c r="C30" s="8"/>
      <c r="D30" s="9"/>
      <c r="M30" s="3"/>
      <c r="Q30"/>
      <c r="T30">
        <v>1</v>
      </c>
    </row>
    <row r="31" spans="3:103" ht="15.75" x14ac:dyDescent="0.25">
      <c r="C31" s="8"/>
      <c r="D31" s="9"/>
      <c r="M31" s="3"/>
      <c r="Q31"/>
      <c r="T31">
        <v>1</v>
      </c>
    </row>
    <row r="32" spans="3:103" ht="15.75" x14ac:dyDescent="0.25">
      <c r="C32" s="8"/>
      <c r="D32" s="9"/>
      <c r="L32" t="s">
        <v>33</v>
      </c>
      <c r="M32" t="s">
        <v>34</v>
      </c>
      <c r="N32" t="s">
        <v>28</v>
      </c>
      <c r="O32" t="s">
        <v>35</v>
      </c>
      <c r="P32" t="s">
        <v>36</v>
      </c>
      <c r="Q32" t="s">
        <v>37</v>
      </c>
      <c r="R32" t="s">
        <v>38</v>
      </c>
      <c r="S32" t="s">
        <v>39</v>
      </c>
      <c r="T32" t="s">
        <v>40</v>
      </c>
      <c r="U32" t="s">
        <v>41</v>
      </c>
      <c r="V32" t="s">
        <v>42</v>
      </c>
      <c r="W32" t="s">
        <v>43</v>
      </c>
      <c r="X32" t="s">
        <v>44</v>
      </c>
      <c r="Y32" t="s">
        <v>45</v>
      </c>
      <c r="Z32" t="s">
        <v>46</v>
      </c>
      <c r="AA32" t="s">
        <v>47</v>
      </c>
      <c r="AB32" t="s">
        <v>48</v>
      </c>
      <c r="AC32" t="s">
        <v>49</v>
      </c>
      <c r="AD32" t="s">
        <v>50</v>
      </c>
      <c r="AE32" t="s">
        <v>51</v>
      </c>
      <c r="AF32" t="s">
        <v>52</v>
      </c>
      <c r="AG32" t="s">
        <v>53</v>
      </c>
      <c r="AH32" t="s">
        <v>54</v>
      </c>
      <c r="AI32" t="s">
        <v>55</v>
      </c>
      <c r="AJ32" t="s">
        <v>56</v>
      </c>
      <c r="AK32" t="s">
        <v>57</v>
      </c>
      <c r="AL32" t="s">
        <v>58</v>
      </c>
      <c r="AM32" t="s">
        <v>59</v>
      </c>
      <c r="AN32" t="s">
        <v>60</v>
      </c>
      <c r="AO32" t="s">
        <v>61</v>
      </c>
      <c r="AP32" t="s">
        <v>62</v>
      </c>
      <c r="AQ32" t="s">
        <v>63</v>
      </c>
      <c r="AR32" t="s">
        <v>64</v>
      </c>
      <c r="AS32" t="s">
        <v>65</v>
      </c>
      <c r="AT32" t="s">
        <v>66</v>
      </c>
      <c r="AU32" t="s">
        <v>67</v>
      </c>
      <c r="AV32" t="s">
        <v>68</v>
      </c>
      <c r="AW32" t="s">
        <v>69</v>
      </c>
      <c r="AX32" t="s">
        <v>70</v>
      </c>
      <c r="AY32" t="s">
        <v>71</v>
      </c>
      <c r="AZ32" t="s">
        <v>72</v>
      </c>
      <c r="BA32" t="s">
        <v>73</v>
      </c>
      <c r="BB32" t="s">
        <v>74</v>
      </c>
      <c r="BC32" t="s">
        <v>75</v>
      </c>
      <c r="BD32" t="s">
        <v>76</v>
      </c>
      <c r="BE32" t="s">
        <v>77</v>
      </c>
      <c r="BF32" t="s">
        <v>78</v>
      </c>
      <c r="BG32" t="s">
        <v>79</v>
      </c>
      <c r="BH32" t="s">
        <v>80</v>
      </c>
      <c r="BI32" t="s">
        <v>81</v>
      </c>
      <c r="BJ32" t="s">
        <v>82</v>
      </c>
      <c r="BK32" t="s">
        <v>83</v>
      </c>
      <c r="BL32" t="s">
        <v>84</v>
      </c>
      <c r="BM32" t="s">
        <v>85</v>
      </c>
      <c r="BN32" t="s">
        <v>86</v>
      </c>
      <c r="BO32" t="s">
        <v>87</v>
      </c>
      <c r="BP32" t="s">
        <v>88</v>
      </c>
      <c r="BQ32" t="s">
        <v>89</v>
      </c>
      <c r="BR32" t="s">
        <v>90</v>
      </c>
      <c r="BS32" t="s">
        <v>91</v>
      </c>
      <c r="BT32" t="s">
        <v>92</v>
      </c>
      <c r="BU32" t="s">
        <v>93</v>
      </c>
      <c r="BV32" t="s">
        <v>94</v>
      </c>
      <c r="BW32" t="s">
        <v>95</v>
      </c>
      <c r="BX32" t="s">
        <v>96</v>
      </c>
      <c r="BY32" t="s">
        <v>97</v>
      </c>
      <c r="BZ32" t="s">
        <v>98</v>
      </c>
      <c r="CA32" t="s">
        <v>99</v>
      </c>
      <c r="CB32" t="s">
        <v>100</v>
      </c>
      <c r="CC32" t="s">
        <v>101</v>
      </c>
      <c r="CD32" t="s">
        <v>102</v>
      </c>
      <c r="CE32" t="s">
        <v>103</v>
      </c>
      <c r="CF32" t="s">
        <v>104</v>
      </c>
      <c r="CG32" t="s">
        <v>105</v>
      </c>
      <c r="CH32" t="s">
        <v>106</v>
      </c>
      <c r="CI32" t="s">
        <v>107</v>
      </c>
      <c r="CJ32" t="s">
        <v>108</v>
      </c>
      <c r="CK32" t="s">
        <v>109</v>
      </c>
      <c r="CL32" t="s">
        <v>110</v>
      </c>
      <c r="CM32" t="s">
        <v>111</v>
      </c>
      <c r="CN32" t="s">
        <v>112</v>
      </c>
      <c r="CO32" s="12" t="s">
        <v>113</v>
      </c>
      <c r="CP32" s="13" t="s">
        <v>114</v>
      </c>
      <c r="CQ32" s="13" t="s">
        <v>115</v>
      </c>
      <c r="CR32" s="13" t="s">
        <v>116</v>
      </c>
      <c r="CS32" s="13" t="s">
        <v>117</v>
      </c>
      <c r="CT32" s="13" t="s">
        <v>30</v>
      </c>
      <c r="CU32" s="13" t="s">
        <v>1</v>
      </c>
      <c r="CV32" s="13" t="s">
        <v>118</v>
      </c>
      <c r="CW32" s="13" t="s">
        <v>119</v>
      </c>
      <c r="CX32" s="14" t="s">
        <v>120</v>
      </c>
      <c r="CY32" s="14" t="s">
        <v>121</v>
      </c>
    </row>
    <row r="33" spans="3:103" ht="15.75" x14ac:dyDescent="0.25">
      <c r="C33" s="8"/>
      <c r="D33" s="9"/>
      <c r="L33" s="9">
        <v>1</v>
      </c>
      <c r="N33"/>
      <c r="O33" s="7"/>
      <c r="P33"/>
      <c r="Q33" t="s">
        <v>122</v>
      </c>
      <c r="R33" s="15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/>
      </c>
      <c r="S33" t="str">
        <f>IF(AND(ISNUMBER(SEARCH("BUY",Tableau47[[#This Row],[COMMAND]]))),"BUY",IF(AND(ISNUMBER(SEARCH("SELL",Tableau47[[#This Row],[COMMAND]]))),"SELL",""))</f>
        <v/>
      </c>
      <c r="T33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/>
      </c>
      <c r="U33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33" s="9">
        <v>925832</v>
      </c>
      <c r="W33" s="16">
        <f ca="1">NOW()</f>
        <v>44929.316958449075</v>
      </c>
      <c r="X33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/>
      </c>
      <c r="Y33" s="9" t="str">
        <f>IFERROR(VALUE(SUBSTITUTE(Tableau47[[#This Row],[PRICE]],".",",")),"")</f>
        <v/>
      </c>
      <c r="Z33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33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33" s="9" t="str">
        <f>IF(IFERROR(_xlfn.XLOOKUP(Tableau47[[#This Row],[COMMENTAIRE]],'[1]Tickets (2)'!$J$6:$J$805,'[1]Tickets (2)'!$J$6:$J$805),"")&lt;&gt;"",1,"")</f>
        <v/>
      </c>
      <c r="AC33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33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33" s="9" t="str">
        <f>IFERROR(_xlfn.XLOOKUP(Tableau47[[#This Row],[INDEX]],Tableau47[COMPTE],Tableau47[COMPTE]),"")</f>
        <v/>
      </c>
      <c r="AF33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33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33" s="17" t="str">
        <f>IF(Tableau47[[#This Row],[COMMAND]]="BUYSTOP",IFERROR(ABS(Tableau47[[#This Row],[GO7]]-'[1]Deal ticket'!$B$15),""),"")</f>
        <v/>
      </c>
      <c r="AI33" s="9" t="str">
        <f>IF(Tableau47[[#This Row],[COMMAND]]="SELLSTOP",IFERROR(ABS(Tableau47[[#This Row],[GO7]]-'[1]Deal ticket'!$B$16),""),"")</f>
        <v/>
      </c>
      <c r="AJ33" s="9" t="str">
        <f>IF(IFERROR(_xlfn.XLOOKUP(Tableau47[[#This Row],[COMMENTAIRE]],'[1]Tickets (2)'!$J$6:$J$805,'[1]Tickets (2)'!$J$6:$J$805),"")&lt;&gt;"",1,"")</f>
        <v/>
      </c>
      <c r="AK33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33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33" s="9" t="str">
        <f>IF(Tableau47[[#This Row],[COMMAND]]="","",IF(Tableau47[[#This Row],[INDEX]]&lt;3,"",IF(IFERROR(_xlfn.XLOOKUP(Tableau47[[#This Row],[EN COURS]],'[1]Tickets (2)'!$D$6:$D$805,'[1]Tickets (2)'!$E$6:$E$805),"")&lt;&gt;Tableau47[[#This Row],[GO4]],1,"")))</f>
        <v/>
      </c>
      <c r="AN33" s="9" t="str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/>
      </c>
      <c r="AO33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33" s="9"/>
      <c r="AQ33" s="9" t="str">
        <f>IF(Tableau47[[#This Row],[COMMAND]]="","",IF(Tableau47[[#This Row],[INDEX]]&lt;3,"",IF(AND(ISNUMBER(SEARCH("STOP",Tableau47[[#This Row],[Colonne2]])),Tableau47[[#This Row],[EN ATTENTES]]&lt;&gt;"NON"),1,IFERROR(_xlfn.XLOOKUP(Tableau47[[#This Row],[COMMENTAIRE]],'[1]Tickets (2)'!$J$6:$J$805,'[1]Tickets (2)'!$C$6:$C$805),""))))</f>
        <v/>
      </c>
      <c r="AR33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33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33" s="9" t="str">
        <f>IF(Tableau47[[#This Row],[GOUBLOP]]=1,Tableau47[[#This Row],[COMMENTAIRE]],"")</f>
        <v/>
      </c>
      <c r="AU33" s="9"/>
      <c r="AV33" s="9" t="str">
        <f>IFERROR(IF(_xlfn.XLOOKUP(Tableau47[[#This Row],[GOUBLOP2]],[1]!Tableau4849[ATTEINT],[1]!Tableau4849[ATTEINT])&lt;&gt;"",1,""),"")</f>
        <v/>
      </c>
      <c r="AW33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33" s="9" t="str">
        <f>IF(Tableau47[[#This Row],[COMMAND]]="","",IF(Tableau47[[#This Row],[INDEX]]&lt;3,"",LEFT(Tableau47[[#This Row],[COMMENTAIRE]],LEN(Tableau47[[#This Row],[COMMENTAIRE]])-2)))</f>
        <v/>
      </c>
      <c r="AY33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ticket'!B13),1,IF(AND(Tableau47[[#This Row],[GO1]]="BUY",Tableau47[[#This Row],[TP]]&lt;'[1]Deal ticket'!B14),1,""))=1),1,"")))</f>
        <v/>
      </c>
      <c r="AZ33" s="9" t="str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/>
      </c>
      <c r="BA33" s="9" t="str">
        <f>IF(Tableau47[[#This Row],[INDEX]]&lt;3,"",IF(Tableau47[[#This Row],[COMMAND]]="","",IFERROR(Tableau47[[#This Row],[DIS_BUY]]*$AX$30,"")))</f>
        <v/>
      </c>
      <c r="BB33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33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3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33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3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33" s="9" t="str">
        <f>IF(AND(Tableau47[[#This Row],[GO]]="GO",ISNUMBER(SEARCH("BUY",Tableau47[[#This Row],[COMMAND]]))),1,"")</f>
        <v/>
      </c>
      <c r="BH33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33" s="9" t="str">
        <f>IF(OR(Tableau47[[#This Row],[GLOBAL BUY]]=1),Tableau47[[#This Row],[COMMENTAIRE]],"")</f>
        <v/>
      </c>
      <c r="BJ33" s="9" t="str">
        <f>IF(OR(Tableau47[[#This Row],[GLOBAL SELL]]=1),Tableau47[[#This Row],[COMMENTAIRE]],"")</f>
        <v/>
      </c>
      <c r="BK33" s="9" t="str">
        <f>IF(Tableau47[[#This Row],[INDEX]]&lt;3,"",IF(Tableau47[[#This Row],[COMMAND]]="","",SUMIFS(Tableau47[COMMENTAIRE],Tableau47[COMMENTAIRE],Tableau47[[#This Row],[COMMENTAIRE]])))</f>
        <v/>
      </c>
      <c r="BL33" s="9" t="str">
        <f>IF(IFERROR(_xlfn.XLOOKUP(Tableau47[[#This Row],[COMMENTAIRE]],'[1]Tickets (2)'!$J$6:$J$805,'[1]Tickets (2)'!$J$6:$J$805),"")&lt;&gt;"",1,"")</f>
        <v/>
      </c>
      <c r="BM33" s="9" t="str">
        <f>IF(Tableau47[[#This Row],[INDEX]]&lt;3,"",IF(Tableau47[[#This Row],[COMMAND]]="","",IF('[1]Bar history'!$AA$33=1,1,"")))</f>
        <v/>
      </c>
      <c r="BN33" s="9" t="str">
        <f>IFERROR(IFERROR(_xlfn.XLOOKUP(Tableau47[[#This Row],[COMMENTAIRE]],[1]!Tableau4849[IDENTITE],[1]!Tableau4849[0,5]),0),"")</f>
        <v/>
      </c>
      <c r="BO33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33" s="9" t="str">
        <f>IF(IFERROR(_xlfn.XLOOKUP(Tableau47[[#This Row],[COMMENTAIRE]],'[1]Tickets (2)'!$J$6:$J$805,'[1]Tickets (2)'!$U$6:$U$805)," ")="","OK","")</f>
        <v/>
      </c>
      <c r="BQ33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33" s="9" t="str">
        <f>IFERROR(IF(AND(IFERROR(VALUE(SUBSTITUTE(Tableau47[[#This Row],[PRICE]],".",",")),"")+$J$2&lt;=$G$2),"POSITIF",IF(AND(IFERROR(VALUE(SUBSTITUTE(Tableau47[[#This Row],[PRICE]],".",",")),"")+$J$2&gt;=$G$2),"NEGATIF","")),"")</f>
        <v/>
      </c>
      <c r="BS33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33" s="9" t="str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/>
      </c>
      <c r="BU33" s="9" t="str">
        <f>IF(IFERROR(_xlfn.XLOOKUP(Tableau47[[#This Row],[COMMENTAIRE]],'[1]Tickets (2)'!$J$6:$J$805,'[1]Tickets (2)'!$U$6:$U$805)," ")="","OK","")</f>
        <v/>
      </c>
      <c r="BV33" s="9" t="str">
        <f>IF(IFERROR(_xlfn.XLOOKUP(Tableau47[[#This Row],[COMMENTAIRE]],'[1]Tickets (2)'!$J$6:$J$805,'[1]Tickets (2)'!$V$6:$V$805)," ")="","OK","")</f>
        <v/>
      </c>
      <c r="BW33" s="9" t="str">
        <f>IF(Tableau47[[#This Row],[INDEX]]&lt;3,"",IF(Tableau47[[#This Row],[COMMAND]]="","",([1]FSI_TB!$F$12/10)*(Tableau47[[#This Row],[LOT]]/$BW$30)))</f>
        <v/>
      </c>
      <c r="BX33" s="9" t="str">
        <f>IF(Tableau47[[#This Row],[INDEX]]&lt;3,"",IF(Tableau47[[#This Row],[COMMAND]]="","",-([1]FSI_TB!$D$12/10)*(Tableau47[[#This Row],[LOT]]/$BW$30)))</f>
        <v/>
      </c>
      <c r="BY33" s="9"/>
      <c r="BZ33" s="9" t="str">
        <f>IF(AND(Tableau47[[#This Row],[CLOTURE]]="REPOSITIONNER"),"OK",IF(AND(Tableau47[[#This Row],[CLOTURE]]="GAGNANT"),"KO",IF(Tableau47[[#This Row],[NON]]="NON","NON","")))</f>
        <v/>
      </c>
      <c r="CA33" s="18" t="e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#VALUE!</v>
      </c>
      <c r="CB33" s="9" t="str">
        <f>IFERROR(_xlfn.XLOOKUP(Tableau47[[#This Row],[COMMENTAIRE]],'[1]Tickets (2)'!$J$6:$J$805,'[1]Tickets (2)'!$F$6:$F$805),"")</f>
        <v/>
      </c>
      <c r="CC33" s="9" t="str">
        <f>IF(Tableau47[[#This Row],[INDEX]]&lt;3,"",IF(Tableau47[[#This Row],[COMMAND]]="","",Tableau47[[#This Row],[LOT]]))</f>
        <v/>
      </c>
      <c r="CD33" s="9" t="str">
        <f>IF(Tableau47[[#This Row],[INDEX]]&lt;3,"",IF(Tableau47[[#This Row],[COMMAND]]="","",IFERROR(_xlfn.XLOOKUP(Tableau47[[#This Row],[COMMENTAIRE]],[1]!Tableau4849[IDENTITE],[1]!Tableau4849[0,5]),0)))</f>
        <v/>
      </c>
      <c r="CE3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3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33" s="9" t="str" cm="1">
        <f t="array" ref="CG33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33" s="9" t="s">
        <v>122</v>
      </c>
      <c r="CI33" s="9" t="str">
        <f>IFERROR(IF(Tableau47[[#This Row],[INDEX]]&lt;3,"",IF(Tableau47[[#This Row],[COMMAND]]="","",IF(Tableau47[[#This Row],[NBRE DE REPRISE PAR POSITION2]]="",1,Tableau47[[#This Row],[NBRE DE REPRISE PAR POSITION2]]+1))),"")</f>
        <v/>
      </c>
      <c r="CJ33" s="9" t="str">
        <f>IFERROR(IF(Tableau47[[#This Row],[COMMAND]]&lt;3,"",IF(Tableau47[[#This Row],[PRICE]]="","",IF(Tableau47[[#This Row],[FIAL]]="",1,Tableau47[[#This Row],[FIAL]]+1))),"")</f>
        <v/>
      </c>
      <c r="CK33" s="9" t="str">
        <f>IFERROR(IF(Tableau47[[#This Row],[PRICE]]&lt;3,"",IF(Tableau47[[#This Row],[COMMENTAIRE]]="","",IF(Tableau47[[#This Row],[MAJ de la position]]="",1,Tableau47[[#This Row],[MAJ de la position]]+1))),"")</f>
        <v/>
      </c>
      <c r="CL33" s="9" t="str">
        <f>IFERROR(IF(Tableau47[[#This Row],[COMMENTAIRE]]&lt;3,"",IF(Tableau47[[#This Row],[PRODUIT F]]="","",IF(Tableau47[[#This Row],[TAILLE  A la cloture]]="",1,Tableau47[[#This Row],[TAILLE  A la cloture]]+1))),"")</f>
        <v/>
      </c>
      <c r="CM33" s="9" t="str">
        <f>IFERROR(IF(Tableau47[[#This Row],[PRODUIT F]]&lt;3,"",IF(Tableau47[[#This Row],[LOT]]="","",IF(Tableau47[[#This Row],[INDEX]]="",1,Tableau47[[#This Row],[INDEX]]+1))),"")</f>
        <v/>
      </c>
      <c r="CN33" s="9" t="str">
        <f>IF(Tableau47[[#This Row],[INDEX]]&lt;3,"",IF(Tableau47[[#This Row],[COMMAND]]="","",IF(AND(Tableau47[[#This Row],[EN ATTENTES]]="NON",Tableau47[[#This Row],[EN COURS]]&lt;&gt;""),"OK","STOP")))</f>
        <v/>
      </c>
      <c r="CO33" s="19">
        <f ca="1">Tableau47[[#This Row],[Cst TIME]]</f>
        <v>44929.316958449075</v>
      </c>
      <c r="CP33" s="9">
        <f>[1]analos!$Q$237</f>
        <v>926507</v>
      </c>
      <c r="CQ33" s="9" t="str">
        <f>[1]FSI_TB!$F$3</f>
        <v>EURUSD</v>
      </c>
      <c r="CR33" s="9" t="str">
        <f>Tableau47[[#This Row],[GO1]]</f>
        <v/>
      </c>
      <c r="CS33" s="9">
        <f>Tableau47[[#This Row],[PRICE]]</f>
        <v>0</v>
      </c>
      <c r="CT33" s="9" t="str">
        <f>Tableau47[[#This Row],[LOT]]</f>
        <v/>
      </c>
      <c r="CU33" s="9">
        <f>Tableau47[[#This Row],[COMMENTAIRE]]</f>
        <v>0</v>
      </c>
      <c r="CV33" s="9"/>
      <c r="CW33" s="9">
        <v>1</v>
      </c>
      <c r="CX33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33" s="16">
        <f t="shared" ref="CY33:CY96" ca="1" si="0">NOW()</f>
        <v>44929.316958449075</v>
      </c>
    </row>
    <row r="34" spans="3:103" ht="15.75" x14ac:dyDescent="0.25">
      <c r="C34" s="8"/>
      <c r="D34" s="9"/>
      <c r="L34" s="9">
        <v>2</v>
      </c>
      <c r="M34" s="9"/>
      <c r="N34" s="9"/>
      <c r="O34" s="8"/>
      <c r="P34" s="9"/>
      <c r="Q34" s="9"/>
      <c r="R3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/>
      </c>
      <c r="S34" s="9" t="str">
        <f>IF(AND(ISNUMBER(SEARCH("BUY",Tableau47[[#This Row],[COMMAND]]))),"BUY",IF(AND(ISNUMBER(SEARCH("SELL",Tableau47[[#This Row],[COMMAND]]))),"SELL",""))</f>
        <v/>
      </c>
      <c r="T34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/>
      </c>
      <c r="U34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34" s="9">
        <v>925832</v>
      </c>
      <c r="W34" s="20">
        <f ca="1">NOW()</f>
        <v>44929.316958449075</v>
      </c>
      <c r="X34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/>
      </c>
      <c r="Y34" s="9" t="str">
        <f>IFERROR(VALUE(SUBSTITUTE(Tableau47[[#This Row],[PRICE]],".",",")),"")</f>
        <v/>
      </c>
      <c r="Z34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34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34" s="9" t="str">
        <f>IF(IFERROR(_xlfn.XLOOKUP(Tableau47[[#This Row],[COMMENTAIRE]],'[1]Tickets (2)'!$J$6:$J$805,'[1]Tickets (2)'!$J$6:$J$805),"")&lt;&gt;"",1,"")</f>
        <v/>
      </c>
      <c r="AC34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34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34" s="9" t="str">
        <f>IFERROR(_xlfn.XLOOKUP(Tableau47[[#This Row],[INDEX]],Tableau47[COMPTE],Tableau47[COMPTE]),"")</f>
        <v/>
      </c>
      <c r="AF34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34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34" s="17" t="str">
        <f>IF(Tableau47[[#This Row],[COMMAND]]="BUYSTOP",IFERROR(ABS(Tableau47[[#This Row],[GO7]]-'[1]Deal ticket'!$B$15),""),"")</f>
        <v/>
      </c>
      <c r="AI34" s="9" t="str">
        <f>IF(Tableau47[[#This Row],[COMMAND]]="SELLSTOP",IFERROR(ABS(Tableau47[[#This Row],[GO7]]-'[1]Deal ticket'!$B$16),""),"")</f>
        <v/>
      </c>
      <c r="AJ34" s="9" t="str">
        <f>IF(IFERROR(_xlfn.XLOOKUP(Tableau47[[#This Row],[COMMENTAIRE]],'[1]Tickets (2)'!$J$6:$J$805,'[1]Tickets (2)'!$J$6:$J$805),"")&lt;&gt;"",1,"")</f>
        <v/>
      </c>
      <c r="AK34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34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34" s="9" t="str">
        <f>IF(Tableau47[[#This Row],[COMMAND]]="","",IF(Tableau47[[#This Row],[INDEX]]&lt;3,"",IF(IFERROR(_xlfn.XLOOKUP(Tableau47[[#This Row],[EN COURS]],'[1]Tickets (2)'!$D$6:$D$805,'[1]Tickets (2)'!$E$6:$E$805),"")&lt;&gt;Tableau47[[#This Row],[GO4]],1,"")))</f>
        <v/>
      </c>
      <c r="AN34" s="9" t="str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/>
      </c>
      <c r="AO34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34" s="9"/>
      <c r="AQ34" s="9" t="str">
        <f>IFERROR(_xlfn.XLOOKUP(Tableau47[[#This Row],[COMMENTAIRE]],'[1]Tickets (2)'!$J$6:$J$805,'[1]Tickets (2)'!$C$6:$C$805),"")</f>
        <v/>
      </c>
      <c r="AR34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34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34" s="9" t="str">
        <f>IF(Tableau47[[#This Row],[GOUBLOP]]=1,Tableau47[[#This Row],[COMMENTAIRE]],"")</f>
        <v/>
      </c>
      <c r="AU34" s="9"/>
      <c r="AV34" s="9" t="str">
        <f>IFERROR(IF(_xlfn.XLOOKUP(Tableau47[[#This Row],[GOUBLOP2]],[1]!Tableau4849[ATTEINT],[1]!Tableau4849[ATTEINT])&lt;&gt;"",1,""),"")</f>
        <v/>
      </c>
      <c r="AW34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34" s="9" t="str">
        <f>IF(Tableau47[[#This Row],[COMMAND]]="","",IF(Tableau47[[#This Row],[INDEX]]&lt;3,"",LEFT(Tableau47[[#This Row],[COMMENTAIRE]],LEN(Tableau47[[#This Row],[COMMENTAIRE]])-2)))</f>
        <v/>
      </c>
      <c r="AY34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/>
      </c>
      <c r="AZ34" s="9" t="str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/>
      </c>
      <c r="BA34" s="9" t="str">
        <f>IF(Tableau47[[#This Row],[INDEX]]&lt;3,"",IF(Tableau47[[#This Row],[COMMAND]]="","",IFERROR(Tableau47[[#This Row],[DIS_BUY]]*$AX$30,"")))</f>
        <v/>
      </c>
      <c r="BB34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34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3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34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3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34" s="9" t="str">
        <f>IF(AND(Tableau47[[#This Row],[GO]]="GO",ISNUMBER(SEARCH("BUY",Tableau47[[#This Row],[COMMAND]]))),1,"")</f>
        <v/>
      </c>
      <c r="BH34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34" s="9" t="str">
        <f>IF(OR(Tableau47[[#This Row],[GLOBAL BUY]]=1),Tableau47[[#This Row],[COMMENTAIRE]],"")</f>
        <v/>
      </c>
      <c r="BJ34" s="9" t="str">
        <f>IF(OR(Tableau47[[#This Row],[GLOBAL SELL]]=1),Tableau47[[#This Row],[COMMENTAIRE]],"")</f>
        <v/>
      </c>
      <c r="BK34" s="9" t="str">
        <f>IF(Tableau47[[#This Row],[INDEX]]&lt;3,"",IF(Tableau47[[#This Row],[COMMAND]]="","",SUMIFS(Tableau47[COMMENTAIRE],Tableau47[COMMENTAIRE],Tableau47[[#This Row],[COMMENTAIRE]])))</f>
        <v/>
      </c>
      <c r="BL34" s="9" t="str">
        <f>IF(IFERROR(_xlfn.XLOOKUP(Tableau47[[#This Row],[COMMENTAIRE]],'[1]Tickets (2)'!$J$6:$J$805,'[1]Tickets (2)'!$J$6:$J$805),"")&lt;&gt;"",1,"")</f>
        <v/>
      </c>
      <c r="BM34" s="9" t="str">
        <f>IF(Tableau47[[#This Row],[INDEX]]&lt;3,"",IF(Tableau47[[#This Row],[COMMAND]]="","",IF('[1]Bar history'!$AA$33=1,1,"")))</f>
        <v/>
      </c>
      <c r="BN34" s="9" t="str">
        <f>IFERROR(IFERROR(_xlfn.XLOOKUP(Tableau47[[#This Row],[COMMENTAIRE]],[1]!Tableau4849[IDENTITE],[1]!Tableau4849[0,5]),0),"")</f>
        <v/>
      </c>
      <c r="BO34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34" s="9" t="str">
        <f>IF(IFERROR(_xlfn.XLOOKUP(Tableau47[[#This Row],[COMMENTAIRE]],'[1]Tickets (2)'!$J$6:$J$805,'[1]Tickets (2)'!$U$6:$U$805)," ")="","OK","")</f>
        <v/>
      </c>
      <c r="BQ34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34" s="9" t="str">
        <f>IFERROR(IF(AND(IFERROR(VALUE(SUBSTITUTE(Tableau47[[#This Row],[PRICE]],".",",")),"")+$J$2&lt;=$G$2),"POSITIF",IF(AND(IFERROR(VALUE(SUBSTITUTE(Tableau47[[#This Row],[PRICE]],".",",")),"")+$J$2&gt;=$G$2),"NEGATIF","")),"")</f>
        <v/>
      </c>
      <c r="BS34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34" s="9" t="str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/>
      </c>
      <c r="BU34" s="9" t="str">
        <f>IF(IFERROR(_xlfn.XLOOKUP(Tableau47[[#This Row],[COMMENTAIRE]],'[1]Tickets (2)'!$J$6:$J$805,'[1]Tickets (2)'!$U$6:$U$805)," ")="","OK","")</f>
        <v/>
      </c>
      <c r="BV34" s="9" t="str">
        <f>IF(IFERROR(_xlfn.XLOOKUP(Tableau47[[#This Row],[COMMENTAIRE]],'[1]Tickets (2)'!$J$6:$J$805,'[1]Tickets (2)'!$V$6:$V$805)," ")="","OK","")</f>
        <v/>
      </c>
      <c r="BW34" s="9" t="str">
        <f>IF(Tableau47[[#This Row],[INDEX]]&lt;3,"",IF(Tableau47[[#This Row],[COMMAND]]="","",([1]FSI_TB!$F$12/10)*(Tableau47[[#This Row],[LOT]]/$BW$30)))</f>
        <v/>
      </c>
      <c r="BX34" s="9" t="str">
        <f>IF(Tableau47[[#This Row],[INDEX]]&lt;3,"",IF(Tableau47[[#This Row],[COMMAND]]="","",-([1]FSI_TB!$D$12/10)*(Tableau47[[#This Row],[LOT]]/$BW$30)))</f>
        <v/>
      </c>
      <c r="BY34" s="9"/>
      <c r="BZ34" s="9" t="str">
        <f>IF(AND(Tableau47[[#This Row],[CLOTURE]]="REPOSITIONNER"),"OK",IF(AND(Tableau47[[#This Row],[CLOTURE]]="GAGNANT"),"KO",IF(Tableau47[[#This Row],[NON]]="NON","NON","")))</f>
        <v/>
      </c>
      <c r="CA34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34" s="9" t="str">
        <f>IFERROR(_xlfn.XLOOKUP(Tableau47[[#This Row],[COMMENTAIRE]],'[1]Tickets (2)'!$J$6:$J$805,'[1]Tickets (2)'!$F$6:$F$805),"")</f>
        <v/>
      </c>
      <c r="CC34" s="9" t="str">
        <f>IF(Tableau47[[#This Row],[INDEX]]&lt;3,"",IF(Tableau47[[#This Row],[COMMAND]]="","",Tableau47[[#This Row],[LOT]]))</f>
        <v/>
      </c>
      <c r="CD34" s="9" t="str">
        <f>IF(Tableau47[[#This Row],[INDEX]]&lt;3,"",IF(Tableau47[[#This Row],[COMMAND]]="","",IFERROR(_xlfn.XLOOKUP(Tableau47[[#This Row],[COMMENTAIRE]],[1]!Tableau4849[IDENTITE],[1]!Tableau4849[0,5]),0)))</f>
        <v/>
      </c>
      <c r="CE3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3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34" s="9" t="str" cm="1">
        <f t="array" ref="CG34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34" s="9"/>
      <c r="CI34" s="9" t="str">
        <f>IFERROR(IF(Tableau47[[#This Row],[INDEX]]&lt;3,"",IF(Tableau47[[#This Row],[COMMAND]]="","",IF(Tableau47[[#This Row],[NBRE DE REPRISE PAR POSITION2]]="",1,Tableau47[[#This Row],[NBRE DE REPRISE PAR POSITION2]]+1))),"")</f>
        <v/>
      </c>
      <c r="CJ34" s="9"/>
      <c r="CK34" s="21"/>
      <c r="CL34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34" s="9"/>
      <c r="CN34" s="9" t="str">
        <f>IF(Tableau47[[#This Row],[INDEX]]&lt;3,"",IF(Tableau47[[#This Row],[COMMAND]]="","",IF(AND(Tableau47[[#This Row],[EN ATTENTES]]="NON",Tableau47[[#This Row],[EN COURS]]&lt;&gt;""),"OK","STOP")))</f>
        <v/>
      </c>
      <c r="CO34" s="19">
        <f ca="1">Tableau47[[#This Row],[Cst TIME]]</f>
        <v>44929.316958449075</v>
      </c>
      <c r="CP34" s="9">
        <f>[1]analos!$Q$237</f>
        <v>926507</v>
      </c>
      <c r="CQ34" s="9" t="str">
        <f>[1]FSI_TB!$F$3</f>
        <v>EURUSD</v>
      </c>
      <c r="CR34" s="9" t="str">
        <f>Tableau47[[#This Row],[GO1]]</f>
        <v/>
      </c>
      <c r="CS34" s="9">
        <f>Tableau47[[#This Row],[PRICE]]</f>
        <v>0</v>
      </c>
      <c r="CT34" s="9">
        <f>Tableau47[[#This Row],[LOT]]</f>
        <v>0</v>
      </c>
      <c r="CU34" s="9">
        <f>Tableau47[[#This Row],[COMMENTAIRE]]</f>
        <v>0</v>
      </c>
      <c r="CV34" s="9"/>
      <c r="CW34" s="9">
        <v>1</v>
      </c>
      <c r="CX34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34" s="9">
        <f t="shared" ca="1" si="0"/>
        <v>44929.316958449075</v>
      </c>
    </row>
    <row r="35" spans="3:103" ht="15.75" x14ac:dyDescent="0.25">
      <c r="C35" s="8"/>
      <c r="D35" s="9"/>
      <c r="L35" s="9">
        <v>3</v>
      </c>
      <c r="M35" s="9" t="s">
        <v>123</v>
      </c>
      <c r="N35" s="9" t="s">
        <v>124</v>
      </c>
      <c r="O35" s="8" t="s">
        <v>125</v>
      </c>
      <c r="P35" s="9" t="s">
        <v>0</v>
      </c>
      <c r="Q35" s="9">
        <v>2000</v>
      </c>
      <c r="R3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35" s="9" t="str">
        <f>IF(AND(ISNUMBER(SEARCH("BUY",Tableau47[[#This Row],[COMMAND]]))),"BUY",IF(AND(ISNUMBER(SEARCH("SELL",Tableau47[[#This Row],[COMMAND]]))),"SELL",""))</f>
        <v>BUY</v>
      </c>
      <c r="T35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35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35" s="9">
        <v>925832</v>
      </c>
      <c r="W35" s="16">
        <v>44923.464335416669</v>
      </c>
      <c r="X35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35" s="9">
        <f>IFERROR(VALUE(SUBSTITUTE(Tableau47[[#This Row],[PRICE]],".",",")),"")</f>
        <v>1.0637700000000001</v>
      </c>
      <c r="Z35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35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35" s="9" t="str">
        <f>IF(IFERROR(_xlfn.XLOOKUP(Tableau47[[#This Row],[COMMENTAIRE]],'[1]Tickets (2)'!$J$6:$J$805,'[1]Tickets (2)'!$J$6:$J$805),"")&lt;&gt;"",1,"")</f>
        <v/>
      </c>
      <c r="AC35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35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35" s="9" t="str">
        <f>IFERROR(_xlfn.XLOOKUP(Tableau47[[#This Row],[INDEX]],Tableau47[COMPTE],Tableau47[COMPTE]),"")</f>
        <v/>
      </c>
      <c r="AF35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35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35" s="17">
        <f>IF(Tableau47[[#This Row],[COMMAND]]="BUYSTOP",IFERROR(ABS(Tableau47[[#This Row],[GO7]]-'[1]Deal ticket'!$B$15),""),"")</f>
        <v>1.6699999999998383E-3</v>
      </c>
      <c r="AI35" s="9" t="str">
        <f>IF(Tableau47[[#This Row],[COMMAND]]="SELLSTOP",IFERROR(ABS(Tableau47[[#This Row],[GO7]]-'[1]Deal ticket'!$B$16),""),"")</f>
        <v/>
      </c>
      <c r="AJ35" s="9" t="str">
        <f>IF(IFERROR(_xlfn.XLOOKUP(Tableau47[[#This Row],[COMMENTAIRE]],'[1]Tickets (2)'!$J$6:$J$805,'[1]Tickets (2)'!$J$6:$J$805),"")&lt;&gt;"",1,"")</f>
        <v/>
      </c>
      <c r="AK35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35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35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35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1.0637700000000001</v>
      </c>
      <c r="AO35" s="9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>1</v>
      </c>
      <c r="AP35" s="9"/>
      <c r="AQ35" s="9" t="str">
        <f>IFERROR(_xlfn.XLOOKUP(Tableau47[[#This Row],[COMMENTAIRE]],'[1]Tickets (2)'!$J$6:$J$805,'[1]Tickets (2)'!$C$6:$C$805),"")</f>
        <v/>
      </c>
      <c r="AR35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35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35" s="9" t="str">
        <f>IF(Tableau47[[#This Row],[GOUBLOP]]=1,Tableau47[[#This Row],[COMMENTAIRE]],"")</f>
        <v/>
      </c>
      <c r="AU35" s="9"/>
      <c r="AV35" s="9" t="str">
        <f>IFERROR(IF(_xlfn.XLOOKUP(Tableau47[[#This Row],[GOUBLOP2]],[1]!Tableau4849[ATTEINT],[1]!Tableau4849[ATTEINT])&lt;&gt;"",1,""),"")</f>
        <v/>
      </c>
      <c r="AW35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35" s="9" t="str">
        <f>IF(Tableau47[[#This Row],[COMMAND]]="","",IF(Tableau47[[#This Row],[INDEX]]&lt;3,"",LEFT(Tableau47[[#This Row],[COMMENTAIRE]],LEN(Tableau47[[#This Row],[COMMENTAIRE]])-2)))</f>
        <v>1 RBRB B 1.06247 M1</v>
      </c>
      <c r="AY35" s="9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>1</v>
      </c>
      <c r="AZ35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35" s="9">
        <f>IF(Tableau47[[#This Row],[INDEX]]&lt;3,"",IF(Tableau47[[#This Row],[COMMAND]]="","",IFERROR(Tableau47[[#This Row],[DIS_BUY]]*$AX$30,"")))</f>
        <v>0</v>
      </c>
      <c r="BB35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35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-1</v>
      </c>
      <c r="BD3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35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3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35" s="9">
        <f>IF(AND(Tableau47[[#This Row],[GO]]="GO",ISNUMBER(SEARCH("BUY",Tableau47[[#This Row],[COMMAND]]))),1,"")</f>
        <v>1</v>
      </c>
      <c r="BH35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35" s="9" t="str">
        <f>IF(OR(Tableau47[[#This Row],[GLOBAL BUY]]=1),Tableau47[[#This Row],[COMMENTAIRE]],"")</f>
        <v>1 RBRB B 1.06247 M1M1</v>
      </c>
      <c r="BJ35" s="9" t="str">
        <f>IF(OR(Tableau47[[#This Row],[GLOBAL SELL]]=1),Tableau47[[#This Row],[COMMENTAIRE]],"")</f>
        <v/>
      </c>
      <c r="BK35" s="9">
        <f>IF(Tableau47[[#This Row],[INDEX]]&lt;3,"",IF(Tableau47[[#This Row],[COMMAND]]="","",SUMIFS(Tableau47[COMMENTAIRE],Tableau47[COMMENTAIRE],Tableau47[[#This Row],[COMMENTAIRE]])))</f>
        <v>0</v>
      </c>
      <c r="BL35" s="9" t="str">
        <f>IF(IFERROR(_xlfn.XLOOKUP(Tableau47[[#This Row],[COMMENTAIRE]],'[1]Tickets (2)'!$J$6:$J$805,'[1]Tickets (2)'!$J$6:$J$805),"")&lt;&gt;"",1,"")</f>
        <v/>
      </c>
      <c r="BM35" s="9">
        <f>IF(Tableau47[[#This Row],[INDEX]]&lt;3,"",IF(Tableau47[[#This Row],[COMMAND]]="","",IF('[1]Bar history'!$AA$33=1,1,"")))</f>
        <v>1</v>
      </c>
      <c r="BN35" s="9">
        <f>IFERROR(IFERROR(_xlfn.XLOOKUP(Tableau47[[#This Row],[COMMENTAIRE]],[1]!Tableau4849[IDENTITE],[1]!Tableau4849[0,5]),0),"")</f>
        <v>0</v>
      </c>
      <c r="BO35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35" s="9" t="str">
        <f>IF(IFERROR(_xlfn.XLOOKUP(Tableau47[[#This Row],[COMMENTAIRE]],'[1]Tickets (2)'!$J$6:$J$805,'[1]Tickets (2)'!$U$6:$U$805)," ")="","OK","")</f>
        <v/>
      </c>
      <c r="BQ35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35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35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35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35" s="9" t="str">
        <f>IF(IFERROR(_xlfn.XLOOKUP(Tableau47[[#This Row],[COMMENTAIRE]],'[1]Tickets (2)'!$J$6:$J$805,'[1]Tickets (2)'!$U$6:$U$805)," ")="","OK","")</f>
        <v/>
      </c>
      <c r="BV35" s="9" t="str">
        <f>IF(IFERROR(_xlfn.XLOOKUP(Tableau47[[#This Row],[COMMENTAIRE]],'[1]Tickets (2)'!$J$6:$J$805,'[1]Tickets (2)'!$V$6:$V$805)," ")="","OK","")</f>
        <v/>
      </c>
      <c r="BW35" s="9" t="e">
        <f>IF(Tableau47[[#This Row],[INDEX]]&lt;3,"",IF(Tableau47[[#This Row],[COMMAND]]="","",([1]FSI_TB!$F$12/10)*(Tableau47[[#This Row],[LOT]]/$BW$30)))</f>
        <v>#DIV/0!</v>
      </c>
      <c r="BX35" s="9" t="e">
        <f>IF(Tableau47[[#This Row],[INDEX]]&lt;3,"",IF(Tableau47[[#This Row],[COMMAND]]="","",-([1]FSI_TB!$D$12/10)*(Tableau47[[#This Row],[LOT]]/$BW$30)))</f>
        <v>#DIV/0!</v>
      </c>
      <c r="BY35" s="9"/>
      <c r="BZ35" s="9" t="str">
        <f>IF(AND(Tableau47[[#This Row],[CLOTURE]]="REPOSITIONNER"),"OK",IF(AND(Tableau47[[#This Row],[CLOTURE]]="GAGNANT"),"KO",IF(Tableau47[[#This Row],[NON]]="NON","NON","")))</f>
        <v/>
      </c>
      <c r="CA35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35" s="9" t="str">
        <f>IFERROR(_xlfn.XLOOKUP(Tableau47[[#This Row],[COMMENTAIRE]],'[1]Tickets (2)'!$J$6:$J$805,'[1]Tickets (2)'!$F$6:$F$805),"")</f>
        <v/>
      </c>
      <c r="CC35" s="9">
        <f>IF(Tableau47[[#This Row],[INDEX]]&lt;3,"",IF(Tableau47[[#This Row],[COMMAND]]="","",Tableau47[[#This Row],[LOT]]))</f>
        <v>2000</v>
      </c>
      <c r="CD35" s="9">
        <f>IF(Tableau47[[#This Row],[INDEX]]&lt;3,"",IF(Tableau47[[#This Row],[COMMAND]]="","",IFERROR(_xlfn.XLOOKUP(Tableau47[[#This Row],[COMMENTAIRE]],[1]!Tableau4849[IDENTITE],[1]!Tableau4849[0,5]),0)))</f>
        <v>0</v>
      </c>
      <c r="CE3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3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35" s="9" t="str" cm="1">
        <f t="array" ref="CG35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35" s="9"/>
      <c r="CI35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35" s="9"/>
      <c r="CK35" s="21"/>
      <c r="CL35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35" s="9"/>
      <c r="CN35" s="9" t="str">
        <f>IF(Tableau47[[#This Row],[INDEX]]&lt;3,"",IF(Tableau47[[#This Row],[COMMAND]]="","",IF(AND(Tableau47[[#This Row],[EN ATTENTES]]="NON",Tableau47[[#This Row],[EN COURS]]&lt;&gt;""),"OK","STOP")))</f>
        <v>STOP</v>
      </c>
      <c r="CO35" s="19">
        <f>Tableau47[[#This Row],[Cst TIME]]</f>
        <v>44923.464335416669</v>
      </c>
      <c r="CP35" s="9">
        <f>[1]analos!$Q$237</f>
        <v>926507</v>
      </c>
      <c r="CQ35" s="9" t="str">
        <f>[1]FSI_TB!$F$3</f>
        <v>EURUSD</v>
      </c>
      <c r="CR35" s="9" t="str">
        <f>Tableau47[[#This Row],[GO1]]</f>
        <v>BUY</v>
      </c>
      <c r="CS35" s="9" t="str">
        <f>Tableau47[[#This Row],[PRICE]]</f>
        <v>1.06377</v>
      </c>
      <c r="CT35" s="9">
        <f>Tableau47[[#This Row],[LOT]]</f>
        <v>2000</v>
      </c>
      <c r="CU35" s="9" t="str">
        <f>Tableau47[[#This Row],[COMMENTAIRE]]</f>
        <v>1 RBRB B 1.06247 M1M1</v>
      </c>
      <c r="CV35" s="9"/>
      <c r="CW35" s="9">
        <v>1</v>
      </c>
      <c r="CX35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35" s="9">
        <f t="shared" ca="1" si="0"/>
        <v>44929.316958449075</v>
      </c>
    </row>
    <row r="36" spans="3:103" ht="15.75" x14ac:dyDescent="0.25">
      <c r="C36" s="8"/>
      <c r="D36" s="9"/>
      <c r="L36" s="9">
        <v>4</v>
      </c>
      <c r="M36" s="9" t="s">
        <v>123</v>
      </c>
      <c r="N36" s="9" t="s">
        <v>126</v>
      </c>
      <c r="O36" s="8" t="s">
        <v>3</v>
      </c>
      <c r="P36" s="9" t="s">
        <v>0</v>
      </c>
      <c r="Q36" s="9">
        <v>1000</v>
      </c>
      <c r="R3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36" s="9" t="str">
        <f>IF(AND(ISNUMBER(SEARCH("BUY",Tableau47[[#This Row],[COMMAND]]))),"BUY",IF(AND(ISNUMBER(SEARCH("SELL",Tableau47[[#This Row],[COMMAND]]))),"SELL",""))</f>
        <v>BUY</v>
      </c>
      <c r="T36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36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36" s="9">
        <v>925832</v>
      </c>
      <c r="W36" s="16">
        <v>44923.46322986111</v>
      </c>
      <c r="X36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36" s="9">
        <f>IFERROR(VALUE(SUBSTITUTE(Tableau47[[#This Row],[PRICE]],".",",")),"")</f>
        <v>1.06403</v>
      </c>
      <c r="Z36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36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36" s="9" t="str">
        <f>IF(IFERROR(_xlfn.XLOOKUP(Tableau47[[#This Row],[COMMENTAIRE]],'[1]Tickets (2)'!$J$6:$J$805,'[1]Tickets (2)'!$J$6:$J$805),"")&lt;&gt;"",1,"")</f>
        <v/>
      </c>
      <c r="AC36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36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36" s="9" t="str">
        <f>IFERROR(_xlfn.XLOOKUP(Tableau47[[#This Row],[INDEX]],Tableau47[COMPTE],Tableau47[COMPTE]),"")</f>
        <v/>
      </c>
      <c r="AF36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36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36" s="17">
        <f>IF(Tableau47[[#This Row],[COMMAND]]="BUYSTOP",IFERROR(ABS(Tableau47[[#This Row],[GO7]]-'[1]Deal ticket'!$B$15),""),"")</f>
        <v>1.4099999999999113E-3</v>
      </c>
      <c r="AI36" s="9" t="str">
        <f>IF(Tableau47[[#This Row],[COMMAND]]="SELLSTOP",IFERROR(ABS(Tableau47[[#This Row],[GO7]]-'[1]Deal ticket'!$B$16),""),"")</f>
        <v/>
      </c>
      <c r="AJ36" s="9" t="str">
        <f>IF(IFERROR(_xlfn.XLOOKUP(Tableau47[[#This Row],[COMMENTAIRE]],'[1]Tickets (2)'!$J$6:$J$805,'[1]Tickets (2)'!$J$6:$J$805),"")&lt;&gt;"",1,"")</f>
        <v/>
      </c>
      <c r="AK36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36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36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36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1.06403</v>
      </c>
      <c r="AO36" s="9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>1</v>
      </c>
      <c r="AP36" s="9"/>
      <c r="AQ36" s="9" t="str">
        <f>IFERROR(_xlfn.XLOOKUP(Tableau47[[#This Row],[COMMENTAIRE]],'[1]Tickets (2)'!$J$6:$J$805,'[1]Tickets (2)'!$C$6:$C$805),"")</f>
        <v/>
      </c>
      <c r="AR36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36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36" s="9" t="str">
        <f>IF(Tableau47[[#This Row],[GOUBLOP]]=1,Tableau47[[#This Row],[COMMENTAIRE]],"")</f>
        <v/>
      </c>
      <c r="AU36" s="9"/>
      <c r="AV36" s="9" t="str">
        <f>IFERROR(IF(_xlfn.XLOOKUP(Tableau47[[#This Row],[GOUBLOP2]],[1]!Tableau4849[ATTEINT],[1]!Tableau4849[ATTEINT])&lt;&gt;"",1,""),"")</f>
        <v/>
      </c>
      <c r="AW36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36" s="9" t="str">
        <f>IF(Tableau47[[#This Row],[COMMAND]]="","",IF(Tableau47[[#This Row],[INDEX]]&lt;3,"",LEFT(Tableau47[[#This Row],[COMMENTAIRE]],LEN(Tableau47[[#This Row],[COMMENTAIRE]])-2)))</f>
        <v>1 RBRB B 1.06251 M1</v>
      </c>
      <c r="AY36" s="9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>1</v>
      </c>
      <c r="AZ36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36" s="9">
        <f>IF(Tableau47[[#This Row],[INDEX]]&lt;3,"",IF(Tableau47[[#This Row],[COMMAND]]="","",IFERROR(Tableau47[[#This Row],[DIS_BUY]]*$AX$30,"")))</f>
        <v>0</v>
      </c>
      <c r="BB36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36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-1</v>
      </c>
      <c r="BD3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36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3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36" s="9">
        <f>IF(AND(Tableau47[[#This Row],[GO]]="GO",ISNUMBER(SEARCH("BUY",Tableau47[[#This Row],[COMMAND]]))),1,"")</f>
        <v>1</v>
      </c>
      <c r="BH36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36" s="9" t="str">
        <f>IF(OR(Tableau47[[#This Row],[GLOBAL BUY]]=1),Tableau47[[#This Row],[COMMENTAIRE]],"")</f>
        <v>1 RBRB B 1.06251 M1M1</v>
      </c>
      <c r="BJ36" s="9" t="str">
        <f>IF(OR(Tableau47[[#This Row],[GLOBAL SELL]]=1),Tableau47[[#This Row],[COMMENTAIRE]],"")</f>
        <v/>
      </c>
      <c r="BK36" s="9">
        <f>IF(Tableau47[[#This Row],[INDEX]]&lt;3,"",IF(Tableau47[[#This Row],[COMMAND]]="","",SUMIFS(Tableau47[COMMENTAIRE],Tableau47[COMMENTAIRE],Tableau47[[#This Row],[COMMENTAIRE]])))</f>
        <v>0</v>
      </c>
      <c r="BL36" s="9" t="str">
        <f>IF(IFERROR(_xlfn.XLOOKUP(Tableau47[[#This Row],[COMMENTAIRE]],'[1]Tickets (2)'!$J$6:$J$805,'[1]Tickets (2)'!$J$6:$J$805),"")&lt;&gt;"",1,"")</f>
        <v/>
      </c>
      <c r="BM36" s="9">
        <f>IF(Tableau47[[#This Row],[INDEX]]&lt;3,"",IF(Tableau47[[#This Row],[COMMAND]]="","",IF('[1]Bar history'!$AA$33=1,1,"")))</f>
        <v>1</v>
      </c>
      <c r="BN36" s="9">
        <f>IFERROR(IFERROR(_xlfn.XLOOKUP(Tableau47[[#This Row],[COMMENTAIRE]],[1]!Tableau4849[IDENTITE],[1]!Tableau4849[0,5]),0),"")</f>
        <v>0</v>
      </c>
      <c r="BO36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36" s="9" t="s">
        <v>60</v>
      </c>
      <c r="BQ36" s="9" t="s">
        <v>75</v>
      </c>
      <c r="BR36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36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36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36" s="9" t="s">
        <v>60</v>
      </c>
      <c r="BV36" s="9" t="s">
        <v>75</v>
      </c>
      <c r="BW36" s="9" t="e">
        <f>IF(Tableau47[[#This Row],[INDEX]]&lt;3,"",IF(Tableau47[[#This Row],[COMMAND]]="","",([1]FSI_TB!$F$12/10)*(Tableau47[[#This Row],[LOT]]/$BW$30)))</f>
        <v>#DIV/0!</v>
      </c>
      <c r="BX36" s="9" t="e">
        <f>IF(Tableau47[[#This Row],[INDEX]]&lt;3,"",IF(Tableau47[[#This Row],[COMMAND]]="","",-([1]FSI_TB!$D$12/10)*(Tableau47[[#This Row],[LOT]]/$BW$30)))</f>
        <v>#DIV/0!</v>
      </c>
      <c r="BY36" s="9"/>
      <c r="BZ36" s="9" t="str">
        <f>IF(AND(Tableau47[[#This Row],[CLOTURE]]="REPOSITIONNER"),"OK",IF(AND(Tableau47[[#This Row],[CLOTURE]]="GAGNANT"),"KO",IF(Tableau47[[#This Row],[NON]]="NON","NON","")))</f>
        <v/>
      </c>
      <c r="CA36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36" s="9" t="str">
        <f>IFERROR(_xlfn.XLOOKUP(Tableau47[[#This Row],[COMMENTAIRE]],'[1]Tickets (2)'!$J$6:$J$805,'[1]Tickets (2)'!$F$6:$F$805),"")</f>
        <v/>
      </c>
      <c r="CC36" s="9">
        <f>IF(Tableau47[[#This Row],[INDEX]]&lt;3,"",IF(Tableau47[[#This Row],[COMMAND]]="","",Tableau47[[#This Row],[LOT]]))</f>
        <v>1000</v>
      </c>
      <c r="CD36" s="9">
        <f>IF(Tableau47[[#This Row],[INDEX]]&lt;3,"",IF(Tableau47[[#This Row],[COMMAND]]="","",IFERROR(_xlfn.XLOOKUP(Tableau47[[#This Row],[COMMENTAIRE]],[1]!Tableau4849[IDENTITE],[1]!Tableau4849[0,5]),0)))</f>
        <v>0</v>
      </c>
      <c r="CE3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3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36" s="9" t="str" cm="1">
        <f t="array" ref="CG36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36" s="9"/>
      <c r="CI36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36" s="9"/>
      <c r="CK36" s="21"/>
      <c r="CL36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36" s="9"/>
      <c r="CN36" s="9" t="str">
        <f>IF(Tableau47[[#This Row],[INDEX]]&lt;3,"",IF(Tableau47[[#This Row],[COMMAND]]="","",IF(AND(Tableau47[[#This Row],[EN ATTENTES]]="NON",Tableau47[[#This Row],[EN COURS]]&lt;&gt;""),"OK","STOP")))</f>
        <v>STOP</v>
      </c>
      <c r="CO36" s="19">
        <f>Tableau47[[#This Row],[Cst TIME]]</f>
        <v>44923.46322986111</v>
      </c>
      <c r="CP36" s="9">
        <f>[1]analos!$Q$237</f>
        <v>926507</v>
      </c>
      <c r="CQ36" s="9" t="str">
        <f>[1]FSI_TB!$F$3</f>
        <v>EURUSD</v>
      </c>
      <c r="CR36" s="9" t="str">
        <f>Tableau47[[#This Row],[GO1]]</f>
        <v>BUY</v>
      </c>
      <c r="CS36" s="9" t="str">
        <f>Tableau47[[#This Row],[PRICE]]</f>
        <v>1.06403</v>
      </c>
      <c r="CT36" s="9">
        <f>Tableau47[[#This Row],[LOT]]</f>
        <v>1000</v>
      </c>
      <c r="CU36" s="9" t="str">
        <f>Tableau47[[#This Row],[COMMENTAIRE]]</f>
        <v>1 RBRB B 1.06251 M1M1</v>
      </c>
      <c r="CV36" s="9"/>
      <c r="CW36" s="9">
        <v>1</v>
      </c>
      <c r="CX36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36" s="9">
        <f t="shared" ca="1" si="0"/>
        <v>44929.316958449075</v>
      </c>
    </row>
    <row r="37" spans="3:103" ht="15.75" x14ac:dyDescent="0.25">
      <c r="C37" s="8"/>
      <c r="D37" s="9"/>
      <c r="L37" s="9">
        <v>5</v>
      </c>
      <c r="M37" s="9" t="s">
        <v>123</v>
      </c>
      <c r="N37" s="9" t="s">
        <v>127</v>
      </c>
      <c r="O37" s="8" t="s">
        <v>128</v>
      </c>
      <c r="P37" s="9" t="s">
        <v>0</v>
      </c>
      <c r="Q37" s="9">
        <v>1000</v>
      </c>
      <c r="R3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37" s="9" t="str">
        <f>IF(AND(ISNUMBER(SEARCH("BUY",Tableau47[[#This Row],[COMMAND]]))),"BUY",IF(AND(ISNUMBER(SEARCH("SELL",Tableau47[[#This Row],[COMMAND]]))),"SELL",""))</f>
        <v>BUY</v>
      </c>
      <c r="T37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37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37" s="9">
        <v>925832</v>
      </c>
      <c r="W37" s="16">
        <v>44923.461754976852</v>
      </c>
      <c r="X37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37" s="9">
        <f>IFERROR(VALUE(SUBSTITUTE(Tableau47[[#This Row],[PRICE]],".",",")),"")</f>
        <v>1.0636099999999999</v>
      </c>
      <c r="Z37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37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37" s="9" t="str">
        <f>IF(IFERROR(_xlfn.XLOOKUP(Tableau47[[#This Row],[COMMENTAIRE]],'[1]Tickets (2)'!$J$6:$J$805,'[1]Tickets (2)'!$J$6:$J$805),"")&lt;&gt;"",1,"")</f>
        <v/>
      </c>
      <c r="AC37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37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37" s="9" t="str">
        <f>IFERROR(_xlfn.XLOOKUP(Tableau47[[#This Row],[INDEX]],Tableau47[COMPTE],Tableau47[COMPTE]),"")</f>
        <v/>
      </c>
      <c r="AF37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37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37" s="17">
        <f>IF(Tableau47[[#This Row],[COMMAND]]="BUYSTOP",IFERROR(ABS(Tableau47[[#This Row],[GO7]]-'[1]Deal ticket'!$B$15),""),"")</f>
        <v>1.8299999999999983E-3</v>
      </c>
      <c r="AI37" s="9" t="str">
        <f>IF(Tableau47[[#This Row],[COMMAND]]="SELLSTOP",IFERROR(ABS(Tableau47[[#This Row],[GO7]]-'[1]Deal ticket'!$B$16),""),"")</f>
        <v/>
      </c>
      <c r="AJ37" s="9" t="str">
        <f>IF(IFERROR(_xlfn.XLOOKUP(Tableau47[[#This Row],[COMMENTAIRE]],'[1]Tickets (2)'!$J$6:$J$805,'[1]Tickets (2)'!$J$6:$J$805),"")&lt;&gt;"",1,"")</f>
        <v/>
      </c>
      <c r="AK37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37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37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37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1.0636099999999999</v>
      </c>
      <c r="AO37" s="9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>1</v>
      </c>
      <c r="AP37" s="9"/>
      <c r="AQ37" s="9" t="str">
        <f>IFERROR(_xlfn.XLOOKUP(Tableau47[[#This Row],[COMMENTAIRE]],'[1]Tickets (2)'!$J$6:$J$805,'[1]Tickets (2)'!$C$6:$C$805),"")</f>
        <v/>
      </c>
      <c r="AR37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37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37" s="9" t="str">
        <f>IF(Tableau47[[#This Row],[GOUBLOP]]=1,Tableau47[[#This Row],[COMMENTAIRE]],"")</f>
        <v/>
      </c>
      <c r="AU37" s="9"/>
      <c r="AV37" s="9" t="str">
        <f>IFERROR(IF(_xlfn.XLOOKUP(Tableau47[[#This Row],[GOUBLOP2]],[1]!Tableau4849[ATTEINT],[1]!Tableau4849[ATTEINT])&lt;&gt;"",1,""),"")</f>
        <v/>
      </c>
      <c r="AW37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37" s="9" t="str">
        <f>IF(Tableau47[[#This Row],[COMMAND]]="","",IF(Tableau47[[#This Row],[INDEX]]&lt;3,"",LEFT(Tableau47[[#This Row],[COMMENTAIRE]],LEN(Tableau47[[#This Row],[COMMENTAIRE]])-2)))</f>
        <v>1 RBRB B 1.06211 M1</v>
      </c>
      <c r="AY37" s="9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>1</v>
      </c>
      <c r="AZ37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37" s="9">
        <f>IF(Tableau47[[#This Row],[INDEX]]&lt;3,"",IF(Tableau47[[#This Row],[COMMAND]]="","",IFERROR(Tableau47[[#This Row],[DIS_BUY]]*$AX$30,"")))</f>
        <v>0</v>
      </c>
      <c r="BB37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37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-1</v>
      </c>
      <c r="BD3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37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3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37" s="9">
        <f>IF(AND(Tableau47[[#This Row],[GO]]="GO",ISNUMBER(SEARCH("BUY",Tableau47[[#This Row],[COMMAND]]))),1,"")</f>
        <v>1</v>
      </c>
      <c r="BH37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37" s="9" t="str">
        <f>IF(OR(Tableau47[[#This Row],[GLOBAL BUY]]=1),Tableau47[[#This Row],[COMMENTAIRE]],"")</f>
        <v>1 RBRB B 1.06211 M1M1</v>
      </c>
      <c r="BJ37" s="9" t="str">
        <f>IF(OR(Tableau47[[#This Row],[GLOBAL SELL]]=1),Tableau47[[#This Row],[COMMENTAIRE]],"")</f>
        <v/>
      </c>
      <c r="BK37" s="9">
        <f>IF(Tableau47[[#This Row],[INDEX]]&lt;3,"",IF(Tableau47[[#This Row],[COMMAND]]="","",SUMIFS(Tableau47[COMMENTAIRE],Tableau47[COMMENTAIRE],Tableau47[[#This Row],[COMMENTAIRE]])))</f>
        <v>0</v>
      </c>
      <c r="BL37" s="9" t="str">
        <f>IF(IFERROR(_xlfn.XLOOKUP(Tableau47[[#This Row],[COMMENTAIRE]],'[1]Tickets (2)'!$J$6:$J$805,'[1]Tickets (2)'!$J$6:$J$805),"")&lt;&gt;"",1,"")</f>
        <v/>
      </c>
      <c r="BM37" s="9">
        <f>IF(Tableau47[[#This Row],[INDEX]]&lt;3,"",IF(Tableau47[[#This Row],[COMMAND]]="","",IF('[1]Bar history'!$AA$33=1,1,"")))</f>
        <v>1</v>
      </c>
      <c r="BN37" s="9">
        <f>IFERROR(IFERROR(_xlfn.XLOOKUP(Tableau47[[#This Row],[COMMENTAIRE]],[1]!Tableau4849[IDENTITE],[1]!Tableau4849[0,5]),0),"")</f>
        <v>0</v>
      </c>
      <c r="BO37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37" s="9" t="s">
        <v>60</v>
      </c>
      <c r="BQ37" s="9" t="s">
        <v>75</v>
      </c>
      <c r="BR37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37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37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37" s="9" t="s">
        <v>60</v>
      </c>
      <c r="BV37" s="9" t="s">
        <v>75</v>
      </c>
      <c r="BW37" s="9" t="e">
        <f>IF(Tableau47[[#This Row],[INDEX]]&lt;3,"",IF(Tableau47[[#This Row],[COMMAND]]="","",([1]FSI_TB!$F$12/10)*(Tableau47[[#This Row],[LOT]]/$BW$30)))</f>
        <v>#DIV/0!</v>
      </c>
      <c r="BX37" s="9" t="e">
        <f>IF(Tableau47[[#This Row],[INDEX]]&lt;3,"",IF(Tableau47[[#This Row],[COMMAND]]="","",-([1]FSI_TB!$D$12/10)*(Tableau47[[#This Row],[LOT]]/$BW$30)))</f>
        <v>#DIV/0!</v>
      </c>
      <c r="BY37" s="9"/>
      <c r="BZ37" s="9" t="str">
        <f>IF(AND(Tableau47[[#This Row],[CLOTURE]]="REPOSITIONNER"),"OK",IF(AND(Tableau47[[#This Row],[CLOTURE]]="GAGNANT"),"KO",IF(Tableau47[[#This Row],[NON]]="NON","NON","")))</f>
        <v/>
      </c>
      <c r="CA37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37" s="9" t="str">
        <f>IFERROR(_xlfn.XLOOKUP(Tableau47[[#This Row],[COMMENTAIRE]],'[1]Tickets (2)'!$J$6:$J$805,'[1]Tickets (2)'!$F$6:$F$805),"")</f>
        <v/>
      </c>
      <c r="CC37" s="9">
        <f>IF(Tableau47[[#This Row],[INDEX]]&lt;3,"",IF(Tableau47[[#This Row],[COMMAND]]="","",Tableau47[[#This Row],[LOT]]))</f>
        <v>1000</v>
      </c>
      <c r="CD37" s="9">
        <f>IF(Tableau47[[#This Row],[INDEX]]&lt;3,"",IF(Tableau47[[#This Row],[COMMAND]]="","",IFERROR(_xlfn.XLOOKUP(Tableau47[[#This Row],[COMMENTAIRE]],[1]!Tableau4849[IDENTITE],[1]!Tableau4849[0,5]),0)))</f>
        <v>0</v>
      </c>
      <c r="CE3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3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37" s="9" t="str" cm="1">
        <f t="array" ref="CG37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37" s="9"/>
      <c r="CI37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37" s="9"/>
      <c r="CK37" s="21"/>
      <c r="CL37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37" s="9"/>
      <c r="CN37" s="9" t="str">
        <f>IF(Tableau47[[#This Row],[INDEX]]&lt;3,"",IF(Tableau47[[#This Row],[COMMAND]]="","",IF(AND(Tableau47[[#This Row],[EN ATTENTES]]="NON",Tableau47[[#This Row],[EN COURS]]&lt;&gt;""),"OK","STOP")))</f>
        <v>STOP</v>
      </c>
      <c r="CO37" s="19">
        <f>Tableau47[[#This Row],[Cst TIME]]</f>
        <v>44923.461754976852</v>
      </c>
      <c r="CP37" s="9">
        <f>[1]analos!$Q$237</f>
        <v>926507</v>
      </c>
      <c r="CQ37" s="9" t="str">
        <f>[1]FSI_TB!$F$3</f>
        <v>EURUSD</v>
      </c>
      <c r="CR37" s="9" t="str">
        <f>Tableau47[[#This Row],[GO1]]</f>
        <v>BUY</v>
      </c>
      <c r="CS37" s="9" t="str">
        <f>Tableau47[[#This Row],[PRICE]]</f>
        <v>1.06361</v>
      </c>
      <c r="CT37" s="9">
        <f>Tableau47[[#This Row],[LOT]]</f>
        <v>1000</v>
      </c>
      <c r="CU37" s="9" t="str">
        <f>Tableau47[[#This Row],[COMMENTAIRE]]</f>
        <v>1 RBRB B 1.06211 M1M1</v>
      </c>
      <c r="CV37" s="9"/>
      <c r="CW37" s="9">
        <v>1</v>
      </c>
      <c r="CX37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37" s="9">
        <f t="shared" ca="1" si="0"/>
        <v>44929.316958449075</v>
      </c>
    </row>
    <row r="38" spans="3:103" ht="15.75" x14ac:dyDescent="0.25">
      <c r="C38" s="8"/>
      <c r="D38" s="9"/>
      <c r="L38" s="9">
        <v>6</v>
      </c>
      <c r="M38" s="9" t="s">
        <v>123</v>
      </c>
      <c r="N38" s="9" t="s">
        <v>10</v>
      </c>
      <c r="O38" s="8" t="s">
        <v>129</v>
      </c>
      <c r="P38" s="9" t="s">
        <v>0</v>
      </c>
      <c r="Q38" s="9">
        <v>1000</v>
      </c>
      <c r="R3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38" s="9" t="str">
        <f>IF(AND(ISNUMBER(SEARCH("BUY",Tableau47[[#This Row],[COMMAND]]))),"BUY",IF(AND(ISNUMBER(SEARCH("SELL",Tableau47[[#This Row],[COMMAND]]))),"SELL",""))</f>
        <v>BUY</v>
      </c>
      <c r="T38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38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38" s="9">
        <v>925832</v>
      </c>
      <c r="W38" s="16">
        <v>44923.461015972222</v>
      </c>
      <c r="X38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38" s="9">
        <f>IFERROR(VALUE(SUBSTITUTE(Tableau47[[#This Row],[PRICE]],".",",")),"")</f>
        <v>1.0636300000000001</v>
      </c>
      <c r="Z38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38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38" s="9" t="str">
        <f>IF(IFERROR(_xlfn.XLOOKUP(Tableau47[[#This Row],[COMMENTAIRE]],'[1]Tickets (2)'!$J$6:$J$805,'[1]Tickets (2)'!$J$6:$J$805),"")&lt;&gt;"",1,"")</f>
        <v/>
      </c>
      <c r="AC38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38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38" s="9" t="str">
        <f>IFERROR(_xlfn.XLOOKUP(Tableau47[[#This Row],[INDEX]],Tableau47[COMPTE],Tableau47[COMPTE]),"")</f>
        <v/>
      </c>
      <c r="AF38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38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38" s="17">
        <f>IF(Tableau47[[#This Row],[COMMAND]]="BUYSTOP",IFERROR(ABS(Tableau47[[#This Row],[GO7]]-'[1]Deal ticket'!$B$15),""),"")</f>
        <v>1.8099999999998673E-3</v>
      </c>
      <c r="AI38" s="9" t="str">
        <f>IF(Tableau47[[#This Row],[COMMAND]]="SELLSTOP",IFERROR(ABS(Tableau47[[#This Row],[GO7]]-'[1]Deal ticket'!$B$16),""),"")</f>
        <v/>
      </c>
      <c r="AJ38" s="9" t="str">
        <f>IF(IFERROR(_xlfn.XLOOKUP(Tableau47[[#This Row],[COMMENTAIRE]],'[1]Tickets (2)'!$J$6:$J$805,'[1]Tickets (2)'!$J$6:$J$805),"")&lt;&gt;"",1,"")</f>
        <v/>
      </c>
      <c r="AK38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38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38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38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1.0636300000000001</v>
      </c>
      <c r="AO38" s="9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>1</v>
      </c>
      <c r="AP38" s="9"/>
      <c r="AQ38" s="9" t="str">
        <f>IFERROR(_xlfn.XLOOKUP(Tableau47[[#This Row],[COMMENTAIRE]],'[1]Tickets (2)'!$J$6:$J$805,'[1]Tickets (2)'!$C$6:$C$805),"")</f>
        <v/>
      </c>
      <c r="AR38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38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38" s="9" t="str">
        <f>IF(Tableau47[[#This Row],[GOUBLOP]]=1,Tableau47[[#This Row],[COMMENTAIRE]],"")</f>
        <v/>
      </c>
      <c r="AU38" s="9"/>
      <c r="AV38" s="9" t="str">
        <f>IFERROR(IF(_xlfn.XLOOKUP(Tableau47[[#This Row],[GOUBLOP2]],[1]!Tableau4849[ATTEINT],[1]!Tableau4849[ATTEINT])&lt;&gt;"",1,""),"")</f>
        <v/>
      </c>
      <c r="AW38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38" s="9" t="str">
        <f>IF(Tableau47[[#This Row],[COMMAND]]="","",IF(Tableau47[[#This Row],[INDEX]]&lt;3,"",LEFT(Tableau47[[#This Row],[COMMENTAIRE]],LEN(Tableau47[[#This Row],[COMMENTAIRE]])-2)))</f>
        <v>1 RBRB B 1.06212 M1</v>
      </c>
      <c r="AY38" s="9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>1</v>
      </c>
      <c r="AZ38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38" s="9">
        <f>IF(Tableau47[[#This Row],[INDEX]]&lt;3,"",IF(Tableau47[[#This Row],[COMMAND]]="","",IFERROR(Tableau47[[#This Row],[DIS_BUY]]*$AX$30,"")))</f>
        <v>0</v>
      </c>
      <c r="BB38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38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-1</v>
      </c>
      <c r="BD3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38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3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38" s="9">
        <f>IF(AND(Tableau47[[#This Row],[GO]]="GO",ISNUMBER(SEARCH("BUY",Tableau47[[#This Row],[COMMAND]]))),1,"")</f>
        <v>1</v>
      </c>
      <c r="BH38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38" s="9" t="str">
        <f>IF(OR(Tableau47[[#This Row],[GLOBAL BUY]]=1),Tableau47[[#This Row],[COMMENTAIRE]],"")</f>
        <v>1 RBRB B 1.06212 M1M1</v>
      </c>
      <c r="BJ38" s="9" t="str">
        <f>IF(OR(Tableau47[[#This Row],[GLOBAL SELL]]=1),Tableau47[[#This Row],[COMMENTAIRE]],"")</f>
        <v/>
      </c>
      <c r="BK38" s="9">
        <f>IF(Tableau47[[#This Row],[INDEX]]&lt;3,"",IF(Tableau47[[#This Row],[COMMAND]]="","",SUMIFS(Tableau47[COMMENTAIRE],Tableau47[COMMENTAIRE],Tableau47[[#This Row],[COMMENTAIRE]])))</f>
        <v>0</v>
      </c>
      <c r="BL38" s="9" t="str">
        <f>IF(IFERROR(_xlfn.XLOOKUP(Tableau47[[#This Row],[COMMENTAIRE]],'[1]Tickets (2)'!$J$6:$J$805,'[1]Tickets (2)'!$J$6:$J$805),"")&lt;&gt;"",1,"")</f>
        <v/>
      </c>
      <c r="BM38" s="9">
        <f>IF(Tableau47[[#This Row],[INDEX]]&lt;3,"",IF(Tableau47[[#This Row],[COMMAND]]="","",IF('[1]Bar history'!$AA$33=1,1,"")))</f>
        <v>1</v>
      </c>
      <c r="BN38" s="9">
        <f>IFERROR(IFERROR(_xlfn.XLOOKUP(Tableau47[[#This Row],[COMMENTAIRE]],[1]!Tableau4849[IDENTITE],[1]!Tableau4849[0,5]),0),"")</f>
        <v>0</v>
      </c>
      <c r="BO38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38" s="9" t="s">
        <v>60</v>
      </c>
      <c r="BQ38" s="9" t="s">
        <v>75</v>
      </c>
      <c r="BR38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38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38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38" s="9" t="s">
        <v>60</v>
      </c>
      <c r="BV38" s="9" t="s">
        <v>75</v>
      </c>
      <c r="BW38" s="9" t="e">
        <f>IF(Tableau47[[#This Row],[INDEX]]&lt;3,"",IF(Tableau47[[#This Row],[COMMAND]]="","",([1]FSI_TB!$F$12/10)*(Tableau47[[#This Row],[LOT]]/$BW$30)))</f>
        <v>#DIV/0!</v>
      </c>
      <c r="BX38" s="9" t="e">
        <f>IF(Tableau47[[#This Row],[INDEX]]&lt;3,"",IF(Tableau47[[#This Row],[COMMAND]]="","",-([1]FSI_TB!$D$12/10)*(Tableau47[[#This Row],[LOT]]/$BW$30)))</f>
        <v>#DIV/0!</v>
      </c>
      <c r="BY38" s="9"/>
      <c r="BZ38" s="9" t="str">
        <f>IF(AND(Tableau47[[#This Row],[CLOTURE]]="REPOSITIONNER"),"OK",IF(AND(Tableau47[[#This Row],[CLOTURE]]="GAGNANT"),"KO",IF(Tableau47[[#This Row],[NON]]="NON","NON","")))</f>
        <v/>
      </c>
      <c r="CA38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38" s="9" t="str">
        <f>IFERROR(_xlfn.XLOOKUP(Tableau47[[#This Row],[COMMENTAIRE]],'[1]Tickets (2)'!$J$6:$J$805,'[1]Tickets (2)'!$F$6:$F$805),"")</f>
        <v/>
      </c>
      <c r="CC38" s="9">
        <f>IF(Tableau47[[#This Row],[INDEX]]&lt;3,"",IF(Tableau47[[#This Row],[COMMAND]]="","",Tableau47[[#This Row],[LOT]]))</f>
        <v>1000</v>
      </c>
      <c r="CD38" s="9">
        <f>IF(Tableau47[[#This Row],[INDEX]]&lt;3,"",IF(Tableau47[[#This Row],[COMMAND]]="","",IFERROR(_xlfn.XLOOKUP(Tableau47[[#This Row],[COMMENTAIRE]],[1]!Tableau4849[IDENTITE],[1]!Tableau4849[0,5]),0)))</f>
        <v>0</v>
      </c>
      <c r="CE3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3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38" s="9" t="str" cm="1">
        <f t="array" ref="CG38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38" s="9"/>
      <c r="CI38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38" s="9"/>
      <c r="CK38" s="21"/>
      <c r="CL38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38" s="9"/>
      <c r="CN38" s="9" t="str">
        <f>IF(Tableau47[[#This Row],[INDEX]]&lt;3,"",IF(Tableau47[[#This Row],[COMMAND]]="","",IF(AND(Tableau47[[#This Row],[EN ATTENTES]]="NON",Tableau47[[#This Row],[EN COURS]]&lt;&gt;""),"OK","STOP")))</f>
        <v>STOP</v>
      </c>
      <c r="CO38" s="19">
        <f>Tableau47[[#This Row],[Cst TIME]]</f>
        <v>44923.461015972222</v>
      </c>
      <c r="CP38" s="9">
        <f>[1]analos!$Q$237</f>
        <v>926507</v>
      </c>
      <c r="CQ38" s="9" t="str">
        <f>[1]FSI_TB!$F$3</f>
        <v>EURUSD</v>
      </c>
      <c r="CR38" s="9" t="str">
        <f>Tableau47[[#This Row],[GO1]]</f>
        <v>BUY</v>
      </c>
      <c r="CS38" s="9" t="str">
        <f>Tableau47[[#This Row],[PRICE]]</f>
        <v>1.06363</v>
      </c>
      <c r="CT38" s="9">
        <f>Tableau47[[#This Row],[LOT]]</f>
        <v>1000</v>
      </c>
      <c r="CU38" s="9" t="str">
        <f>Tableau47[[#This Row],[COMMENTAIRE]]</f>
        <v>1 RBRB B 1.06212 M1M1</v>
      </c>
      <c r="CV38" s="9"/>
      <c r="CW38" s="9">
        <v>1</v>
      </c>
      <c r="CX38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38" s="9">
        <f t="shared" ca="1" si="0"/>
        <v>44929.316958449075</v>
      </c>
    </row>
    <row r="39" spans="3:103" ht="15.75" x14ac:dyDescent="0.25">
      <c r="C39" s="8"/>
      <c r="D39" s="9"/>
      <c r="L39" s="9">
        <v>7</v>
      </c>
      <c r="M39" s="9" t="s">
        <v>123</v>
      </c>
      <c r="N39" s="9" t="s">
        <v>130</v>
      </c>
      <c r="O39" s="8" t="s">
        <v>131</v>
      </c>
      <c r="P39" s="9" t="s">
        <v>0</v>
      </c>
      <c r="Q39" s="9">
        <v>1000</v>
      </c>
      <c r="R3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39" s="9" t="str">
        <f>IF(AND(ISNUMBER(SEARCH("BUY",Tableau47[[#This Row],[COMMAND]]))),"BUY",IF(AND(ISNUMBER(SEARCH("SELL",Tableau47[[#This Row],[COMMAND]]))),"SELL",""))</f>
        <v>BUY</v>
      </c>
      <c r="T39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39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39" s="9">
        <v>925832</v>
      </c>
      <c r="W39" s="16">
        <v>44923.460250925928</v>
      </c>
      <c r="X39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39" s="9">
        <f>IFERROR(VALUE(SUBSTITUTE(Tableau47[[#This Row],[PRICE]],".",",")),"")</f>
        <v>1.06348</v>
      </c>
      <c r="Z39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39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39" s="9" t="str">
        <f>IF(IFERROR(_xlfn.XLOOKUP(Tableau47[[#This Row],[COMMENTAIRE]],'[1]Tickets (2)'!$J$6:$J$805,'[1]Tickets (2)'!$J$6:$J$805),"")&lt;&gt;"",1,"")</f>
        <v/>
      </c>
      <c r="AC39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39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39" s="9" t="str">
        <f>IFERROR(_xlfn.XLOOKUP(Tableau47[[#This Row],[INDEX]],Tableau47[COMPTE],Tableau47[COMPTE]),"")</f>
        <v/>
      </c>
      <c r="AF39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39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39" s="17">
        <f>IF(Tableau47[[#This Row],[COMMAND]]="BUYSTOP",IFERROR(ABS(Tableau47[[#This Row],[GO7]]-'[1]Deal ticket'!$B$15),""),"")</f>
        <v>1.9599999999999618E-3</v>
      </c>
      <c r="AI39" s="9" t="str">
        <f>IF(Tableau47[[#This Row],[COMMAND]]="SELLSTOP",IFERROR(ABS(Tableau47[[#This Row],[GO7]]-'[1]Deal ticket'!$B$16),""),"")</f>
        <v/>
      </c>
      <c r="AJ39" s="9" t="str">
        <f>IF(IFERROR(_xlfn.XLOOKUP(Tableau47[[#This Row],[COMMENTAIRE]],'[1]Tickets (2)'!$J$6:$J$805,'[1]Tickets (2)'!$J$6:$J$805),"")&lt;&gt;"",1,"")</f>
        <v/>
      </c>
      <c r="AK39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39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39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39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1.06348</v>
      </c>
      <c r="AO39" s="9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>1</v>
      </c>
      <c r="AP39" s="9"/>
      <c r="AQ39" s="9" t="str">
        <f>IFERROR(_xlfn.XLOOKUP(Tableau47[[#This Row],[COMMENTAIRE]],'[1]Tickets (2)'!$J$6:$J$805,'[1]Tickets (2)'!$C$6:$C$805),"")</f>
        <v/>
      </c>
      <c r="AR39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39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39" s="9" t="str">
        <f>IF(Tableau47[[#This Row],[GOUBLOP]]=1,Tableau47[[#This Row],[COMMENTAIRE]],"")</f>
        <v/>
      </c>
      <c r="AU39" s="9"/>
      <c r="AV39" s="9" t="str">
        <f>IFERROR(IF(_xlfn.XLOOKUP(Tableau47[[#This Row],[GOUBLOP2]],[1]!Tableau4849[ATTEINT],[1]!Tableau4849[ATTEINT])&lt;&gt;"",1,""),"")</f>
        <v/>
      </c>
      <c r="AW39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39" s="9" t="str">
        <f>IF(Tableau47[[#This Row],[COMMAND]]="","",IF(Tableau47[[#This Row],[INDEX]]&lt;3,"",LEFT(Tableau47[[#This Row],[COMMENTAIRE]],LEN(Tableau47[[#This Row],[COMMENTAIRE]])-2)))</f>
        <v>1 RBRB B 1.06201 M1</v>
      </c>
      <c r="AY39" s="9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>1</v>
      </c>
      <c r="AZ39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39" s="9">
        <f>IF(Tableau47[[#This Row],[INDEX]]&lt;3,"",IF(Tableau47[[#This Row],[COMMAND]]="","",IFERROR(Tableau47[[#This Row],[DIS_BUY]]*$AX$30,"")))</f>
        <v>0</v>
      </c>
      <c r="BB39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39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-1</v>
      </c>
      <c r="BD3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39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3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39" s="9">
        <f>IF(AND(Tableau47[[#This Row],[GO]]="GO",ISNUMBER(SEARCH("BUY",Tableau47[[#This Row],[COMMAND]]))),1,"")</f>
        <v>1</v>
      </c>
      <c r="BH39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39" s="9" t="str">
        <f>IF(OR(Tableau47[[#This Row],[GLOBAL BUY]]=1),Tableau47[[#This Row],[COMMENTAIRE]],"")</f>
        <v>1 RBRB B 1.06201 M1M1</v>
      </c>
      <c r="BJ39" s="9" t="str">
        <f>IF(OR(Tableau47[[#This Row],[GLOBAL SELL]]=1),Tableau47[[#This Row],[COMMENTAIRE]],"")</f>
        <v/>
      </c>
      <c r="BK39" s="9">
        <f>IF(Tableau47[[#This Row],[INDEX]]&lt;3,"",IF(Tableau47[[#This Row],[COMMAND]]="","",SUMIFS(Tableau47[COMMENTAIRE],Tableau47[COMMENTAIRE],Tableau47[[#This Row],[COMMENTAIRE]])))</f>
        <v>0</v>
      </c>
      <c r="BL39" s="9" t="str">
        <f>IF(IFERROR(_xlfn.XLOOKUP(Tableau47[[#This Row],[COMMENTAIRE]],'[1]Tickets (2)'!$J$6:$J$805,'[1]Tickets (2)'!$J$6:$J$805),"")&lt;&gt;"",1,"")</f>
        <v/>
      </c>
      <c r="BM39" s="9">
        <f>IF(Tableau47[[#This Row],[INDEX]]&lt;3,"",IF(Tableau47[[#This Row],[COMMAND]]="","",IF('[1]Bar history'!$AA$33=1,1,"")))</f>
        <v>1</v>
      </c>
      <c r="BN39" s="9">
        <f>IFERROR(IFERROR(_xlfn.XLOOKUP(Tableau47[[#This Row],[COMMENTAIRE]],[1]!Tableau4849[IDENTITE],[1]!Tableau4849[0,5]),0),"")</f>
        <v>0</v>
      </c>
      <c r="BO39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39" s="9" t="s">
        <v>60</v>
      </c>
      <c r="BQ39" s="9" t="s">
        <v>75</v>
      </c>
      <c r="BR39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39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39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39" s="9" t="s">
        <v>60</v>
      </c>
      <c r="BV39" s="9" t="s">
        <v>75</v>
      </c>
      <c r="BW39" s="9" t="e">
        <f>IF(Tableau47[[#This Row],[INDEX]]&lt;3,"",IF(Tableau47[[#This Row],[COMMAND]]="","",([1]FSI_TB!$F$12/10)*(Tableau47[[#This Row],[LOT]]/$BW$30)))</f>
        <v>#DIV/0!</v>
      </c>
      <c r="BX39" s="9" t="e">
        <f>IF(Tableau47[[#This Row],[INDEX]]&lt;3,"",IF(Tableau47[[#This Row],[COMMAND]]="","",-([1]FSI_TB!$D$12/10)*(Tableau47[[#This Row],[LOT]]/$BW$30)))</f>
        <v>#DIV/0!</v>
      </c>
      <c r="BY39" s="9"/>
      <c r="BZ39" s="9" t="str">
        <f>IF(AND(Tableau47[[#This Row],[CLOTURE]]="REPOSITIONNER"),"OK",IF(AND(Tableau47[[#This Row],[CLOTURE]]="GAGNANT"),"KO",IF(Tableau47[[#This Row],[NON]]="NON","NON","")))</f>
        <v/>
      </c>
      <c r="CA39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39" s="9" t="str">
        <f>IFERROR(_xlfn.XLOOKUP(Tableau47[[#This Row],[COMMENTAIRE]],'[1]Tickets (2)'!$J$6:$J$805,'[1]Tickets (2)'!$F$6:$F$805),"")</f>
        <v/>
      </c>
      <c r="CC39" s="9">
        <f>IF(Tableau47[[#This Row],[INDEX]]&lt;3,"",IF(Tableau47[[#This Row],[COMMAND]]="","",Tableau47[[#This Row],[LOT]]))</f>
        <v>1000</v>
      </c>
      <c r="CD39" s="9">
        <f>IF(Tableau47[[#This Row],[INDEX]]&lt;3,"",IF(Tableau47[[#This Row],[COMMAND]]="","",IFERROR(_xlfn.XLOOKUP(Tableau47[[#This Row],[COMMENTAIRE]],[1]!Tableau4849[IDENTITE],[1]!Tableau4849[0,5]),0)))</f>
        <v>0</v>
      </c>
      <c r="CE3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3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39" s="9" t="str" cm="1">
        <f t="array" ref="CG39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39" s="9"/>
      <c r="CI39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39" s="9"/>
      <c r="CK39" s="21"/>
      <c r="CL39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39" s="9"/>
      <c r="CN39" s="9" t="str">
        <f>IF(Tableau47[[#This Row],[INDEX]]&lt;3,"",IF(Tableau47[[#This Row],[COMMAND]]="","",IF(AND(Tableau47[[#This Row],[EN ATTENTES]]="NON",Tableau47[[#This Row],[EN COURS]]&lt;&gt;""),"OK","STOP")))</f>
        <v>STOP</v>
      </c>
      <c r="CO39" s="19">
        <f>Tableau47[[#This Row],[Cst TIME]]</f>
        <v>44923.460250925928</v>
      </c>
      <c r="CP39" s="9">
        <f>[1]analos!$Q$237</f>
        <v>926507</v>
      </c>
      <c r="CQ39" s="9" t="str">
        <f>[1]FSI_TB!$F$3</f>
        <v>EURUSD</v>
      </c>
      <c r="CR39" s="9" t="str">
        <f>Tableau47[[#This Row],[GO1]]</f>
        <v>BUY</v>
      </c>
      <c r="CS39" s="9" t="str">
        <f>Tableau47[[#This Row],[PRICE]]</f>
        <v>1.06348</v>
      </c>
      <c r="CT39" s="9">
        <f>Tableau47[[#This Row],[LOT]]</f>
        <v>1000</v>
      </c>
      <c r="CU39" s="9" t="str">
        <f>Tableau47[[#This Row],[COMMENTAIRE]]</f>
        <v>1 RBRB B 1.06201 M1M1</v>
      </c>
      <c r="CV39" s="9"/>
      <c r="CW39" s="9">
        <v>1</v>
      </c>
      <c r="CX39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39" s="9">
        <f t="shared" ca="1" si="0"/>
        <v>44929.316958449075</v>
      </c>
    </row>
    <row r="40" spans="3:103" ht="15.75" x14ac:dyDescent="0.25">
      <c r="C40" s="8"/>
      <c r="D40" s="9"/>
      <c r="L40" s="9">
        <v>8</v>
      </c>
      <c r="M40" s="9" t="s">
        <v>132</v>
      </c>
      <c r="N40" s="9" t="s">
        <v>133</v>
      </c>
      <c r="O40" s="8" t="s">
        <v>134</v>
      </c>
      <c r="P40" s="9" t="s">
        <v>0</v>
      </c>
      <c r="Q40" s="9">
        <v>2000</v>
      </c>
      <c r="R4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40" s="9" t="str">
        <f>IF(AND(ISNUMBER(SEARCH("BUY",Tableau47[[#This Row],[COMMAND]]))),"BUY",IF(AND(ISNUMBER(SEARCH("SELL",Tableau47[[#This Row],[COMMAND]]))),"SELL",""))</f>
        <v>SELL</v>
      </c>
      <c r="T40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40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40" s="9">
        <v>925832</v>
      </c>
      <c r="W40" s="16">
        <v>44923.458743287039</v>
      </c>
      <c r="X40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40" s="9">
        <f>IFERROR(VALUE(SUBSTITUTE(Tableau47[[#This Row],[PRICE]],".",",")),"")</f>
        <v>1.06335</v>
      </c>
      <c r="Z40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40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0" s="9" t="str">
        <f>IF(IFERROR(_xlfn.XLOOKUP(Tableau47[[#This Row],[COMMENTAIRE]],'[1]Tickets (2)'!$J$6:$J$805,'[1]Tickets (2)'!$J$6:$J$805),"")&lt;&gt;"",1,"")</f>
        <v/>
      </c>
      <c r="AC40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0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0" s="9" t="str">
        <f>IFERROR(_xlfn.XLOOKUP(Tableau47[[#This Row],[INDEX]],Tableau47[COMPTE],Tableau47[COMPTE]),"")</f>
        <v/>
      </c>
      <c r="AF40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0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0" s="17" t="str">
        <f>IF(Tableau47[[#This Row],[COMMAND]]="BUYSTOP",IFERROR(ABS(Tableau47[[#This Row],[GO7]]-'[1]Deal ticket'!$B$15),""),"")</f>
        <v/>
      </c>
      <c r="AI40" s="9">
        <f>IF(Tableau47[[#This Row],[COMMAND]]="SELLSTOP",IFERROR(ABS(Tableau47[[#This Row],[GO7]]-'[1]Deal ticket'!$B$16),""),"")</f>
        <v>2.2299999999999542E-3</v>
      </c>
      <c r="AJ40" s="9" t="str">
        <f>IF(IFERROR(_xlfn.XLOOKUP(Tableau47[[#This Row],[COMMENTAIRE]],'[1]Tickets (2)'!$J$6:$J$805,'[1]Tickets (2)'!$J$6:$J$805),"")&lt;&gt;"",1,"")</f>
        <v/>
      </c>
      <c r="AK40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0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0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0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1.06335</v>
      </c>
      <c r="AO40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0" s="9"/>
      <c r="AQ40" s="9" t="str">
        <f>IFERROR(_xlfn.XLOOKUP(Tableau47[[#This Row],[COMMENTAIRE]],'[1]Tickets (2)'!$J$6:$J$805,'[1]Tickets (2)'!$C$6:$C$805),"")</f>
        <v/>
      </c>
      <c r="AR40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40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0" s="9" t="str">
        <f>IF(Tableau47[[#This Row],[GOUBLOP]]=1,Tableau47[[#This Row],[COMMENTAIRE]],"")</f>
        <v/>
      </c>
      <c r="AU40" s="9"/>
      <c r="AV40" s="9" t="str">
        <f>IFERROR(IF(_xlfn.XLOOKUP(Tableau47[[#This Row],[GOUBLOP2]],[1]!Tableau4849[ATTEINT],[1]!Tableau4849[ATTEINT])&lt;&gt;"",1,""),"")</f>
        <v/>
      </c>
      <c r="AW40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0" s="9" t="str">
        <f>IF(Tableau47[[#This Row],[COMMAND]]="","",IF(Tableau47[[#This Row],[INDEX]]&lt;3,"",LEFT(Tableau47[[#This Row],[COMMENTAIRE]],LEN(Tableau47[[#This Row],[COMMENTAIRE]])-2)))</f>
        <v>1 RSRS S 1.06383 M1</v>
      </c>
      <c r="AY40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/>
      </c>
      <c r="AZ40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0" s="9" t="str">
        <f>IF(Tableau47[[#This Row],[INDEX]]&lt;3,"",IF(Tableau47[[#This Row],[COMMAND]]="","",IFERROR(Tableau47[[#This Row],[DIS_BUY]]*$AX$30,"")))</f>
        <v/>
      </c>
      <c r="BB40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0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4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0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0" s="9" t="str">
        <f>IF(AND(Tableau47[[#This Row],[GO]]="GO",ISNUMBER(SEARCH("BUY",Tableau47[[#This Row],[COMMAND]]))),1,"")</f>
        <v/>
      </c>
      <c r="BH40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0" s="9" t="str">
        <f>IF(OR(Tableau47[[#This Row],[GLOBAL BUY]]=1),Tableau47[[#This Row],[COMMENTAIRE]],"")</f>
        <v/>
      </c>
      <c r="BJ40" s="9" t="str">
        <f>IF(OR(Tableau47[[#This Row],[GLOBAL SELL]]=1),Tableau47[[#This Row],[COMMENTAIRE]],"")</f>
        <v/>
      </c>
      <c r="BK40" s="9">
        <f>IF(Tableau47[[#This Row],[INDEX]]&lt;3,"",IF(Tableau47[[#This Row],[COMMAND]]="","",SUMIFS(Tableau47[COMMENTAIRE],Tableau47[COMMENTAIRE],Tableau47[[#This Row],[COMMENTAIRE]])))</f>
        <v>0</v>
      </c>
      <c r="BL40" s="9" t="str">
        <f>IF(IFERROR(_xlfn.XLOOKUP(Tableau47[[#This Row],[COMMENTAIRE]],'[1]Tickets (2)'!$J$6:$J$805,'[1]Tickets (2)'!$J$6:$J$805),"")&lt;&gt;"",1,"")</f>
        <v/>
      </c>
      <c r="BM40" s="9">
        <f>IF(Tableau47[[#This Row],[INDEX]]&lt;3,"",IF(Tableau47[[#This Row],[COMMAND]]="","",IF('[1]Bar history'!$AA$33=1,1,"")))</f>
        <v>1</v>
      </c>
      <c r="BN40" s="9">
        <f>IFERROR(IFERROR(_xlfn.XLOOKUP(Tableau47[[#This Row],[COMMENTAIRE]],[1]!Tableau4849[IDENTITE],[1]!Tableau4849[0,5]),0),"")</f>
        <v>0</v>
      </c>
      <c r="BO40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0" s="9" t="s">
        <v>60</v>
      </c>
      <c r="BQ40" s="9" t="s">
        <v>75</v>
      </c>
      <c r="BR40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0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0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0" s="9" t="s">
        <v>60</v>
      </c>
      <c r="BV40" s="9" t="s">
        <v>75</v>
      </c>
      <c r="BW40" s="9" t="e">
        <f>IF(Tableau47[[#This Row],[INDEX]]&lt;3,"",IF(Tableau47[[#This Row],[COMMAND]]="","",([1]FSI_TB!$F$12/10)*(Tableau47[[#This Row],[LOT]]/$BW$30)))</f>
        <v>#DIV/0!</v>
      </c>
      <c r="BX40" s="9" t="e">
        <f>IF(Tableau47[[#This Row],[INDEX]]&lt;3,"",IF(Tableau47[[#This Row],[COMMAND]]="","",-([1]FSI_TB!$D$12/10)*(Tableau47[[#This Row],[LOT]]/$BW$30)))</f>
        <v>#DIV/0!</v>
      </c>
      <c r="BY40" s="9"/>
      <c r="BZ40" s="9" t="str">
        <f>IF(AND(Tableau47[[#This Row],[CLOTURE]]="REPOSITIONNER"),"OK",IF(AND(Tableau47[[#This Row],[CLOTURE]]="GAGNANT"),"KO",IF(Tableau47[[#This Row],[NON]]="NON","NON","")))</f>
        <v/>
      </c>
      <c r="CA40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40" s="9" t="str">
        <f>IFERROR(_xlfn.XLOOKUP(Tableau47[[#This Row],[COMMENTAIRE]],'[1]Tickets (2)'!$J$6:$J$805,'[1]Tickets (2)'!$F$6:$F$805),"")</f>
        <v/>
      </c>
      <c r="CC40" s="9">
        <f>IF(Tableau47[[#This Row],[INDEX]]&lt;3,"",IF(Tableau47[[#This Row],[COMMAND]]="","",Tableau47[[#This Row],[LOT]]))</f>
        <v>2000</v>
      </c>
      <c r="CD40" s="9">
        <f>IF(Tableau47[[#This Row],[INDEX]]&lt;3,"",IF(Tableau47[[#This Row],[COMMAND]]="","",IFERROR(_xlfn.XLOOKUP(Tableau47[[#This Row],[COMMENTAIRE]],[1]!Tableau4849[IDENTITE],[1]!Tableau4849[0,5]),0)))</f>
        <v>0</v>
      </c>
      <c r="CE4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0" s="9" t="str" cm="1">
        <f t="array" ref="CG40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0" s="9"/>
      <c r="CI40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0" s="9"/>
      <c r="CK40" s="21"/>
      <c r="CL40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0" s="9"/>
      <c r="CN40" s="9" t="str">
        <f>IF(Tableau47[[#This Row],[INDEX]]&lt;3,"",IF(Tableau47[[#This Row],[COMMAND]]="","",IF(AND(Tableau47[[#This Row],[EN ATTENTES]]="NON",Tableau47[[#This Row],[EN COURS]]&lt;&gt;""),"OK","STOP")))</f>
        <v>STOP</v>
      </c>
      <c r="CO40" s="19">
        <f>Tableau47[[#This Row],[Cst TIME]]</f>
        <v>44923.458743287039</v>
      </c>
      <c r="CP40" s="9">
        <f>[1]analos!$Q$237</f>
        <v>926507</v>
      </c>
      <c r="CQ40" s="9" t="str">
        <f>[1]FSI_TB!$F$3</f>
        <v>EURUSD</v>
      </c>
      <c r="CR40" s="9" t="str">
        <f>Tableau47[[#This Row],[GO1]]</f>
        <v>SELL</v>
      </c>
      <c r="CS40" s="9" t="str">
        <f>Tableau47[[#This Row],[PRICE]]</f>
        <v>1.06335</v>
      </c>
      <c r="CT40" s="9">
        <f>Tableau47[[#This Row],[LOT]]</f>
        <v>2000</v>
      </c>
      <c r="CU40" s="9" t="str">
        <f>Tableau47[[#This Row],[COMMENTAIRE]]</f>
        <v>1 RSRS S 1.06383 M1M1</v>
      </c>
      <c r="CV40" s="9"/>
      <c r="CW40" s="9">
        <v>1</v>
      </c>
      <c r="CX40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0" s="9">
        <f t="shared" ca="1" si="0"/>
        <v>44929.316958449075</v>
      </c>
    </row>
    <row r="41" spans="3:103" ht="15.75" x14ac:dyDescent="0.25">
      <c r="C41" s="8"/>
      <c r="D41" s="9"/>
      <c r="L41" s="9">
        <v>9</v>
      </c>
      <c r="M41" s="9" t="s">
        <v>132</v>
      </c>
      <c r="N41" s="9" t="s">
        <v>135</v>
      </c>
      <c r="O41" s="8" t="s">
        <v>136</v>
      </c>
      <c r="P41" s="9" t="s">
        <v>0</v>
      </c>
      <c r="Q41" s="9">
        <v>7000</v>
      </c>
      <c r="R4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41" s="9" t="str">
        <f>IF(AND(ISNUMBER(SEARCH("BUY",Tableau47[[#This Row],[COMMAND]]))),"BUY",IF(AND(ISNUMBER(SEARCH("SELL",Tableau47[[#This Row],[COMMAND]]))),"SELL",""))</f>
        <v>SELL</v>
      </c>
      <c r="T41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41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41" s="9">
        <v>925832</v>
      </c>
      <c r="W41" s="22">
        <v>44923.458346874999</v>
      </c>
      <c r="X41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41" s="9">
        <f>IFERROR(VALUE(SUBSTITUTE(Tableau47[[#This Row],[PRICE]],".",",")),"")</f>
        <v>1.06315</v>
      </c>
      <c r="Z41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41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1" s="9" t="str">
        <f>IF(IFERROR(_xlfn.XLOOKUP(Tableau47[[#This Row],[COMMENTAIRE]],'[1]Tickets (2)'!$J$6:$J$805,'[1]Tickets (2)'!$J$6:$J$805),"")&lt;&gt;"",1,"")</f>
        <v/>
      </c>
      <c r="AC41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1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1" s="9" t="str">
        <f>IFERROR(_xlfn.XLOOKUP(Tableau47[[#This Row],[INDEX]],Tableau47[COMPTE],Tableau47[COMPTE]),"")</f>
        <v/>
      </c>
      <c r="AF41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1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1" s="17" t="str">
        <f>IF(Tableau47[[#This Row],[COMMAND]]="BUYSTOP",IFERROR(ABS(Tableau47[[#This Row],[GO7]]-'[1]Deal ticket'!$B$15),""),"")</f>
        <v/>
      </c>
      <c r="AI41" s="9">
        <f>IF(Tableau47[[#This Row],[COMMAND]]="SELLSTOP",IFERROR(ABS(Tableau47[[#This Row],[GO7]]-'[1]Deal ticket'!$B$16),""),"")</f>
        <v>2.4299999999999322E-3</v>
      </c>
      <c r="AJ41" s="9" t="str">
        <f>IF(IFERROR(_xlfn.XLOOKUP(Tableau47[[#This Row],[COMMENTAIRE]],'[1]Tickets (2)'!$J$6:$J$805,'[1]Tickets (2)'!$J$6:$J$805),"")&lt;&gt;"",1,"")</f>
        <v/>
      </c>
      <c r="AK41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1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1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1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1.06315</v>
      </c>
      <c r="AO41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1" s="9" t="s">
        <v>97</v>
      </c>
      <c r="AQ41" s="9" t="str">
        <f>IFERROR(_xlfn.XLOOKUP(Tableau47[[#This Row],[COMMENTAIRE]],'[1]Tickets (2)'!$J$6:$J$805,'[1]Tickets (2)'!$C$6:$C$805),"")</f>
        <v/>
      </c>
      <c r="AR41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41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1" s="9" t="str">
        <f>IF(Tableau47[[#This Row],[GOUBLOP]]=1,Tableau47[[#This Row],[COMMENTAIRE]],"")</f>
        <v/>
      </c>
      <c r="AU41" s="9"/>
      <c r="AV41" s="9" t="str">
        <f>IFERROR(IF(_xlfn.XLOOKUP(Tableau47[[#This Row],[GOUBLOP2]],[1]!Tableau4849[ATTEINT],[1]!Tableau4849[ATTEINT])&lt;&gt;"",1,""),"")</f>
        <v/>
      </c>
      <c r="AW41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1" s="9" t="str">
        <f>IF(Tableau47[[#This Row],[COMMAND]]="","",IF(Tableau47[[#This Row],[INDEX]]&lt;3,"",LEFT(Tableau47[[#This Row],[COMMENTAIRE]],LEN(Tableau47[[#This Row],[COMMENTAIRE]])-2)))</f>
        <v>1 RSRS S 1.06304 M1</v>
      </c>
      <c r="AY41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41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1" s="9" t="str">
        <f>IF(Tableau47[[#This Row],[INDEX]]&lt;3,"",IF(Tableau47[[#This Row],[COMMAND]]="","",IFERROR(Tableau47[[#This Row],[DIS_BUY]]*$AX$30,"")))</f>
        <v/>
      </c>
      <c r="BB41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1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4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1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1" s="9" t="str">
        <f>IF(AND(Tableau47[[#This Row],[GO]]="GO",ISNUMBER(SEARCH("BUY",Tableau47[[#This Row],[COMMAND]]))),1,"")</f>
        <v/>
      </c>
      <c r="BH41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1" s="9" t="str">
        <f>IF(OR(Tableau47[[#This Row],[GLOBAL BUY]]=1),Tableau47[[#This Row],[COMMENTAIRE]],"")</f>
        <v/>
      </c>
      <c r="BJ41" s="9" t="str">
        <f>IF(OR(Tableau47[[#This Row],[GLOBAL SELL]]=1),Tableau47[[#This Row],[COMMENTAIRE]],"")</f>
        <v/>
      </c>
      <c r="BK41" s="9">
        <f>IF(Tableau47[[#This Row],[INDEX]]&lt;3,"",IF(Tableau47[[#This Row],[COMMAND]]="","",SUMIFS(Tableau47[COMMENTAIRE],Tableau47[COMMENTAIRE],Tableau47[[#This Row],[COMMENTAIRE]])))</f>
        <v>0</v>
      </c>
      <c r="BL41" s="9" t="str">
        <f>IF(IFERROR(_xlfn.XLOOKUP(Tableau47[[#This Row],[COMMENTAIRE]],'[1]Tickets (2)'!$J$6:$J$805,'[1]Tickets (2)'!$J$6:$J$805),"")&lt;&gt;"",1,"")</f>
        <v/>
      </c>
      <c r="BM41" s="9">
        <f>IF(Tableau47[[#This Row],[INDEX]]&lt;3,"",IF(Tableau47[[#This Row],[COMMAND]]="","",IF('[1]Bar history'!$AA$33=1,1,"")))</f>
        <v>1</v>
      </c>
      <c r="BN41" s="9">
        <f>IFERROR(IFERROR(_xlfn.XLOOKUP(Tableau47[[#This Row],[COMMENTAIRE]],[1]!Tableau4849[IDENTITE],[1]!Tableau4849[0,5]),0),"")</f>
        <v>0</v>
      </c>
      <c r="BO41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1" s="9" t="str">
        <f>IF(IFERROR(_xlfn.XLOOKUP(Tableau47[[#This Row],[COMMENTAIRE]],'[1]Tickets (2)'!$J$6:$J$805,'[1]Tickets (2)'!$U$6:$U$805)," ")="","OK","")</f>
        <v/>
      </c>
      <c r="BQ41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41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1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1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1" s="9" t="str">
        <f>IF(IFERROR(_xlfn.XLOOKUP(Tableau47[[#This Row],[COMMENTAIRE]],'[1]Tickets (2)'!$J$6:$J$805,'[1]Tickets (2)'!$U$6:$U$805)," ")="","OK","")</f>
        <v/>
      </c>
      <c r="BV41" s="9" t="str">
        <f>IF(IFERROR(_xlfn.XLOOKUP(Tableau47[[#This Row],[COMMENTAIRE]],'[1]Tickets (2)'!$J$6:$J$805,'[1]Tickets (2)'!$V$6:$V$805)," ")="","OK","")</f>
        <v/>
      </c>
      <c r="BW41" s="9" t="e">
        <f>IF(Tableau47[[#This Row],[INDEX]]&lt;3,"",IF(Tableau47[[#This Row],[COMMAND]]="","",([1]FSI_TB!$F$12/10)*(Tableau47[[#This Row],[LOT]]/$BW$30)))</f>
        <v>#DIV/0!</v>
      </c>
      <c r="BX41" s="9" t="e">
        <f>IF(Tableau47[[#This Row],[INDEX]]&lt;3,"",IF(Tableau47[[#This Row],[COMMAND]]="","",-([1]FSI_TB!$D$12/10)*(Tableau47[[#This Row],[LOT]]/$BW$30)))</f>
        <v>#DIV/0!</v>
      </c>
      <c r="BY41" s="9" t="s">
        <v>97</v>
      </c>
      <c r="BZ41" s="9" t="str">
        <f>IF(AND(Tableau47[[#This Row],[CLOTURE]]="REPOSITIONNER"),"OK",IF(AND(Tableau47[[#This Row],[CLOTURE]]="GAGNANT"),"KO",IF(Tableau47[[#This Row],[NON]]="NON","NON","")))</f>
        <v>NON</v>
      </c>
      <c r="CA41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7000</v>
      </c>
      <c r="CB41" s="9" t="str">
        <f>IFERROR(_xlfn.XLOOKUP(Tableau47[[#This Row],[COMMENTAIRE]],'[1]Tickets (2)'!$J$6:$J$805,'[1]Tickets (2)'!$F$6:$F$805),"")</f>
        <v/>
      </c>
      <c r="CC41" s="9">
        <f>IF(Tableau47[[#This Row],[INDEX]]&lt;3,"",IF(Tableau47[[#This Row],[COMMAND]]="","",Tableau47[[#This Row],[LOT]]))</f>
        <v>7000</v>
      </c>
      <c r="CD41" s="9">
        <f>IF(Tableau47[[#This Row],[INDEX]]&lt;3,"",IF(Tableau47[[#This Row],[COMMAND]]="","",IFERROR(_xlfn.XLOOKUP(Tableau47[[#This Row],[COMMENTAIRE]],[1]!Tableau4849[IDENTITE],[1]!Tableau4849[0,5]),0)))</f>
        <v>0</v>
      </c>
      <c r="CE4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1" s="9" t="str" cm="1">
        <f t="array" ref="CG4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1" s="9"/>
      <c r="CI41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1" s="9"/>
      <c r="CK41" s="21"/>
      <c r="CL41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1" s="9"/>
      <c r="CN41" s="9" t="str">
        <f>IF(Tableau47[[#This Row],[INDEX]]&lt;3,"",IF(Tableau47[[#This Row],[COMMAND]]="","",IF(AND(Tableau47[[#This Row],[EN ATTENTES]]="NON",Tableau47[[#This Row],[EN COURS]]&lt;&gt;""),"OK","STOP")))</f>
        <v>STOP</v>
      </c>
      <c r="CO41" s="19">
        <f>Tableau47[[#This Row],[Cst TIME]]</f>
        <v>44923.458346874999</v>
      </c>
      <c r="CP41" s="9">
        <f>[1]analos!$Q$237</f>
        <v>926507</v>
      </c>
      <c r="CQ41" s="9" t="str">
        <f>[1]FSI_TB!$F$3</f>
        <v>EURUSD</v>
      </c>
      <c r="CR41" s="9" t="str">
        <f>Tableau47[[#This Row],[GO1]]</f>
        <v>SELL</v>
      </c>
      <c r="CS41" s="9" t="str">
        <f>Tableau47[[#This Row],[PRICE]]</f>
        <v>1.06315</v>
      </c>
      <c r="CT41" s="9">
        <f>Tableau47[[#This Row],[LOT]]</f>
        <v>7000</v>
      </c>
      <c r="CU41" s="9" t="str">
        <f>Tableau47[[#This Row],[COMMENTAIRE]]</f>
        <v>1 RSRS S 1.06304 M1M1</v>
      </c>
      <c r="CV41" s="9"/>
      <c r="CW41" s="9">
        <v>1</v>
      </c>
      <c r="CX41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1" s="9">
        <f t="shared" ca="1" si="0"/>
        <v>44929.316958449075</v>
      </c>
    </row>
    <row r="42" spans="3:103" ht="15.75" x14ac:dyDescent="0.25">
      <c r="C42" s="8"/>
      <c r="D42" s="9"/>
      <c r="L42" s="9">
        <v>10</v>
      </c>
      <c r="M42" s="9" t="s">
        <v>132</v>
      </c>
      <c r="N42" s="9" t="s">
        <v>137</v>
      </c>
      <c r="O42" s="8" t="s">
        <v>138</v>
      </c>
      <c r="P42" s="9" t="s">
        <v>0</v>
      </c>
      <c r="Q42" s="9">
        <v>9000</v>
      </c>
      <c r="R4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42" s="9" t="str">
        <f>IF(AND(ISNUMBER(SEARCH("BUY",Tableau47[[#This Row],[COMMAND]]))),"BUY",IF(AND(ISNUMBER(SEARCH("SELL",Tableau47[[#This Row],[COMMAND]]))),"SELL",""))</f>
        <v>SELL</v>
      </c>
      <c r="T42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42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42" s="9">
        <v>925832</v>
      </c>
      <c r="W42" s="22">
        <v>44923.458054050927</v>
      </c>
      <c r="X42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42" s="9">
        <f>IFERROR(VALUE(SUBSTITUTE(Tableau47[[#This Row],[PRICE]],".",",")),"")</f>
        <v>1.0630900000000001</v>
      </c>
      <c r="Z42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42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2" s="9" t="str">
        <f>IF(IFERROR(_xlfn.XLOOKUP(Tableau47[[#This Row],[COMMENTAIRE]],'[1]Tickets (2)'!$J$6:$J$805,'[1]Tickets (2)'!$J$6:$J$805),"")&lt;&gt;"",1,"")</f>
        <v/>
      </c>
      <c r="AC42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2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2" s="9" t="str">
        <f>IFERROR(_xlfn.XLOOKUP(Tableau47[[#This Row],[INDEX]],Tableau47[COMPTE],Tableau47[COMPTE]),"")</f>
        <v/>
      </c>
      <c r="AF42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2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2" s="17" t="str">
        <f>IF(Tableau47[[#This Row],[COMMAND]]="BUYSTOP",IFERROR(ABS(Tableau47[[#This Row],[GO7]]-'[1]Deal ticket'!$B$15),""),"")</f>
        <v/>
      </c>
      <c r="AI42" s="9">
        <f>IF(Tableau47[[#This Row],[COMMAND]]="SELLSTOP",IFERROR(ABS(Tableau47[[#This Row],[GO7]]-'[1]Deal ticket'!$B$16),""),"")</f>
        <v>2.4899999999998812E-3</v>
      </c>
      <c r="AJ42" s="9" t="str">
        <f>IF(IFERROR(_xlfn.XLOOKUP(Tableau47[[#This Row],[COMMENTAIRE]],'[1]Tickets (2)'!$J$6:$J$805,'[1]Tickets (2)'!$J$6:$J$805),"")&lt;&gt;"",1,"")</f>
        <v/>
      </c>
      <c r="AK42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2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2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2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1.0630900000000001</v>
      </c>
      <c r="AO42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2" s="9" t="s">
        <v>97</v>
      </c>
      <c r="AQ42" s="9" t="str">
        <f>IFERROR(_xlfn.XLOOKUP(Tableau47[[#This Row],[COMMENTAIRE]],'[1]Tickets (2)'!$J$6:$J$805,'[1]Tickets (2)'!$C$6:$C$805),"")</f>
        <v/>
      </c>
      <c r="AR42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42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2" s="9" t="str">
        <f>IF(Tableau47[[#This Row],[GOUBLOP]]=1,Tableau47[[#This Row],[COMMENTAIRE]],"")</f>
        <v/>
      </c>
      <c r="AU42" s="9"/>
      <c r="AV42" s="9" t="str">
        <f>IFERROR(IF(_xlfn.XLOOKUP(Tableau47[[#This Row],[GOUBLOP2]],[1]!Tableau4849[ATTEINT],[1]!Tableau4849[ATTEINT])&lt;&gt;"",1,""),"")</f>
        <v/>
      </c>
      <c r="AW42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2" s="9" t="str">
        <f>IF(Tableau47[[#This Row],[COMMAND]]="","",IF(Tableau47[[#This Row],[INDEX]]&lt;3,"",LEFT(Tableau47[[#This Row],[COMMENTAIRE]],LEN(Tableau47[[#This Row],[COMMENTAIRE]])-2)))</f>
        <v>1 RSRS S 1.0631 M1</v>
      </c>
      <c r="AY42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42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2" s="9" t="str">
        <f>IF(Tableau47[[#This Row],[INDEX]]&lt;3,"",IF(Tableau47[[#This Row],[COMMAND]]="","",IFERROR(Tableau47[[#This Row],[DIS_BUY]]*$AX$30,"")))</f>
        <v/>
      </c>
      <c r="BB42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2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4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2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2" s="9" t="str">
        <f>IF(AND(Tableau47[[#This Row],[GO]]="GO",ISNUMBER(SEARCH("BUY",Tableau47[[#This Row],[COMMAND]]))),1,"")</f>
        <v/>
      </c>
      <c r="BH42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2" s="9" t="str">
        <f>IF(OR(Tableau47[[#This Row],[GLOBAL BUY]]=1),Tableau47[[#This Row],[COMMENTAIRE]],"")</f>
        <v/>
      </c>
      <c r="BJ42" s="9" t="str">
        <f>IF(OR(Tableau47[[#This Row],[GLOBAL SELL]]=1),Tableau47[[#This Row],[COMMENTAIRE]],"")</f>
        <v/>
      </c>
      <c r="BK42" s="9">
        <f>IF(Tableau47[[#This Row],[INDEX]]&lt;3,"",IF(Tableau47[[#This Row],[COMMAND]]="","",SUMIFS(Tableau47[COMMENTAIRE],Tableau47[COMMENTAIRE],Tableau47[[#This Row],[COMMENTAIRE]])))</f>
        <v>0</v>
      </c>
      <c r="BL42" s="9" t="str">
        <f>IF(IFERROR(_xlfn.XLOOKUP(Tableau47[[#This Row],[COMMENTAIRE]],'[1]Tickets (2)'!$J$6:$J$805,'[1]Tickets (2)'!$J$6:$J$805),"")&lt;&gt;"",1,"")</f>
        <v/>
      </c>
      <c r="BM42" s="9">
        <f>IF(Tableau47[[#This Row],[INDEX]]&lt;3,"",IF(Tableau47[[#This Row],[COMMAND]]="","",IF('[1]Bar history'!$AA$33=1,1,"")))</f>
        <v>1</v>
      </c>
      <c r="BN42" s="9">
        <f>IFERROR(IFERROR(_xlfn.XLOOKUP(Tableau47[[#This Row],[COMMENTAIRE]],[1]!Tableau4849[IDENTITE],[1]!Tableau4849[0,5]),0),"")</f>
        <v>0</v>
      </c>
      <c r="BO42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2" s="9" t="str">
        <f>IF(IFERROR(_xlfn.XLOOKUP(Tableau47[[#This Row],[COMMENTAIRE]],'[1]Tickets (2)'!$J$6:$J$805,'[1]Tickets (2)'!$U$6:$U$805)," ")="","OK","")</f>
        <v/>
      </c>
      <c r="BQ42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42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2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2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2" s="9" t="str">
        <f>IF(IFERROR(_xlfn.XLOOKUP(Tableau47[[#This Row],[COMMENTAIRE]],'[1]Tickets (2)'!$J$6:$J$805,'[1]Tickets (2)'!$U$6:$U$805)," ")="","OK","")</f>
        <v/>
      </c>
      <c r="BV42" s="9" t="str">
        <f>IF(IFERROR(_xlfn.XLOOKUP(Tableau47[[#This Row],[COMMENTAIRE]],'[1]Tickets (2)'!$J$6:$J$805,'[1]Tickets (2)'!$V$6:$V$805)," ")="","OK","")</f>
        <v/>
      </c>
      <c r="BW42" s="9" t="e">
        <f>IF(Tableau47[[#This Row],[INDEX]]&lt;3,"",IF(Tableau47[[#This Row],[COMMAND]]="","",([1]FSI_TB!$F$12/10)*(Tableau47[[#This Row],[LOT]]/$BW$30)))</f>
        <v>#DIV/0!</v>
      </c>
      <c r="BX42" s="9" t="e">
        <f>IF(Tableau47[[#This Row],[INDEX]]&lt;3,"",IF(Tableau47[[#This Row],[COMMAND]]="","",-([1]FSI_TB!$D$12/10)*(Tableau47[[#This Row],[LOT]]/$BW$30)))</f>
        <v>#DIV/0!</v>
      </c>
      <c r="BY42" s="9" t="s">
        <v>97</v>
      </c>
      <c r="BZ42" s="9" t="str">
        <f>IF(AND(Tableau47[[#This Row],[CLOTURE]]="REPOSITIONNER"),"OK",IF(AND(Tableau47[[#This Row],[CLOTURE]]="GAGNANT"),"KO",IF(Tableau47[[#This Row],[NON]]="NON","NON","")))</f>
        <v>NON</v>
      </c>
      <c r="CA42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9000</v>
      </c>
      <c r="CB42" s="9" t="str">
        <f>IFERROR(_xlfn.XLOOKUP(Tableau47[[#This Row],[COMMENTAIRE]],'[1]Tickets (2)'!$J$6:$J$805,'[1]Tickets (2)'!$F$6:$F$805),"")</f>
        <v/>
      </c>
      <c r="CC42" s="9">
        <f>IF(Tableau47[[#This Row],[INDEX]]&lt;3,"",IF(Tableau47[[#This Row],[COMMAND]]="","",Tableau47[[#This Row],[LOT]]))</f>
        <v>9000</v>
      </c>
      <c r="CD42" s="9">
        <f>IF(Tableau47[[#This Row],[INDEX]]&lt;3,"",IF(Tableau47[[#This Row],[COMMAND]]="","",IFERROR(_xlfn.XLOOKUP(Tableau47[[#This Row],[COMMENTAIRE]],[1]!Tableau4849[IDENTITE],[1]!Tableau4849[0,5]),0)))</f>
        <v>0</v>
      </c>
      <c r="CE4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2" s="9" t="str" cm="1">
        <f t="array" ref="CG42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2" s="9"/>
      <c r="CI42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2" s="9"/>
      <c r="CK42" s="21"/>
      <c r="CL42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2" s="9"/>
      <c r="CN42" s="9" t="str">
        <f>IF(Tableau47[[#This Row],[INDEX]]&lt;3,"",IF(Tableau47[[#This Row],[COMMAND]]="","",IF(AND(Tableau47[[#This Row],[EN ATTENTES]]="NON",Tableau47[[#This Row],[EN COURS]]&lt;&gt;""),"OK","STOP")))</f>
        <v>STOP</v>
      </c>
      <c r="CO42" s="19">
        <f>Tableau47[[#This Row],[Cst TIME]]</f>
        <v>44923.458054050927</v>
      </c>
      <c r="CP42" s="9">
        <f>[1]analos!$Q$237</f>
        <v>926507</v>
      </c>
      <c r="CQ42" s="9" t="str">
        <f>[1]FSI_TB!$F$3</f>
        <v>EURUSD</v>
      </c>
      <c r="CR42" s="9" t="str">
        <f>Tableau47[[#This Row],[GO1]]</f>
        <v>SELL</v>
      </c>
      <c r="CS42" s="9" t="str">
        <f>Tableau47[[#This Row],[PRICE]]</f>
        <v>1.06309</v>
      </c>
      <c r="CT42" s="9">
        <f>Tableau47[[#This Row],[LOT]]</f>
        <v>9000</v>
      </c>
      <c r="CU42" s="9" t="str">
        <f>Tableau47[[#This Row],[COMMENTAIRE]]</f>
        <v>1 RSRS S 1.0631 M1M1</v>
      </c>
      <c r="CV42" s="9"/>
      <c r="CW42" s="9">
        <v>1</v>
      </c>
      <c r="CX42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2" s="9">
        <f t="shared" ca="1" si="0"/>
        <v>44929.316958449075</v>
      </c>
    </row>
    <row r="43" spans="3:103" ht="15.75" x14ac:dyDescent="0.25">
      <c r="C43" s="8"/>
      <c r="D43" s="9"/>
      <c r="L43" s="9">
        <v>11</v>
      </c>
      <c r="M43" s="9" t="s">
        <v>132</v>
      </c>
      <c r="N43" s="9" t="s">
        <v>9</v>
      </c>
      <c r="O43" s="8" t="s">
        <v>139</v>
      </c>
      <c r="P43" s="9" t="s">
        <v>0</v>
      </c>
      <c r="Q43" s="9">
        <v>4000</v>
      </c>
      <c r="R4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43" s="9" t="str">
        <f>IF(AND(ISNUMBER(SEARCH("BUY",Tableau47[[#This Row],[COMMAND]]))),"BUY",IF(AND(ISNUMBER(SEARCH("SELL",Tableau47[[#This Row],[COMMAND]]))),"SELL",""))</f>
        <v>SELL</v>
      </c>
      <c r="T43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43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43" s="9">
        <v>925832</v>
      </c>
      <c r="W43" s="22">
        <v>44923.45772395833</v>
      </c>
      <c r="X43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43" s="9">
        <f>IFERROR(VALUE(SUBSTITUTE(Tableau47[[#This Row],[PRICE]],".",",")),"")</f>
        <v>1.0630299999999999</v>
      </c>
      <c r="Z43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43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3" s="9" t="str">
        <f>IF(IFERROR(_xlfn.XLOOKUP(Tableau47[[#This Row],[COMMENTAIRE]],'[1]Tickets (2)'!$J$6:$J$805,'[1]Tickets (2)'!$J$6:$J$805),"")&lt;&gt;"",1,"")</f>
        <v/>
      </c>
      <c r="AC43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3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3" s="9" t="str">
        <f>IFERROR(_xlfn.XLOOKUP(Tableau47[[#This Row],[INDEX]],Tableau47[COMPTE],Tableau47[COMPTE]),"")</f>
        <v/>
      </c>
      <c r="AF43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3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3" s="17" t="str">
        <f>IF(Tableau47[[#This Row],[COMMAND]]="BUYSTOP",IFERROR(ABS(Tableau47[[#This Row],[GO7]]-'[1]Deal ticket'!$B$15),""),"")</f>
        <v/>
      </c>
      <c r="AI43" s="9">
        <f>IF(Tableau47[[#This Row],[COMMAND]]="SELLSTOP",IFERROR(ABS(Tableau47[[#This Row],[GO7]]-'[1]Deal ticket'!$B$16),""),"")</f>
        <v>2.5500000000000522E-3</v>
      </c>
      <c r="AJ43" s="9" t="str">
        <f>IF(IFERROR(_xlfn.XLOOKUP(Tableau47[[#This Row],[COMMENTAIRE]],'[1]Tickets (2)'!$J$6:$J$805,'[1]Tickets (2)'!$J$6:$J$805),"")&lt;&gt;"",1,"")</f>
        <v/>
      </c>
      <c r="AK43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3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3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3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1.0630299999999999</v>
      </c>
      <c r="AO43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3" s="9" t="s">
        <v>97</v>
      </c>
      <c r="AQ43" s="9" t="str">
        <f>IFERROR(_xlfn.XLOOKUP(Tableau47[[#This Row],[COMMENTAIRE]],'[1]Tickets (2)'!$J$6:$J$805,'[1]Tickets (2)'!$C$6:$C$805),"")</f>
        <v/>
      </c>
      <c r="AR43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43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3" s="9" t="str">
        <f>IF(Tableau47[[#This Row],[GOUBLOP]]=1,Tableau47[[#This Row],[COMMENTAIRE]],"")</f>
        <v/>
      </c>
      <c r="AU43" s="9"/>
      <c r="AV43" s="9" t="str">
        <f>IFERROR(IF(_xlfn.XLOOKUP(Tableau47[[#This Row],[GOUBLOP2]],[1]!Tableau4849[ATTEINT],[1]!Tableau4849[ATTEINT])&lt;&gt;"",1,""),"")</f>
        <v/>
      </c>
      <c r="AW43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3" s="9" t="str">
        <f>IF(Tableau47[[#This Row],[COMMAND]]="","",IF(Tableau47[[#This Row],[INDEX]]&lt;3,"",LEFT(Tableau47[[#This Row],[COMMENTAIRE]],LEN(Tableau47[[#This Row],[COMMENTAIRE]])-2)))</f>
        <v>1 RSRS S 1.0645 M1</v>
      </c>
      <c r="AY43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43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3" s="9" t="str">
        <f>IF(Tableau47[[#This Row],[INDEX]]&lt;3,"",IF(Tableau47[[#This Row],[COMMAND]]="","",IFERROR(Tableau47[[#This Row],[DIS_BUY]]*$AX$30,"")))</f>
        <v/>
      </c>
      <c r="BB43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3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4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3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3" s="9" t="str">
        <f>IF(AND(Tableau47[[#This Row],[GO]]="GO",ISNUMBER(SEARCH("BUY",Tableau47[[#This Row],[COMMAND]]))),1,"")</f>
        <v/>
      </c>
      <c r="BH43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3" s="9" t="str">
        <f>IF(OR(Tableau47[[#This Row],[GLOBAL BUY]]=1),Tableau47[[#This Row],[COMMENTAIRE]],"")</f>
        <v/>
      </c>
      <c r="BJ43" s="9" t="str">
        <f>IF(OR(Tableau47[[#This Row],[GLOBAL SELL]]=1),Tableau47[[#This Row],[COMMENTAIRE]],"")</f>
        <v/>
      </c>
      <c r="BK43" s="9">
        <f>IF(Tableau47[[#This Row],[INDEX]]&lt;3,"",IF(Tableau47[[#This Row],[COMMAND]]="","",SUMIFS(Tableau47[COMMENTAIRE],Tableau47[COMMENTAIRE],Tableau47[[#This Row],[COMMENTAIRE]])))</f>
        <v>0</v>
      </c>
      <c r="BL43" s="9" t="str">
        <f>IF(IFERROR(_xlfn.XLOOKUP(Tableau47[[#This Row],[COMMENTAIRE]],'[1]Tickets (2)'!$J$6:$J$805,'[1]Tickets (2)'!$J$6:$J$805),"")&lt;&gt;"",1,"")</f>
        <v/>
      </c>
      <c r="BM43" s="9">
        <f>IF(Tableau47[[#This Row],[INDEX]]&lt;3,"",IF(Tableau47[[#This Row],[COMMAND]]="","",IF('[1]Bar history'!$AA$33=1,1,"")))</f>
        <v>1</v>
      </c>
      <c r="BN43" s="9">
        <f>IFERROR(IFERROR(_xlfn.XLOOKUP(Tableau47[[#This Row],[COMMENTAIRE]],[1]!Tableau4849[IDENTITE],[1]!Tableau4849[0,5]),0),"")</f>
        <v>0</v>
      </c>
      <c r="BO43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3" s="9" t="str">
        <f>IF(IFERROR(_xlfn.XLOOKUP(Tableau47[[#This Row],[COMMENTAIRE]],'[1]Tickets (2)'!$J$6:$J$805,'[1]Tickets (2)'!$U$6:$U$805)," ")="","OK","")</f>
        <v/>
      </c>
      <c r="BQ43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43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3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3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3" s="9" t="str">
        <f>IF(IFERROR(_xlfn.XLOOKUP(Tableau47[[#This Row],[COMMENTAIRE]],'[1]Tickets (2)'!$J$6:$J$805,'[1]Tickets (2)'!$U$6:$U$805)," ")="","OK","")</f>
        <v/>
      </c>
      <c r="BV43" s="9" t="str">
        <f>IF(IFERROR(_xlfn.XLOOKUP(Tableau47[[#This Row],[COMMENTAIRE]],'[1]Tickets (2)'!$J$6:$J$805,'[1]Tickets (2)'!$V$6:$V$805)," ")="","OK","")</f>
        <v/>
      </c>
      <c r="BW43" s="9" t="e">
        <f>IF(Tableau47[[#This Row],[INDEX]]&lt;3,"",IF(Tableau47[[#This Row],[COMMAND]]="","",([1]FSI_TB!$F$12/10)*(Tableau47[[#This Row],[LOT]]/$BW$30)))</f>
        <v>#DIV/0!</v>
      </c>
      <c r="BX43" s="9" t="e">
        <f>IF(Tableau47[[#This Row],[INDEX]]&lt;3,"",IF(Tableau47[[#This Row],[COMMAND]]="","",-([1]FSI_TB!$D$12/10)*(Tableau47[[#This Row],[LOT]]/$BW$30)))</f>
        <v>#DIV/0!</v>
      </c>
      <c r="BY43" s="9" t="s">
        <v>97</v>
      </c>
      <c r="BZ43" s="9" t="str">
        <f>IF(AND(Tableau47[[#This Row],[CLOTURE]]="REPOSITIONNER"),"OK",IF(AND(Tableau47[[#This Row],[CLOTURE]]="GAGNANT"),"KO",IF(Tableau47[[#This Row],[NON]]="NON","NON","")))</f>
        <v>NON</v>
      </c>
      <c r="CA43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43" s="9" t="str">
        <f>IFERROR(_xlfn.XLOOKUP(Tableau47[[#This Row],[COMMENTAIRE]],'[1]Tickets (2)'!$J$6:$J$805,'[1]Tickets (2)'!$F$6:$F$805),"")</f>
        <v/>
      </c>
      <c r="CC43" s="9">
        <f>IF(Tableau47[[#This Row],[INDEX]]&lt;3,"",IF(Tableau47[[#This Row],[COMMAND]]="","",Tableau47[[#This Row],[LOT]]))</f>
        <v>4000</v>
      </c>
      <c r="CD43" s="9">
        <f>IF(Tableau47[[#This Row],[INDEX]]&lt;3,"",IF(Tableau47[[#This Row],[COMMAND]]="","",IFERROR(_xlfn.XLOOKUP(Tableau47[[#This Row],[COMMENTAIRE]],[1]!Tableau4849[IDENTITE],[1]!Tableau4849[0,5]),0)))</f>
        <v>0</v>
      </c>
      <c r="CE4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3" s="9" t="str" cm="1">
        <f t="array" ref="CG43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3" s="9"/>
      <c r="CI43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3" s="9"/>
      <c r="CK43" s="21"/>
      <c r="CL43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3" s="9"/>
      <c r="CN43" s="9" t="str">
        <f>IF(Tableau47[[#This Row],[INDEX]]&lt;3,"",IF(Tableau47[[#This Row],[COMMAND]]="","",IF(AND(Tableau47[[#This Row],[EN ATTENTES]]="NON",Tableau47[[#This Row],[EN COURS]]&lt;&gt;""),"OK","STOP")))</f>
        <v>STOP</v>
      </c>
      <c r="CO43" s="19">
        <f>Tableau47[[#This Row],[Cst TIME]]</f>
        <v>44923.45772395833</v>
      </c>
      <c r="CP43" s="9">
        <f>[1]analos!$Q$237</f>
        <v>926507</v>
      </c>
      <c r="CQ43" s="9" t="str">
        <f>[1]FSI_TB!$F$3</f>
        <v>EURUSD</v>
      </c>
      <c r="CR43" s="9" t="str">
        <f>Tableau47[[#This Row],[GO1]]</f>
        <v>SELL</v>
      </c>
      <c r="CS43" s="9" t="str">
        <f>Tableau47[[#This Row],[PRICE]]</f>
        <v>1.06303</v>
      </c>
      <c r="CT43" s="9">
        <f>Tableau47[[#This Row],[LOT]]</f>
        <v>4000</v>
      </c>
      <c r="CU43" s="9" t="str">
        <f>Tableau47[[#This Row],[COMMENTAIRE]]</f>
        <v>1 RSRS S 1.0645 M1M1</v>
      </c>
      <c r="CV43" s="9"/>
      <c r="CW43" s="9">
        <v>1</v>
      </c>
      <c r="CX43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3" s="9">
        <f t="shared" ca="1" si="0"/>
        <v>44929.316958449075</v>
      </c>
    </row>
    <row r="44" spans="3:103" ht="15.75" x14ac:dyDescent="0.25">
      <c r="C44" s="8"/>
      <c r="D44" s="9"/>
      <c r="L44" s="9">
        <v>12</v>
      </c>
      <c r="M44" s="9" t="s">
        <v>132</v>
      </c>
      <c r="N44" s="9" t="s">
        <v>140</v>
      </c>
      <c r="O44" s="8" t="s">
        <v>141</v>
      </c>
      <c r="P44" s="9" t="s">
        <v>0</v>
      </c>
      <c r="Q44" s="9">
        <v>4000</v>
      </c>
      <c r="R4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44" s="9" t="str">
        <f>IF(AND(ISNUMBER(SEARCH("BUY",Tableau47[[#This Row],[COMMAND]]))),"BUY",IF(AND(ISNUMBER(SEARCH("SELL",Tableau47[[#This Row],[COMMAND]]))),"SELL",""))</f>
        <v>SELL</v>
      </c>
      <c r="T44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44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44" s="9">
        <v>925832</v>
      </c>
      <c r="W44" s="16">
        <v>44923.451747569445</v>
      </c>
      <c r="X44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44" s="9">
        <f>IFERROR(VALUE(SUBSTITUTE(Tableau47[[#This Row],[PRICE]],".",",")),"")</f>
        <v>1.06372</v>
      </c>
      <c r="Z44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44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4" s="9" t="str">
        <f>IF(IFERROR(_xlfn.XLOOKUP(Tableau47[[#This Row],[COMMENTAIRE]],'[1]Tickets (2)'!$J$6:$J$805,'[1]Tickets (2)'!$J$6:$J$805),"")&lt;&gt;"",1,"")</f>
        <v/>
      </c>
      <c r="AC44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4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4" s="9" t="str">
        <f>IFERROR(_xlfn.XLOOKUP(Tableau47[[#This Row],[INDEX]],Tableau47[COMPTE],Tableau47[COMPTE]),"")</f>
        <v/>
      </c>
      <c r="AF44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4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4" s="17" t="str">
        <f>IF(Tableau47[[#This Row],[COMMAND]]="BUYSTOP",IFERROR(ABS(Tableau47[[#This Row],[GO7]]-'[1]Deal ticket'!$B$15),""),"")</f>
        <v/>
      </c>
      <c r="AI44" s="9">
        <f>IF(Tableau47[[#This Row],[COMMAND]]="SELLSTOP",IFERROR(ABS(Tableau47[[#This Row],[GO7]]-'[1]Deal ticket'!$B$16),""),"")</f>
        <v>1.8599999999999728E-3</v>
      </c>
      <c r="AJ44" s="9" t="str">
        <f>IF(IFERROR(_xlfn.XLOOKUP(Tableau47[[#This Row],[COMMENTAIRE]],'[1]Tickets (2)'!$J$6:$J$805,'[1]Tickets (2)'!$J$6:$J$805),"")&lt;&gt;"",1,"")</f>
        <v/>
      </c>
      <c r="AK44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4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4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4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1.06372</v>
      </c>
      <c r="AO44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4" s="9"/>
      <c r="AQ44" s="9" t="str">
        <f>IFERROR(_xlfn.XLOOKUP(Tableau47[[#This Row],[COMMENTAIRE]],'[1]Tickets (2)'!$J$6:$J$805,'[1]Tickets (2)'!$C$6:$C$805),"")</f>
        <v/>
      </c>
      <c r="AR44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44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4" s="9" t="str">
        <f>IF(Tableau47[[#This Row],[GOUBLOP]]=1,Tableau47[[#This Row],[COMMENTAIRE]],"")</f>
        <v/>
      </c>
      <c r="AU44" s="9"/>
      <c r="AV44" s="9" t="str">
        <f>IFERROR(IF(_xlfn.XLOOKUP(Tableau47[[#This Row],[GOUBLOP2]],[1]!Tableau4849[ATTEINT],[1]!Tableau4849[ATTEINT])&lt;&gt;"",1,""),"")</f>
        <v/>
      </c>
      <c r="AW44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4" s="9" t="str">
        <f>IF(Tableau47[[#This Row],[COMMAND]]="","",IF(Tableau47[[#This Row],[INDEX]]&lt;3,"",LEFT(Tableau47[[#This Row],[COMMENTAIRE]],LEN(Tableau47[[#This Row],[COMMENTAIRE]])-2)))</f>
        <v>1 RSRS S 1.06411 M1</v>
      </c>
      <c r="AY44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/>
      </c>
      <c r="AZ44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4" s="9" t="str">
        <f>IF(Tableau47[[#This Row],[INDEX]]&lt;3,"",IF(Tableau47[[#This Row],[COMMAND]]="","",IFERROR(Tableau47[[#This Row],[DIS_BUY]]*$AX$30,"")))</f>
        <v/>
      </c>
      <c r="BB44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4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4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4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4" s="9" t="str">
        <f>IF(AND(Tableau47[[#This Row],[GO]]="GO",ISNUMBER(SEARCH("BUY",Tableau47[[#This Row],[COMMAND]]))),1,"")</f>
        <v/>
      </c>
      <c r="BH44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4" s="9" t="str">
        <f>IF(OR(Tableau47[[#This Row],[GLOBAL BUY]]=1),Tableau47[[#This Row],[COMMENTAIRE]],"")</f>
        <v/>
      </c>
      <c r="BJ44" s="9" t="str">
        <f>IF(OR(Tableau47[[#This Row],[GLOBAL SELL]]=1),Tableau47[[#This Row],[COMMENTAIRE]],"")</f>
        <v/>
      </c>
      <c r="BK44" s="9">
        <f>IF(Tableau47[[#This Row],[INDEX]]&lt;3,"",IF(Tableau47[[#This Row],[COMMAND]]="","",SUMIFS(Tableau47[COMMENTAIRE],Tableau47[COMMENTAIRE],Tableau47[[#This Row],[COMMENTAIRE]])))</f>
        <v>0</v>
      </c>
      <c r="BL44" s="9" t="str">
        <f>IF(IFERROR(_xlfn.XLOOKUP(Tableau47[[#This Row],[COMMENTAIRE]],'[1]Tickets (2)'!$J$6:$J$805,'[1]Tickets (2)'!$J$6:$J$805),"")&lt;&gt;"",1,"")</f>
        <v/>
      </c>
      <c r="BM44" s="9">
        <f>IF(Tableau47[[#This Row],[INDEX]]&lt;3,"",IF(Tableau47[[#This Row],[COMMAND]]="","",IF('[1]Bar history'!$AA$33=1,1,"")))</f>
        <v>1</v>
      </c>
      <c r="BN44" s="9">
        <f>IFERROR(IFERROR(_xlfn.XLOOKUP(Tableau47[[#This Row],[COMMENTAIRE]],[1]!Tableau4849[IDENTITE],[1]!Tableau4849[0,5]),0),"")</f>
        <v>0</v>
      </c>
      <c r="BO44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4" s="9" t="s">
        <v>60</v>
      </c>
      <c r="BQ44" s="9" t="s">
        <v>75</v>
      </c>
      <c r="BR44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4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4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4" s="9" t="s">
        <v>60</v>
      </c>
      <c r="BV44" s="9" t="s">
        <v>75</v>
      </c>
      <c r="BW44" s="9" t="e">
        <f>IF(Tableau47[[#This Row],[INDEX]]&lt;3,"",IF(Tableau47[[#This Row],[COMMAND]]="","",([1]FSI_TB!$F$12/10)*(Tableau47[[#This Row],[LOT]]/$BW$30)))</f>
        <v>#DIV/0!</v>
      </c>
      <c r="BX44" s="9" t="e">
        <f>IF(Tableau47[[#This Row],[INDEX]]&lt;3,"",IF(Tableau47[[#This Row],[COMMAND]]="","",-([1]FSI_TB!$D$12/10)*(Tableau47[[#This Row],[LOT]]/$BW$30)))</f>
        <v>#DIV/0!</v>
      </c>
      <c r="BY44" s="9"/>
      <c r="BZ44" s="9" t="str">
        <f>IF(AND(Tableau47[[#This Row],[CLOTURE]]="REPOSITIONNER"),"OK",IF(AND(Tableau47[[#This Row],[CLOTURE]]="GAGNANT"),"KO",IF(Tableau47[[#This Row],[NON]]="NON","NON","")))</f>
        <v/>
      </c>
      <c r="CA44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44" s="9" t="str">
        <f>IFERROR(_xlfn.XLOOKUP(Tableau47[[#This Row],[COMMENTAIRE]],'[1]Tickets (2)'!$J$6:$J$805,'[1]Tickets (2)'!$F$6:$F$805),"")</f>
        <v/>
      </c>
      <c r="CC44" s="9">
        <f>IF(Tableau47[[#This Row],[INDEX]]&lt;3,"",IF(Tableau47[[#This Row],[COMMAND]]="","",Tableau47[[#This Row],[LOT]]))</f>
        <v>4000</v>
      </c>
      <c r="CD44" s="9">
        <f>IF(Tableau47[[#This Row],[INDEX]]&lt;3,"",IF(Tableau47[[#This Row],[COMMAND]]="","",IFERROR(_xlfn.XLOOKUP(Tableau47[[#This Row],[COMMENTAIRE]],[1]!Tableau4849[IDENTITE],[1]!Tableau4849[0,5]),0)))</f>
        <v>0</v>
      </c>
      <c r="CE4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4" s="9" t="str" cm="1">
        <f t="array" ref="CG44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4" s="9"/>
      <c r="CI44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4" s="9"/>
      <c r="CK44" s="21"/>
      <c r="CL44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4" s="9"/>
      <c r="CN44" s="9" t="str">
        <f>IF(Tableau47[[#This Row],[INDEX]]&lt;3,"",IF(Tableau47[[#This Row],[COMMAND]]="","",IF(AND(Tableau47[[#This Row],[EN ATTENTES]]="NON",Tableau47[[#This Row],[EN COURS]]&lt;&gt;""),"OK","STOP")))</f>
        <v>STOP</v>
      </c>
      <c r="CO44" s="19">
        <f>Tableau47[[#This Row],[Cst TIME]]</f>
        <v>44923.451747569445</v>
      </c>
      <c r="CP44" s="9">
        <f>[1]analos!$Q$237</f>
        <v>926507</v>
      </c>
      <c r="CQ44" s="9" t="str">
        <f>[1]FSI_TB!$F$3</f>
        <v>EURUSD</v>
      </c>
      <c r="CR44" s="9" t="str">
        <f>Tableau47[[#This Row],[GO1]]</f>
        <v>SELL</v>
      </c>
      <c r="CS44" s="9" t="str">
        <f>Tableau47[[#This Row],[PRICE]]</f>
        <v>1.06372</v>
      </c>
      <c r="CT44" s="9">
        <f>Tableau47[[#This Row],[LOT]]</f>
        <v>4000</v>
      </c>
      <c r="CU44" s="9" t="str">
        <f>Tableau47[[#This Row],[COMMENTAIRE]]</f>
        <v>1 RSRS S 1.06411 M1M1</v>
      </c>
      <c r="CV44" s="9"/>
      <c r="CW44" s="9">
        <v>1</v>
      </c>
      <c r="CX44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4" s="9">
        <f t="shared" ca="1" si="0"/>
        <v>44929.316958449075</v>
      </c>
    </row>
    <row r="45" spans="3:103" ht="15.75" x14ac:dyDescent="0.25">
      <c r="C45" s="8"/>
      <c r="D45" s="9"/>
      <c r="L45" s="9">
        <v>13</v>
      </c>
      <c r="M45" s="9" t="s">
        <v>132</v>
      </c>
      <c r="N45" s="9" t="s">
        <v>142</v>
      </c>
      <c r="O45" s="8" t="s">
        <v>143</v>
      </c>
      <c r="P45" s="9" t="s">
        <v>0</v>
      </c>
      <c r="Q45" s="9">
        <v>4000</v>
      </c>
      <c r="R4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45" s="9" t="str">
        <f>IF(AND(ISNUMBER(SEARCH("BUY",Tableau47[[#This Row],[COMMAND]]))),"BUY",IF(AND(ISNUMBER(SEARCH("SELL",Tableau47[[#This Row],[COMMAND]]))),"SELL",""))</f>
        <v>SELL</v>
      </c>
      <c r="T45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45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45" s="9">
        <v>925832</v>
      </c>
      <c r="W45" s="16">
        <v>44923.451569675926</v>
      </c>
      <c r="X45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45" s="9">
        <f>IFERROR(VALUE(SUBSTITUTE(Tableau47[[#This Row],[PRICE]],".",",")),"")</f>
        <v>1.06375</v>
      </c>
      <c r="Z45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45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5" s="9" t="str">
        <f>IF(IFERROR(_xlfn.XLOOKUP(Tableau47[[#This Row],[COMMENTAIRE]],'[1]Tickets (2)'!$J$6:$J$805,'[1]Tickets (2)'!$J$6:$J$805),"")&lt;&gt;"",1,"")</f>
        <v/>
      </c>
      <c r="AC45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5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5" s="9" t="str">
        <f>IFERROR(_xlfn.XLOOKUP(Tableau47[[#This Row],[INDEX]],Tableau47[COMPTE],Tableau47[COMPTE]),"")</f>
        <v/>
      </c>
      <c r="AF45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5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5" s="17" t="str">
        <f>IF(Tableau47[[#This Row],[COMMAND]]="BUYSTOP",IFERROR(ABS(Tableau47[[#This Row],[GO7]]-'[1]Deal ticket'!$B$15),""),"")</f>
        <v/>
      </c>
      <c r="AI45" s="9">
        <f>IF(Tableau47[[#This Row],[COMMAND]]="SELLSTOP",IFERROR(ABS(Tableau47[[#This Row],[GO7]]-'[1]Deal ticket'!$B$16),""),"")</f>
        <v>1.8299999999999983E-3</v>
      </c>
      <c r="AJ45" s="9" t="str">
        <f>IF(IFERROR(_xlfn.XLOOKUP(Tableau47[[#This Row],[COMMENTAIRE]],'[1]Tickets (2)'!$J$6:$J$805,'[1]Tickets (2)'!$J$6:$J$805),"")&lt;&gt;"",1,"")</f>
        <v/>
      </c>
      <c r="AK45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5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5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5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1.06375</v>
      </c>
      <c r="AO45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5" s="9"/>
      <c r="AQ45" s="9" t="str">
        <f>IFERROR(_xlfn.XLOOKUP(Tableau47[[#This Row],[COMMENTAIRE]],'[1]Tickets (2)'!$J$6:$J$805,'[1]Tickets (2)'!$C$6:$C$805),"")</f>
        <v/>
      </c>
      <c r="AR45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45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5" s="9" t="str">
        <f>IF(Tableau47[[#This Row],[GOUBLOP]]=1,Tableau47[[#This Row],[COMMENTAIRE]],"")</f>
        <v/>
      </c>
      <c r="AU45" s="9"/>
      <c r="AV45" s="9" t="str">
        <f>IFERROR(IF(_xlfn.XLOOKUP(Tableau47[[#This Row],[GOUBLOP2]],[1]!Tableau4849[ATTEINT],[1]!Tableau4849[ATTEINT])&lt;&gt;"",1,""),"")</f>
        <v/>
      </c>
      <c r="AW45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5" s="9" t="str">
        <f>IF(Tableau47[[#This Row],[COMMAND]]="","",IF(Tableau47[[#This Row],[INDEX]]&lt;3,"",LEFT(Tableau47[[#This Row],[COMMENTAIRE]],LEN(Tableau47[[#This Row],[COMMENTAIRE]])-2)))</f>
        <v>1 RSRS S 1.06401 M1</v>
      </c>
      <c r="AY45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/>
      </c>
      <c r="AZ45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5" s="9" t="str">
        <f>IF(Tableau47[[#This Row],[INDEX]]&lt;3,"",IF(Tableau47[[#This Row],[COMMAND]]="","",IFERROR(Tableau47[[#This Row],[DIS_BUY]]*$AX$30,"")))</f>
        <v/>
      </c>
      <c r="BB45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5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4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5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5" s="9" t="str">
        <f>IF(AND(Tableau47[[#This Row],[GO]]="GO",ISNUMBER(SEARCH("BUY",Tableau47[[#This Row],[COMMAND]]))),1,"")</f>
        <v/>
      </c>
      <c r="BH45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5" s="9" t="str">
        <f>IF(OR(Tableau47[[#This Row],[GLOBAL BUY]]=1),Tableau47[[#This Row],[COMMENTAIRE]],"")</f>
        <v/>
      </c>
      <c r="BJ45" s="9" t="str">
        <f>IF(OR(Tableau47[[#This Row],[GLOBAL SELL]]=1),Tableau47[[#This Row],[COMMENTAIRE]],"")</f>
        <v/>
      </c>
      <c r="BK45" s="9">
        <f>IF(Tableau47[[#This Row],[INDEX]]&lt;3,"",IF(Tableau47[[#This Row],[COMMAND]]="","",SUMIFS(Tableau47[COMMENTAIRE],Tableau47[COMMENTAIRE],Tableau47[[#This Row],[COMMENTAIRE]])))</f>
        <v>0</v>
      </c>
      <c r="BL45" s="9" t="str">
        <f>IF(IFERROR(_xlfn.XLOOKUP(Tableau47[[#This Row],[COMMENTAIRE]],'[1]Tickets (2)'!$J$6:$J$805,'[1]Tickets (2)'!$J$6:$J$805),"")&lt;&gt;"",1,"")</f>
        <v/>
      </c>
      <c r="BM45" s="9">
        <f>IF(Tableau47[[#This Row],[INDEX]]&lt;3,"",IF(Tableau47[[#This Row],[COMMAND]]="","",IF('[1]Bar history'!$AA$33=1,1,"")))</f>
        <v>1</v>
      </c>
      <c r="BN45" s="9">
        <f>IFERROR(IFERROR(_xlfn.XLOOKUP(Tableau47[[#This Row],[COMMENTAIRE]],[1]!Tableau4849[IDENTITE],[1]!Tableau4849[0,5]),0),"")</f>
        <v>0</v>
      </c>
      <c r="BO45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5" s="9" t="s">
        <v>60</v>
      </c>
      <c r="BQ45" s="9" t="s">
        <v>75</v>
      </c>
      <c r="BR45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5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5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5" s="9" t="s">
        <v>60</v>
      </c>
      <c r="BV45" s="9" t="s">
        <v>75</v>
      </c>
      <c r="BW45" s="9" t="e">
        <f>IF(Tableau47[[#This Row],[INDEX]]&lt;3,"",IF(Tableau47[[#This Row],[COMMAND]]="","",([1]FSI_TB!$F$12/10)*(Tableau47[[#This Row],[LOT]]/$BW$30)))</f>
        <v>#DIV/0!</v>
      </c>
      <c r="BX45" s="9" t="e">
        <f>IF(Tableau47[[#This Row],[INDEX]]&lt;3,"",IF(Tableau47[[#This Row],[COMMAND]]="","",-([1]FSI_TB!$D$12/10)*(Tableau47[[#This Row],[LOT]]/$BW$30)))</f>
        <v>#DIV/0!</v>
      </c>
      <c r="BY45" s="9"/>
      <c r="BZ45" s="9" t="str">
        <f>IF(AND(Tableau47[[#This Row],[CLOTURE]]="REPOSITIONNER"),"OK",IF(AND(Tableau47[[#This Row],[CLOTURE]]="GAGNANT"),"KO",IF(Tableau47[[#This Row],[NON]]="NON","NON","")))</f>
        <v/>
      </c>
      <c r="CA45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45" s="9" t="str">
        <f>IFERROR(_xlfn.XLOOKUP(Tableau47[[#This Row],[COMMENTAIRE]],'[1]Tickets (2)'!$J$6:$J$805,'[1]Tickets (2)'!$F$6:$F$805),"")</f>
        <v/>
      </c>
      <c r="CC45" s="9">
        <f>IF(Tableau47[[#This Row],[INDEX]]&lt;3,"",IF(Tableau47[[#This Row],[COMMAND]]="","",Tableau47[[#This Row],[LOT]]))</f>
        <v>4000</v>
      </c>
      <c r="CD45" s="9">
        <f>IF(Tableau47[[#This Row],[INDEX]]&lt;3,"",IF(Tableau47[[#This Row],[COMMAND]]="","",IFERROR(_xlfn.XLOOKUP(Tableau47[[#This Row],[COMMENTAIRE]],[1]!Tableau4849[IDENTITE],[1]!Tableau4849[0,5]),0)))</f>
        <v>0</v>
      </c>
      <c r="CE4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5" s="9" t="str" cm="1">
        <f t="array" ref="CG45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5" s="9"/>
      <c r="CI45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5" s="9"/>
      <c r="CK45" s="21"/>
      <c r="CL45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5" s="9"/>
      <c r="CN45" s="9" t="str">
        <f>IF(Tableau47[[#This Row],[INDEX]]&lt;3,"",IF(Tableau47[[#This Row],[COMMAND]]="","",IF(AND(Tableau47[[#This Row],[EN ATTENTES]]="NON",Tableau47[[#This Row],[EN COURS]]&lt;&gt;""),"OK","STOP")))</f>
        <v>STOP</v>
      </c>
      <c r="CO45" s="19">
        <f>Tableau47[[#This Row],[Cst TIME]]</f>
        <v>44923.451569675926</v>
      </c>
      <c r="CP45" s="9">
        <f>[1]analos!$Q$237</f>
        <v>926507</v>
      </c>
      <c r="CQ45" s="9" t="str">
        <f>[1]FSI_TB!$F$3</f>
        <v>EURUSD</v>
      </c>
      <c r="CR45" s="9" t="str">
        <f>Tableau47[[#This Row],[GO1]]</f>
        <v>SELL</v>
      </c>
      <c r="CS45" s="9" t="str">
        <f>Tableau47[[#This Row],[PRICE]]</f>
        <v>1.06375</v>
      </c>
      <c r="CT45" s="9">
        <f>Tableau47[[#This Row],[LOT]]</f>
        <v>4000</v>
      </c>
      <c r="CU45" s="9" t="str">
        <f>Tableau47[[#This Row],[COMMENTAIRE]]</f>
        <v>1 RSRS S 1.06401 M1M1</v>
      </c>
      <c r="CV45" s="9"/>
      <c r="CW45" s="9">
        <v>1</v>
      </c>
      <c r="CX45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5" s="9">
        <f t="shared" ca="1" si="0"/>
        <v>44929.316958449075</v>
      </c>
    </row>
    <row r="46" spans="3:103" ht="15.75" x14ac:dyDescent="0.25">
      <c r="C46" s="8"/>
      <c r="D46" s="9"/>
      <c r="L46" s="9">
        <v>14</v>
      </c>
      <c r="M46" s="9" t="s">
        <v>132</v>
      </c>
      <c r="N46" s="9" t="s">
        <v>144</v>
      </c>
      <c r="O46" s="8" t="s">
        <v>145</v>
      </c>
      <c r="P46" s="9" t="s">
        <v>0</v>
      </c>
      <c r="Q46" s="9">
        <v>4000</v>
      </c>
      <c r="R4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46" s="9" t="str">
        <f>IF(AND(ISNUMBER(SEARCH("BUY",Tableau47[[#This Row],[COMMAND]]))),"BUY",IF(AND(ISNUMBER(SEARCH("SELL",Tableau47[[#This Row],[COMMAND]]))),"SELL",""))</f>
        <v>SELL</v>
      </c>
      <c r="T46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46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46" s="9">
        <v>925832</v>
      </c>
      <c r="W46" s="16">
        <v>44923.451284143521</v>
      </c>
      <c r="X46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46" s="9">
        <f>IFERROR(VALUE(SUBSTITUTE(Tableau47[[#This Row],[PRICE]],".",",")),"")</f>
        <v>1.06379</v>
      </c>
      <c r="Z46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46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6" s="9" t="str">
        <f>IF(IFERROR(_xlfn.XLOOKUP(Tableau47[[#This Row],[COMMENTAIRE]],'[1]Tickets (2)'!$J$6:$J$805,'[1]Tickets (2)'!$J$6:$J$805),"")&lt;&gt;"",1,"")</f>
        <v/>
      </c>
      <c r="AC46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6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6" s="9" t="str">
        <f>IFERROR(_xlfn.XLOOKUP(Tableau47[[#This Row],[INDEX]],Tableau47[COMPTE],Tableau47[COMPTE]),"")</f>
        <v/>
      </c>
      <c r="AF46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6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6" s="17" t="str">
        <f>IF(Tableau47[[#This Row],[COMMAND]]="BUYSTOP",IFERROR(ABS(Tableau47[[#This Row],[GO7]]-'[1]Deal ticket'!$B$15),""),"")</f>
        <v/>
      </c>
      <c r="AI46" s="9">
        <f>IF(Tableau47[[#This Row],[COMMAND]]="SELLSTOP",IFERROR(ABS(Tableau47[[#This Row],[GO7]]-'[1]Deal ticket'!$B$16),""),"")</f>
        <v>1.7899999999999583E-3</v>
      </c>
      <c r="AJ46" s="9" t="str">
        <f>IF(IFERROR(_xlfn.XLOOKUP(Tableau47[[#This Row],[COMMENTAIRE]],'[1]Tickets (2)'!$J$6:$J$805,'[1]Tickets (2)'!$J$6:$J$805),"")&lt;&gt;"",1,"")</f>
        <v/>
      </c>
      <c r="AK46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6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6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6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1.06379</v>
      </c>
      <c r="AO46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6" s="9"/>
      <c r="AQ46" s="9" t="str">
        <f>IFERROR(_xlfn.XLOOKUP(Tableau47[[#This Row],[COMMENTAIRE]],'[1]Tickets (2)'!$J$6:$J$805,'[1]Tickets (2)'!$C$6:$C$805),"")</f>
        <v/>
      </c>
      <c r="AR46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46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6" s="9" t="str">
        <f>IF(Tableau47[[#This Row],[GOUBLOP]]=1,Tableau47[[#This Row],[COMMENTAIRE]],"")</f>
        <v/>
      </c>
      <c r="AU46" s="9"/>
      <c r="AV46" s="9" t="str">
        <f>IFERROR(IF(_xlfn.XLOOKUP(Tableau47[[#This Row],[GOUBLOP2]],[1]!Tableau4849[ATTEINT],[1]!Tableau4849[ATTEINT])&lt;&gt;"",1,""),"")</f>
        <v/>
      </c>
      <c r="AW46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6" s="9" t="str">
        <f>IF(Tableau47[[#This Row],[COMMAND]]="","",IF(Tableau47[[#This Row],[INDEX]]&lt;3,"",LEFT(Tableau47[[#This Row],[COMMENTAIRE]],LEN(Tableau47[[#This Row],[COMMENTAIRE]])-2)))</f>
        <v>1 RSRS S 1.06412 M1</v>
      </c>
      <c r="AY46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/>
      </c>
      <c r="AZ46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6" s="9" t="str">
        <f>IF(Tableau47[[#This Row],[INDEX]]&lt;3,"",IF(Tableau47[[#This Row],[COMMAND]]="","",IFERROR(Tableau47[[#This Row],[DIS_BUY]]*$AX$30,"")))</f>
        <v/>
      </c>
      <c r="BB46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6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4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6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6" s="9" t="str">
        <f>IF(AND(Tableau47[[#This Row],[GO]]="GO",ISNUMBER(SEARCH("BUY",Tableau47[[#This Row],[COMMAND]]))),1,"")</f>
        <v/>
      </c>
      <c r="BH46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6" s="9" t="str">
        <f>IF(OR(Tableau47[[#This Row],[GLOBAL BUY]]=1),Tableau47[[#This Row],[COMMENTAIRE]],"")</f>
        <v/>
      </c>
      <c r="BJ46" s="9" t="str">
        <f>IF(OR(Tableau47[[#This Row],[GLOBAL SELL]]=1),Tableau47[[#This Row],[COMMENTAIRE]],"")</f>
        <v/>
      </c>
      <c r="BK46" s="9">
        <f>IF(Tableau47[[#This Row],[INDEX]]&lt;3,"",IF(Tableau47[[#This Row],[COMMAND]]="","",SUMIFS(Tableau47[COMMENTAIRE],Tableau47[COMMENTAIRE],Tableau47[[#This Row],[COMMENTAIRE]])))</f>
        <v>0</v>
      </c>
      <c r="BL46" s="9" t="str">
        <f>IF(IFERROR(_xlfn.XLOOKUP(Tableau47[[#This Row],[COMMENTAIRE]],'[1]Tickets (2)'!$J$6:$J$805,'[1]Tickets (2)'!$J$6:$J$805),"")&lt;&gt;"",1,"")</f>
        <v/>
      </c>
      <c r="BM46" s="9">
        <f>IF(Tableau47[[#This Row],[INDEX]]&lt;3,"",IF(Tableau47[[#This Row],[COMMAND]]="","",IF('[1]Bar history'!$AA$33=1,1,"")))</f>
        <v>1</v>
      </c>
      <c r="BN46" s="9">
        <f>IFERROR(IFERROR(_xlfn.XLOOKUP(Tableau47[[#This Row],[COMMENTAIRE]],[1]!Tableau4849[IDENTITE],[1]!Tableau4849[0,5]),0),"")</f>
        <v>0</v>
      </c>
      <c r="BO46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6" s="9" t="s">
        <v>60</v>
      </c>
      <c r="BQ46" s="9" t="s">
        <v>75</v>
      </c>
      <c r="BR46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6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6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6" s="9" t="s">
        <v>60</v>
      </c>
      <c r="BV46" s="9" t="s">
        <v>75</v>
      </c>
      <c r="BW46" s="9" t="e">
        <f>IF(Tableau47[[#This Row],[INDEX]]&lt;3,"",IF(Tableau47[[#This Row],[COMMAND]]="","",([1]FSI_TB!$F$12/10)*(Tableau47[[#This Row],[LOT]]/$BW$30)))</f>
        <v>#DIV/0!</v>
      </c>
      <c r="BX46" s="9" t="e">
        <f>IF(Tableau47[[#This Row],[INDEX]]&lt;3,"",IF(Tableau47[[#This Row],[COMMAND]]="","",-([1]FSI_TB!$D$12/10)*(Tableau47[[#This Row],[LOT]]/$BW$30)))</f>
        <v>#DIV/0!</v>
      </c>
      <c r="BY46" s="9"/>
      <c r="BZ46" s="9" t="str">
        <f>IF(AND(Tableau47[[#This Row],[CLOTURE]]="REPOSITIONNER"),"OK",IF(AND(Tableau47[[#This Row],[CLOTURE]]="GAGNANT"),"KO",IF(Tableau47[[#This Row],[NON]]="NON","NON","")))</f>
        <v/>
      </c>
      <c r="CA46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46" s="9" t="str">
        <f>IFERROR(_xlfn.XLOOKUP(Tableau47[[#This Row],[COMMENTAIRE]],'[1]Tickets (2)'!$J$6:$J$805,'[1]Tickets (2)'!$F$6:$F$805),"")</f>
        <v/>
      </c>
      <c r="CC46" s="9">
        <f>IF(Tableau47[[#This Row],[INDEX]]&lt;3,"",IF(Tableau47[[#This Row],[COMMAND]]="","",Tableau47[[#This Row],[LOT]]))</f>
        <v>4000</v>
      </c>
      <c r="CD46" s="9">
        <f>IF(Tableau47[[#This Row],[INDEX]]&lt;3,"",IF(Tableau47[[#This Row],[COMMAND]]="","",IFERROR(_xlfn.XLOOKUP(Tableau47[[#This Row],[COMMENTAIRE]],[1]!Tableau4849[IDENTITE],[1]!Tableau4849[0,5]),0)))</f>
        <v>0</v>
      </c>
      <c r="CE4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6" s="9" t="str" cm="1">
        <f t="array" ref="CG46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6" s="9"/>
      <c r="CI46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6" s="9"/>
      <c r="CK46" s="21"/>
      <c r="CL46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6" s="9"/>
      <c r="CN46" s="9" t="str">
        <f>IF(Tableau47[[#This Row],[INDEX]]&lt;3,"",IF(Tableau47[[#This Row],[COMMAND]]="","",IF(AND(Tableau47[[#This Row],[EN ATTENTES]]="NON",Tableau47[[#This Row],[EN COURS]]&lt;&gt;""),"OK","STOP")))</f>
        <v>STOP</v>
      </c>
      <c r="CO46" s="19">
        <f>Tableau47[[#This Row],[Cst TIME]]</f>
        <v>44923.451284143521</v>
      </c>
      <c r="CP46" s="9">
        <f>[1]analos!$Q$237</f>
        <v>926507</v>
      </c>
      <c r="CQ46" s="9" t="str">
        <f>[1]FSI_TB!$F$3</f>
        <v>EURUSD</v>
      </c>
      <c r="CR46" s="9" t="str">
        <f>Tableau47[[#This Row],[GO1]]</f>
        <v>SELL</v>
      </c>
      <c r="CS46" s="9" t="str">
        <f>Tableau47[[#This Row],[PRICE]]</f>
        <v>1.06379</v>
      </c>
      <c r="CT46" s="9">
        <f>Tableau47[[#This Row],[LOT]]</f>
        <v>4000</v>
      </c>
      <c r="CU46" s="9" t="str">
        <f>Tableau47[[#This Row],[COMMENTAIRE]]</f>
        <v>1 RSRS S 1.06412 M1M1</v>
      </c>
      <c r="CV46" s="9"/>
      <c r="CW46" s="9">
        <v>1</v>
      </c>
      <c r="CX46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6" s="9">
        <f t="shared" ca="1" si="0"/>
        <v>44929.316958449075</v>
      </c>
    </row>
    <row r="47" spans="3:103" ht="15.75" x14ac:dyDescent="0.25">
      <c r="C47" s="8"/>
      <c r="D47" s="9"/>
      <c r="L47" s="9">
        <v>15</v>
      </c>
      <c r="M47" s="9" t="s">
        <v>123</v>
      </c>
      <c r="N47" s="9" t="s">
        <v>146</v>
      </c>
      <c r="O47" s="8" t="s">
        <v>147</v>
      </c>
      <c r="P47" s="9" t="s">
        <v>0</v>
      </c>
      <c r="Q47" s="9">
        <v>4000</v>
      </c>
      <c r="R4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47" s="9" t="str">
        <f>IF(AND(ISNUMBER(SEARCH("BUY",Tableau47[[#This Row],[COMMAND]]))),"BUY",IF(AND(ISNUMBER(SEARCH("SELL",Tableau47[[#This Row],[COMMAND]]))),"SELL",""))</f>
        <v>BUY</v>
      </c>
      <c r="T47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47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47" s="9">
        <v>925832</v>
      </c>
      <c r="W47" s="22">
        <v>44923.425327314813</v>
      </c>
      <c r="X47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47" s="9">
        <f>IFERROR(VALUE(SUBSTITUTE(Tableau47[[#This Row],[PRICE]],".",",")),"")</f>
        <v>1.0641400000000001</v>
      </c>
      <c r="Z47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47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7" s="9" t="str">
        <f>IF(IFERROR(_xlfn.XLOOKUP(Tableau47[[#This Row],[COMMENTAIRE]],'[1]Tickets (2)'!$J$6:$J$805,'[1]Tickets (2)'!$J$6:$J$805),"")&lt;&gt;"",1,"")</f>
        <v/>
      </c>
      <c r="AC47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7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7" s="9" t="str">
        <f>IFERROR(_xlfn.XLOOKUP(Tableau47[[#This Row],[INDEX]],Tableau47[COMPTE],Tableau47[COMPTE]),"")</f>
        <v/>
      </c>
      <c r="AF47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7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7" s="17">
        <f>IF(Tableau47[[#This Row],[COMMAND]]="BUYSTOP",IFERROR(ABS(Tableau47[[#This Row],[GO7]]-'[1]Deal ticket'!$B$15),""),"")</f>
        <v>1.2999999999998568E-3</v>
      </c>
      <c r="AI47" s="9" t="str">
        <f>IF(Tableau47[[#This Row],[COMMAND]]="SELLSTOP",IFERROR(ABS(Tableau47[[#This Row],[GO7]]-'[1]Deal ticket'!$B$16),""),"")</f>
        <v/>
      </c>
      <c r="AJ47" s="9" t="str">
        <f>IF(IFERROR(_xlfn.XLOOKUP(Tableau47[[#This Row],[COMMENTAIRE]],'[1]Tickets (2)'!$J$6:$J$805,'[1]Tickets (2)'!$J$6:$J$805),"")&lt;&gt;"",1,"")</f>
        <v/>
      </c>
      <c r="AK47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7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7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7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1.0641400000000001</v>
      </c>
      <c r="AO47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7" s="9" t="s">
        <v>97</v>
      </c>
      <c r="AQ47" s="9" t="str">
        <f>IFERROR(_xlfn.XLOOKUP(Tableau47[[#This Row],[COMMENTAIRE]],'[1]Tickets (2)'!$J$6:$J$805,'[1]Tickets (2)'!$C$6:$C$805),"")</f>
        <v/>
      </c>
      <c r="AR47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47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7" s="9" t="str">
        <f>IF(Tableau47[[#This Row],[GOUBLOP]]=1,Tableau47[[#This Row],[COMMENTAIRE]],"")</f>
        <v/>
      </c>
      <c r="AU47" s="9"/>
      <c r="AV47" s="9" t="str">
        <f>IFERROR(IF(_xlfn.XLOOKUP(Tableau47[[#This Row],[GOUBLOP2]],[1]!Tableau4849[ATTEINT],[1]!Tableau4849[ATTEINT])&lt;&gt;"",1,""),"")</f>
        <v/>
      </c>
      <c r="AW47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7" s="9" t="str">
        <f>IF(Tableau47[[#This Row],[COMMAND]]="","",IF(Tableau47[[#This Row],[INDEX]]&lt;3,"",LEFT(Tableau47[[#This Row],[COMMENTAIRE]],LEN(Tableau47[[#This Row],[COMMENTAIRE]])-2)))</f>
        <v>1 RBRB B 1.06287 M1</v>
      </c>
      <c r="AY47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47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7" s="9">
        <f>IF(Tableau47[[#This Row],[INDEX]]&lt;3,"",IF(Tableau47[[#This Row],[COMMAND]]="","",IFERROR(Tableau47[[#This Row],[DIS_BUY]]*$AX$30,"")))</f>
        <v>0</v>
      </c>
      <c r="BB47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7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4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7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7" s="9">
        <f>IF(AND(Tableau47[[#This Row],[GO]]="GO",ISNUMBER(SEARCH("BUY",Tableau47[[#This Row],[COMMAND]]))),1,"")</f>
        <v>1</v>
      </c>
      <c r="BH47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7" s="9" t="str">
        <f>IF(OR(Tableau47[[#This Row],[GLOBAL BUY]]=1),Tableau47[[#This Row],[COMMENTAIRE]],"")</f>
        <v>1 RBRB B 1.06287 M1M1</v>
      </c>
      <c r="BJ47" s="9" t="str">
        <f>IF(OR(Tableau47[[#This Row],[GLOBAL SELL]]=1),Tableau47[[#This Row],[COMMENTAIRE]],"")</f>
        <v/>
      </c>
      <c r="BK47" s="9">
        <f>IF(Tableau47[[#This Row],[INDEX]]&lt;3,"",IF(Tableau47[[#This Row],[COMMAND]]="","",SUMIFS(Tableau47[COMMENTAIRE],Tableau47[COMMENTAIRE],Tableau47[[#This Row],[COMMENTAIRE]])))</f>
        <v>0</v>
      </c>
      <c r="BL47" s="9" t="str">
        <f>IF(IFERROR(_xlfn.XLOOKUP(Tableau47[[#This Row],[COMMENTAIRE]],'[1]Tickets (2)'!$J$6:$J$805,'[1]Tickets (2)'!$J$6:$J$805),"")&lt;&gt;"",1,"")</f>
        <v/>
      </c>
      <c r="BM47" s="9">
        <f>IF(Tableau47[[#This Row],[INDEX]]&lt;3,"",IF(Tableau47[[#This Row],[COMMAND]]="","",IF('[1]Bar history'!$AA$33=1,1,"")))</f>
        <v>1</v>
      </c>
      <c r="BN47" s="9">
        <f>IFERROR(IFERROR(_xlfn.XLOOKUP(Tableau47[[#This Row],[COMMENTAIRE]],[1]!Tableau4849[IDENTITE],[1]!Tableau4849[0,5]),0),"")</f>
        <v>0</v>
      </c>
      <c r="BO47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7" s="9" t="str">
        <f>IF(IFERROR(_xlfn.XLOOKUP(Tableau47[[#This Row],[COMMENTAIRE]],'[1]Tickets (2)'!$J$6:$J$805,'[1]Tickets (2)'!$U$6:$U$805)," ")="","OK","")</f>
        <v/>
      </c>
      <c r="BQ47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47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7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7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7" s="9" t="str">
        <f>IF(IFERROR(_xlfn.XLOOKUP(Tableau47[[#This Row],[COMMENTAIRE]],'[1]Tickets (2)'!$J$6:$J$805,'[1]Tickets (2)'!$U$6:$U$805)," ")="","OK","")</f>
        <v/>
      </c>
      <c r="BV47" s="9" t="str">
        <f>IF(IFERROR(_xlfn.XLOOKUP(Tableau47[[#This Row],[COMMENTAIRE]],'[1]Tickets (2)'!$J$6:$J$805,'[1]Tickets (2)'!$V$6:$V$805)," ")="","OK","")</f>
        <v/>
      </c>
      <c r="BW47" s="9" t="e">
        <f>IF(Tableau47[[#This Row],[INDEX]]&lt;3,"",IF(Tableau47[[#This Row],[COMMAND]]="","",([1]FSI_TB!$F$12/10)*(Tableau47[[#This Row],[LOT]]/$BW$30)))</f>
        <v>#DIV/0!</v>
      </c>
      <c r="BX47" s="9" t="e">
        <f>IF(Tableau47[[#This Row],[INDEX]]&lt;3,"",IF(Tableau47[[#This Row],[COMMAND]]="","",-([1]FSI_TB!$D$12/10)*(Tableau47[[#This Row],[LOT]]/$BW$30)))</f>
        <v>#DIV/0!</v>
      </c>
      <c r="BY47" s="9" t="s">
        <v>97</v>
      </c>
      <c r="BZ47" s="9" t="str">
        <f>IF(AND(Tableau47[[#This Row],[CLOTURE]]="REPOSITIONNER"),"OK",IF(AND(Tableau47[[#This Row],[CLOTURE]]="GAGNANT"),"KO",IF(Tableau47[[#This Row],[NON]]="NON","NON","")))</f>
        <v>NON</v>
      </c>
      <c r="CA47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47" s="9" t="str">
        <f>IFERROR(_xlfn.XLOOKUP(Tableau47[[#This Row],[COMMENTAIRE]],'[1]Tickets (2)'!$J$6:$J$805,'[1]Tickets (2)'!$F$6:$F$805),"")</f>
        <v/>
      </c>
      <c r="CC47" s="9">
        <f>IF(Tableau47[[#This Row],[INDEX]]&lt;3,"",IF(Tableau47[[#This Row],[COMMAND]]="","",Tableau47[[#This Row],[LOT]]))</f>
        <v>4000</v>
      </c>
      <c r="CD47" s="9">
        <f>IF(Tableau47[[#This Row],[INDEX]]&lt;3,"",IF(Tableau47[[#This Row],[COMMAND]]="","",IFERROR(_xlfn.XLOOKUP(Tableau47[[#This Row],[COMMENTAIRE]],[1]!Tableau4849[IDENTITE],[1]!Tableau4849[0,5]),0)))</f>
        <v>0</v>
      </c>
      <c r="CE4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7" s="9" t="str" cm="1">
        <f t="array" ref="CG47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7" s="9"/>
      <c r="CI47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7" s="9"/>
      <c r="CK47" s="21"/>
      <c r="CL47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7" s="9"/>
      <c r="CN47" s="9" t="str">
        <f>IF(Tableau47[[#This Row],[INDEX]]&lt;3,"",IF(Tableau47[[#This Row],[COMMAND]]="","",IF(AND(Tableau47[[#This Row],[EN ATTENTES]]="NON",Tableau47[[#This Row],[EN COURS]]&lt;&gt;""),"OK","STOP")))</f>
        <v>STOP</v>
      </c>
      <c r="CO47" s="19">
        <f>Tableau47[[#This Row],[Cst TIME]]</f>
        <v>44923.425327314813</v>
      </c>
      <c r="CP47" s="9">
        <f>[1]analos!$Q$237</f>
        <v>926507</v>
      </c>
      <c r="CQ47" s="9" t="str">
        <f>[1]FSI_TB!$F$3</f>
        <v>EURUSD</v>
      </c>
      <c r="CR47" s="9" t="str">
        <f>Tableau47[[#This Row],[GO1]]</f>
        <v>BUY</v>
      </c>
      <c r="CS47" s="9" t="str">
        <f>Tableau47[[#This Row],[PRICE]]</f>
        <v>1.06414</v>
      </c>
      <c r="CT47" s="9">
        <f>Tableau47[[#This Row],[LOT]]</f>
        <v>4000</v>
      </c>
      <c r="CU47" s="9" t="str">
        <f>Tableau47[[#This Row],[COMMENTAIRE]]</f>
        <v>1 RBRB B 1.06287 M1M1</v>
      </c>
      <c r="CV47" s="9"/>
      <c r="CW47" s="9">
        <v>1</v>
      </c>
      <c r="CX47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7" s="9">
        <f t="shared" ca="1" si="0"/>
        <v>44929.316958449075</v>
      </c>
    </row>
    <row r="48" spans="3:103" ht="15.75" x14ac:dyDescent="0.25">
      <c r="C48" s="8"/>
      <c r="D48" s="9"/>
      <c r="L48" s="9">
        <v>16</v>
      </c>
      <c r="M48" s="9" t="s">
        <v>132</v>
      </c>
      <c r="N48" s="9" t="s">
        <v>11</v>
      </c>
      <c r="O48" s="8" t="s">
        <v>148</v>
      </c>
      <c r="P48" s="9" t="s">
        <v>0</v>
      </c>
      <c r="Q48" s="9">
        <v>3000</v>
      </c>
      <c r="R4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48" s="9" t="str">
        <f>IF(AND(ISNUMBER(SEARCH("BUY",Tableau47[[#This Row],[COMMAND]]))),"BUY",IF(AND(ISNUMBER(SEARCH("SELL",Tableau47[[#This Row],[COMMAND]]))),"SELL",""))</f>
        <v>SELL</v>
      </c>
      <c r="T48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48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48" s="9">
        <v>925832</v>
      </c>
      <c r="W48" s="16">
        <v>44923.420411921295</v>
      </c>
      <c r="X48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48" s="9">
        <f>IFERROR(VALUE(SUBSTITUTE(Tableau47[[#This Row],[PRICE]],".",",")),"")</f>
        <v>1.06351</v>
      </c>
      <c r="Z48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48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8" s="9" t="str">
        <f>IF(IFERROR(_xlfn.XLOOKUP(Tableau47[[#This Row],[COMMENTAIRE]],'[1]Tickets (2)'!$J$6:$J$805,'[1]Tickets (2)'!$J$6:$J$805),"")&lt;&gt;"",1,"")</f>
        <v/>
      </c>
      <c r="AC48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8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8" s="9" t="str">
        <f>IFERROR(_xlfn.XLOOKUP(Tableau47[[#This Row],[INDEX]],Tableau47[COMPTE],Tableau47[COMPTE]),"")</f>
        <v/>
      </c>
      <c r="AF48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8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8" s="17" t="str">
        <f>IF(Tableau47[[#This Row],[COMMAND]]="BUYSTOP",IFERROR(ABS(Tableau47[[#This Row],[GO7]]-'[1]Deal ticket'!$B$15),""),"")</f>
        <v/>
      </c>
      <c r="AI48" s="9">
        <f>IF(Tableau47[[#This Row],[COMMAND]]="SELLSTOP",IFERROR(ABS(Tableau47[[#This Row],[GO7]]-'[1]Deal ticket'!$B$16),""),"")</f>
        <v>2.0700000000000163E-3</v>
      </c>
      <c r="AJ48" s="9" t="str">
        <f>IF(IFERROR(_xlfn.XLOOKUP(Tableau47[[#This Row],[COMMENTAIRE]],'[1]Tickets (2)'!$J$6:$J$805,'[1]Tickets (2)'!$J$6:$J$805),"")&lt;&gt;"",1,"")</f>
        <v/>
      </c>
      <c r="AK48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8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8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8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1.06351</v>
      </c>
      <c r="AO48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8" s="9"/>
      <c r="AQ48" s="9" t="str">
        <f>IFERROR(_xlfn.XLOOKUP(Tableau47[[#This Row],[COMMENTAIRE]],'[1]Tickets (2)'!$J$6:$J$805,'[1]Tickets (2)'!$C$6:$C$805),"")</f>
        <v/>
      </c>
      <c r="AR48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48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8" s="9" t="str">
        <f>IF(Tableau47[[#This Row],[GOUBLOP]]=1,Tableau47[[#This Row],[COMMENTAIRE]],"")</f>
        <v/>
      </c>
      <c r="AU48" s="9"/>
      <c r="AV48" s="9" t="str">
        <f>IFERROR(IF(_xlfn.XLOOKUP(Tableau47[[#This Row],[GOUBLOP2]],[1]!Tableau4849[ATTEINT],[1]!Tableau4849[ATTEINT])&lt;&gt;"",1,""),"")</f>
        <v/>
      </c>
      <c r="AW48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8" s="9" t="str">
        <f>IF(Tableau47[[#This Row],[COMMAND]]="","",IF(Tableau47[[#This Row],[INDEX]]&lt;3,"",LEFT(Tableau47[[#This Row],[COMMENTAIRE]],LEN(Tableau47[[#This Row],[COMMENTAIRE]])-2)))</f>
        <v>1 RSRS S 1.06432 M1</v>
      </c>
      <c r="AY48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/>
      </c>
      <c r="AZ48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8" s="9" t="str">
        <f>IF(Tableau47[[#This Row],[INDEX]]&lt;3,"",IF(Tableau47[[#This Row],[COMMAND]]="","",IFERROR(Tableau47[[#This Row],[DIS_BUY]]*$AX$30,"")))</f>
        <v/>
      </c>
      <c r="BB48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8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4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8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8" s="9" t="str">
        <f>IF(AND(Tableau47[[#This Row],[GO]]="GO",ISNUMBER(SEARCH("BUY",Tableau47[[#This Row],[COMMAND]]))),1,"")</f>
        <v/>
      </c>
      <c r="BH48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8" s="9" t="str">
        <f>IF(OR(Tableau47[[#This Row],[GLOBAL BUY]]=1),Tableau47[[#This Row],[COMMENTAIRE]],"")</f>
        <v/>
      </c>
      <c r="BJ48" s="9" t="str">
        <f>IF(OR(Tableau47[[#This Row],[GLOBAL SELL]]=1),Tableau47[[#This Row],[COMMENTAIRE]],"")</f>
        <v/>
      </c>
      <c r="BK48" s="9">
        <f>IF(Tableau47[[#This Row],[INDEX]]&lt;3,"",IF(Tableau47[[#This Row],[COMMAND]]="","",SUMIFS(Tableau47[COMMENTAIRE],Tableau47[COMMENTAIRE],Tableau47[[#This Row],[COMMENTAIRE]])))</f>
        <v>0</v>
      </c>
      <c r="BL48" s="9" t="str">
        <f>IF(IFERROR(_xlfn.XLOOKUP(Tableau47[[#This Row],[COMMENTAIRE]],'[1]Tickets (2)'!$J$6:$J$805,'[1]Tickets (2)'!$J$6:$J$805),"")&lt;&gt;"",1,"")</f>
        <v/>
      </c>
      <c r="BM48" s="9">
        <f>IF(Tableau47[[#This Row],[INDEX]]&lt;3,"",IF(Tableau47[[#This Row],[COMMAND]]="","",IF('[1]Bar history'!$AA$33=1,1,"")))</f>
        <v>1</v>
      </c>
      <c r="BN48" s="9">
        <f>IFERROR(IFERROR(_xlfn.XLOOKUP(Tableau47[[#This Row],[COMMENTAIRE]],[1]!Tableau4849[IDENTITE],[1]!Tableau4849[0,5]),0),"")</f>
        <v>0</v>
      </c>
      <c r="BO48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8" s="9" t="s">
        <v>60</v>
      </c>
      <c r="BQ48" s="9" t="s">
        <v>75</v>
      </c>
      <c r="BR48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8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8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8" s="9" t="s">
        <v>60</v>
      </c>
      <c r="BV48" s="9" t="s">
        <v>75</v>
      </c>
      <c r="BW48" s="9" t="e">
        <f>IF(Tableau47[[#This Row],[INDEX]]&lt;3,"",IF(Tableau47[[#This Row],[COMMAND]]="","",([1]FSI_TB!$F$12/10)*(Tableau47[[#This Row],[LOT]]/$BW$30)))</f>
        <v>#DIV/0!</v>
      </c>
      <c r="BX48" s="9" t="e">
        <f>IF(Tableau47[[#This Row],[INDEX]]&lt;3,"",IF(Tableau47[[#This Row],[COMMAND]]="","",-([1]FSI_TB!$D$12/10)*(Tableau47[[#This Row],[LOT]]/$BW$30)))</f>
        <v>#DIV/0!</v>
      </c>
      <c r="BY48" s="9"/>
      <c r="BZ48" s="9" t="str">
        <f>IF(AND(Tableau47[[#This Row],[CLOTURE]]="REPOSITIONNER"),"OK",IF(AND(Tableau47[[#This Row],[CLOTURE]]="GAGNANT"),"KO",IF(Tableau47[[#This Row],[NON]]="NON","NON","")))</f>
        <v/>
      </c>
      <c r="CA48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48" s="9" t="str">
        <f>IFERROR(_xlfn.XLOOKUP(Tableau47[[#This Row],[COMMENTAIRE]],'[1]Tickets (2)'!$J$6:$J$805,'[1]Tickets (2)'!$F$6:$F$805),"")</f>
        <v/>
      </c>
      <c r="CC48" s="9">
        <f>IF(Tableau47[[#This Row],[INDEX]]&lt;3,"",IF(Tableau47[[#This Row],[COMMAND]]="","",Tableau47[[#This Row],[LOT]]))</f>
        <v>3000</v>
      </c>
      <c r="CD48" s="9">
        <f>IF(Tableau47[[#This Row],[INDEX]]&lt;3,"",IF(Tableau47[[#This Row],[COMMAND]]="","",IFERROR(_xlfn.XLOOKUP(Tableau47[[#This Row],[COMMENTAIRE]],[1]!Tableau4849[IDENTITE],[1]!Tableau4849[0,5]),0)))</f>
        <v>0</v>
      </c>
      <c r="CE4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8" s="9" t="str" cm="1">
        <f t="array" ref="CG48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8" s="9"/>
      <c r="CI48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8" s="9"/>
      <c r="CK48" s="21"/>
      <c r="CL48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8" s="9"/>
      <c r="CN48" s="9" t="str">
        <f>IF(Tableau47[[#This Row],[INDEX]]&lt;3,"",IF(Tableau47[[#This Row],[COMMAND]]="","",IF(AND(Tableau47[[#This Row],[EN ATTENTES]]="NON",Tableau47[[#This Row],[EN COURS]]&lt;&gt;""),"OK","STOP")))</f>
        <v>STOP</v>
      </c>
      <c r="CO48" s="19">
        <f>Tableau47[[#This Row],[Cst TIME]]</f>
        <v>44923.420411921295</v>
      </c>
      <c r="CP48" s="9">
        <f>[1]analos!$Q$237</f>
        <v>926507</v>
      </c>
      <c r="CQ48" s="9" t="str">
        <f>[1]FSI_TB!$F$3</f>
        <v>EURUSD</v>
      </c>
      <c r="CR48" s="9" t="str">
        <f>Tableau47[[#This Row],[GO1]]</f>
        <v>SELL</v>
      </c>
      <c r="CS48" s="9" t="str">
        <f>Tableau47[[#This Row],[PRICE]]</f>
        <v>1.06351</v>
      </c>
      <c r="CT48" s="9">
        <f>Tableau47[[#This Row],[LOT]]</f>
        <v>3000</v>
      </c>
      <c r="CU48" s="9" t="str">
        <f>Tableau47[[#This Row],[COMMENTAIRE]]</f>
        <v>1 RSRS S 1.06432 M1M1</v>
      </c>
      <c r="CV48" s="9"/>
      <c r="CW48" s="9">
        <v>1</v>
      </c>
      <c r="CX48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8" s="9">
        <f t="shared" ca="1" si="0"/>
        <v>44929.316958449075</v>
      </c>
    </row>
    <row r="49" spans="3:103" ht="15.75" x14ac:dyDescent="0.25">
      <c r="C49" s="8"/>
      <c r="D49" s="9"/>
      <c r="L49" s="9">
        <v>17</v>
      </c>
      <c r="M49" s="9" t="s">
        <v>123</v>
      </c>
      <c r="N49" s="9" t="s">
        <v>149</v>
      </c>
      <c r="O49" s="8" t="s">
        <v>150</v>
      </c>
      <c r="P49" s="9" t="s">
        <v>0</v>
      </c>
      <c r="Q49" s="9">
        <v>3000</v>
      </c>
      <c r="R4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49" s="9" t="str">
        <f>IF(AND(ISNUMBER(SEARCH("BUY",Tableau47[[#This Row],[COMMAND]]))),"BUY",IF(AND(ISNUMBER(SEARCH("SELL",Tableau47[[#This Row],[COMMAND]]))),"SELL",""))</f>
        <v>BUY</v>
      </c>
      <c r="T49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49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49" s="9">
        <v>925832</v>
      </c>
      <c r="W49" s="22">
        <v>44923.417277777779</v>
      </c>
      <c r="X49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49" s="9">
        <f>IFERROR(VALUE(SUBSTITUTE(Tableau47[[#This Row],[PRICE]],".",",")),"")</f>
        <v>1.0643400000000001</v>
      </c>
      <c r="Z49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49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49" s="9" t="str">
        <f>IF(IFERROR(_xlfn.XLOOKUP(Tableau47[[#This Row],[COMMENTAIRE]],'[1]Tickets (2)'!$J$6:$J$805,'[1]Tickets (2)'!$J$6:$J$805),"")&lt;&gt;"",1,"")</f>
        <v/>
      </c>
      <c r="AC49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49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49" s="9" t="str">
        <f>IFERROR(_xlfn.XLOOKUP(Tableau47[[#This Row],[INDEX]],Tableau47[COMPTE],Tableau47[COMPTE]),"")</f>
        <v/>
      </c>
      <c r="AF49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49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49" s="17">
        <f>IF(Tableau47[[#This Row],[COMMAND]]="BUYSTOP",IFERROR(ABS(Tableau47[[#This Row],[GO7]]-'[1]Deal ticket'!$B$15),""),"")</f>
        <v>1.0999999999998789E-3</v>
      </c>
      <c r="AI49" s="9" t="str">
        <f>IF(Tableau47[[#This Row],[COMMAND]]="SELLSTOP",IFERROR(ABS(Tableau47[[#This Row],[GO7]]-'[1]Deal ticket'!$B$16),""),"")</f>
        <v/>
      </c>
      <c r="AJ49" s="9" t="str">
        <f>IF(IFERROR(_xlfn.XLOOKUP(Tableau47[[#This Row],[COMMENTAIRE]],'[1]Tickets (2)'!$J$6:$J$805,'[1]Tickets (2)'!$J$6:$J$805),"")&lt;&gt;"",1,"")</f>
        <v/>
      </c>
      <c r="AK49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49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49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49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1.0643400000000001</v>
      </c>
      <c r="AO49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49" s="9" t="s">
        <v>97</v>
      </c>
      <c r="AQ49" s="9" t="str">
        <f>IFERROR(_xlfn.XLOOKUP(Tableau47[[#This Row],[COMMENTAIRE]],'[1]Tickets (2)'!$J$6:$J$805,'[1]Tickets (2)'!$C$6:$C$805),"")</f>
        <v/>
      </c>
      <c r="AR49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49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49" s="9" t="str">
        <f>IF(Tableau47[[#This Row],[GOUBLOP]]=1,Tableau47[[#This Row],[COMMENTAIRE]],"")</f>
        <v/>
      </c>
      <c r="AU49" s="9"/>
      <c r="AV49" s="9" t="str">
        <f>IFERROR(IF(_xlfn.XLOOKUP(Tableau47[[#This Row],[GOUBLOP2]],[1]!Tableau4849[ATTEINT],[1]!Tableau4849[ATTEINT])&lt;&gt;"",1,""),"")</f>
        <v/>
      </c>
      <c r="AW49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49" s="9" t="str">
        <f>IF(Tableau47[[#This Row],[COMMAND]]="","",IF(Tableau47[[#This Row],[INDEX]]&lt;3,"",LEFT(Tableau47[[#This Row],[COMMENTAIRE]],LEN(Tableau47[[#This Row],[COMMENTAIRE]])-2)))</f>
        <v>1 RBRB B 1.06288 M1</v>
      </c>
      <c r="AY49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49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49" s="9">
        <f>IF(Tableau47[[#This Row],[INDEX]]&lt;3,"",IF(Tableau47[[#This Row],[COMMAND]]="","",IFERROR(Tableau47[[#This Row],[DIS_BUY]]*$AX$30,"")))</f>
        <v>0</v>
      </c>
      <c r="BB49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49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4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49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4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49" s="9">
        <f>IF(AND(Tableau47[[#This Row],[GO]]="GO",ISNUMBER(SEARCH("BUY",Tableau47[[#This Row],[COMMAND]]))),1,"")</f>
        <v>1</v>
      </c>
      <c r="BH49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49" s="9" t="str">
        <f>IF(OR(Tableau47[[#This Row],[GLOBAL BUY]]=1),Tableau47[[#This Row],[COMMENTAIRE]],"")</f>
        <v>1 RBRB B 1.06288 M1M1</v>
      </c>
      <c r="BJ49" s="9" t="str">
        <f>IF(OR(Tableau47[[#This Row],[GLOBAL SELL]]=1),Tableau47[[#This Row],[COMMENTAIRE]],"")</f>
        <v/>
      </c>
      <c r="BK49" s="9">
        <f>IF(Tableau47[[#This Row],[INDEX]]&lt;3,"",IF(Tableau47[[#This Row],[COMMAND]]="","",SUMIFS(Tableau47[COMMENTAIRE],Tableau47[COMMENTAIRE],Tableau47[[#This Row],[COMMENTAIRE]])))</f>
        <v>0</v>
      </c>
      <c r="BL49" s="9" t="str">
        <f>IF(IFERROR(_xlfn.XLOOKUP(Tableau47[[#This Row],[COMMENTAIRE]],'[1]Tickets (2)'!$J$6:$J$805,'[1]Tickets (2)'!$J$6:$J$805),"")&lt;&gt;"",1,"")</f>
        <v/>
      </c>
      <c r="BM49" s="9">
        <f>IF(Tableau47[[#This Row],[INDEX]]&lt;3,"",IF(Tableau47[[#This Row],[COMMAND]]="","",IF('[1]Bar history'!$AA$33=1,1,"")))</f>
        <v>1</v>
      </c>
      <c r="BN49" s="9">
        <f>IFERROR(IFERROR(_xlfn.XLOOKUP(Tableau47[[#This Row],[COMMENTAIRE]],[1]!Tableau4849[IDENTITE],[1]!Tableau4849[0,5]),0),"")</f>
        <v>0</v>
      </c>
      <c r="BO49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49" s="9" t="str">
        <f>IF(IFERROR(_xlfn.XLOOKUP(Tableau47[[#This Row],[COMMENTAIRE]],'[1]Tickets (2)'!$J$6:$J$805,'[1]Tickets (2)'!$U$6:$U$805)," ")="","OK","")</f>
        <v/>
      </c>
      <c r="BQ49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49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49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49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49" s="9" t="str">
        <f>IF(IFERROR(_xlfn.XLOOKUP(Tableau47[[#This Row],[COMMENTAIRE]],'[1]Tickets (2)'!$J$6:$J$805,'[1]Tickets (2)'!$U$6:$U$805)," ")="","OK","")</f>
        <v/>
      </c>
      <c r="BV49" s="9" t="str">
        <f>IF(IFERROR(_xlfn.XLOOKUP(Tableau47[[#This Row],[COMMENTAIRE]],'[1]Tickets (2)'!$J$6:$J$805,'[1]Tickets (2)'!$V$6:$V$805)," ")="","OK","")</f>
        <v/>
      </c>
      <c r="BW49" s="9" t="e">
        <f>IF(Tableau47[[#This Row],[INDEX]]&lt;3,"",IF(Tableau47[[#This Row],[COMMAND]]="","",([1]FSI_TB!$F$12/10)*(Tableau47[[#This Row],[LOT]]/$BW$30)))</f>
        <v>#DIV/0!</v>
      </c>
      <c r="BX49" s="9" t="e">
        <f>IF(Tableau47[[#This Row],[INDEX]]&lt;3,"",IF(Tableau47[[#This Row],[COMMAND]]="","",-([1]FSI_TB!$D$12/10)*(Tableau47[[#This Row],[LOT]]/$BW$30)))</f>
        <v>#DIV/0!</v>
      </c>
      <c r="BY49" s="9" t="s">
        <v>97</v>
      </c>
      <c r="BZ49" s="9" t="str">
        <f>IF(AND(Tableau47[[#This Row],[CLOTURE]]="REPOSITIONNER"),"OK",IF(AND(Tableau47[[#This Row],[CLOTURE]]="GAGNANT"),"KO",IF(Tableau47[[#This Row],[NON]]="NON","NON","")))</f>
        <v>NON</v>
      </c>
      <c r="CA49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49" s="9" t="str">
        <f>IFERROR(_xlfn.XLOOKUP(Tableau47[[#This Row],[COMMENTAIRE]],'[1]Tickets (2)'!$J$6:$J$805,'[1]Tickets (2)'!$F$6:$F$805),"")</f>
        <v/>
      </c>
      <c r="CC49" s="9">
        <f>IF(Tableau47[[#This Row],[INDEX]]&lt;3,"",IF(Tableau47[[#This Row],[COMMAND]]="","",Tableau47[[#This Row],[LOT]]))</f>
        <v>3000</v>
      </c>
      <c r="CD49" s="9">
        <f>IF(Tableau47[[#This Row],[INDEX]]&lt;3,"",IF(Tableau47[[#This Row],[COMMAND]]="","",IFERROR(_xlfn.XLOOKUP(Tableau47[[#This Row],[COMMENTAIRE]],[1]!Tableau4849[IDENTITE],[1]!Tableau4849[0,5]),0)))</f>
        <v>0</v>
      </c>
      <c r="CE4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4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49" s="9" t="str" cm="1">
        <f t="array" ref="CG49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49" s="9"/>
      <c r="CI49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49" s="9"/>
      <c r="CK49" s="21"/>
      <c r="CL49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49" s="9"/>
      <c r="CN49" s="9" t="str">
        <f>IF(Tableau47[[#This Row],[INDEX]]&lt;3,"",IF(Tableau47[[#This Row],[COMMAND]]="","",IF(AND(Tableau47[[#This Row],[EN ATTENTES]]="NON",Tableau47[[#This Row],[EN COURS]]&lt;&gt;""),"OK","STOP")))</f>
        <v>STOP</v>
      </c>
      <c r="CO49" s="19">
        <f>Tableau47[[#This Row],[Cst TIME]]</f>
        <v>44923.417277777779</v>
      </c>
      <c r="CP49" s="9">
        <f>[1]analos!$Q$237</f>
        <v>926507</v>
      </c>
      <c r="CQ49" s="9" t="str">
        <f>[1]FSI_TB!$F$3</f>
        <v>EURUSD</v>
      </c>
      <c r="CR49" s="9" t="str">
        <f>Tableau47[[#This Row],[GO1]]</f>
        <v>BUY</v>
      </c>
      <c r="CS49" s="9" t="str">
        <f>Tableau47[[#This Row],[PRICE]]</f>
        <v>1.06434</v>
      </c>
      <c r="CT49" s="9">
        <f>Tableau47[[#This Row],[LOT]]</f>
        <v>3000</v>
      </c>
      <c r="CU49" s="9" t="str">
        <f>Tableau47[[#This Row],[COMMENTAIRE]]</f>
        <v>1 RBRB B 1.06288 M1M1</v>
      </c>
      <c r="CV49" s="9"/>
      <c r="CW49" s="9">
        <v>1</v>
      </c>
      <c r="CX49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49" s="9">
        <f t="shared" ca="1" si="0"/>
        <v>44929.316958449075</v>
      </c>
    </row>
    <row r="50" spans="3:103" ht="15.75" x14ac:dyDescent="0.25">
      <c r="C50" s="8"/>
      <c r="D50" s="9"/>
      <c r="L50" s="9">
        <v>18</v>
      </c>
      <c r="M50" s="9" t="s">
        <v>123</v>
      </c>
      <c r="N50" s="9" t="s">
        <v>13</v>
      </c>
      <c r="O50" s="8" t="s">
        <v>151</v>
      </c>
      <c r="P50" s="9" t="s">
        <v>0</v>
      </c>
      <c r="Q50" s="9">
        <v>4000</v>
      </c>
      <c r="R5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0" s="9" t="str">
        <f>IF(AND(ISNUMBER(SEARCH("BUY",Tableau47[[#This Row],[COMMAND]]))),"BUY",IF(AND(ISNUMBER(SEARCH("SELL",Tableau47[[#This Row],[COMMAND]]))),"SELL",""))</f>
        <v>BUY</v>
      </c>
      <c r="T50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0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0" s="9">
        <v>925832</v>
      </c>
      <c r="W50" s="22">
        <v>44923.416287731481</v>
      </c>
      <c r="X50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0" s="9">
        <f>IFERROR(VALUE(SUBSTITUTE(Tableau47[[#This Row],[PRICE]],".",",")),"")</f>
        <v>1.0644800000000001</v>
      </c>
      <c r="Z50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0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0" s="9" t="str">
        <f>IF(IFERROR(_xlfn.XLOOKUP(Tableau47[[#This Row],[COMMENTAIRE]],'[1]Tickets (2)'!$J$6:$J$805,'[1]Tickets (2)'!$J$6:$J$805),"")&lt;&gt;"",1,"")</f>
        <v/>
      </c>
      <c r="AC50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0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0" s="9" t="str">
        <f>IFERROR(_xlfn.XLOOKUP(Tableau47[[#This Row],[INDEX]],Tableau47[COMPTE],Tableau47[COMPTE]),"")</f>
        <v/>
      </c>
      <c r="AF50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0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0" s="17">
        <f>IF(Tableau47[[#This Row],[COMMAND]]="BUYSTOP",IFERROR(ABS(Tableau47[[#This Row],[GO7]]-'[1]Deal ticket'!$B$15),""),"")</f>
        <v>9.5999999999984986E-4</v>
      </c>
      <c r="AI50" s="9" t="str">
        <f>IF(Tableau47[[#This Row],[COMMAND]]="SELLSTOP",IFERROR(ABS(Tableau47[[#This Row],[GO7]]-'[1]Deal ticket'!$B$16),""),"")</f>
        <v/>
      </c>
      <c r="AJ50" s="9" t="str">
        <f>IF(IFERROR(_xlfn.XLOOKUP(Tableau47[[#This Row],[COMMENTAIRE]],'[1]Tickets (2)'!$J$6:$J$805,'[1]Tickets (2)'!$J$6:$J$805),"")&lt;&gt;"",1,"")</f>
        <v/>
      </c>
      <c r="AK50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0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0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0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1.0644800000000001</v>
      </c>
      <c r="AO50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0" s="9" t="s">
        <v>97</v>
      </c>
      <c r="AQ50" s="9" t="str">
        <f>IFERROR(_xlfn.XLOOKUP(Tableau47[[#This Row],[COMMENTAIRE]],'[1]Tickets (2)'!$J$6:$J$805,'[1]Tickets (2)'!$C$6:$C$805),"")</f>
        <v/>
      </c>
      <c r="AR50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0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0" s="9" t="str">
        <f>IF(Tableau47[[#This Row],[GOUBLOP]]=1,Tableau47[[#This Row],[COMMENTAIRE]],"")</f>
        <v/>
      </c>
      <c r="AU50" s="9"/>
      <c r="AV50" s="9" t="str">
        <f>IFERROR(IF(_xlfn.XLOOKUP(Tableau47[[#This Row],[GOUBLOP2]],[1]!Tableau4849[ATTEINT],[1]!Tableau4849[ATTEINT])&lt;&gt;"",1,""),"")</f>
        <v/>
      </c>
      <c r="AW50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0" s="9" t="str">
        <f>IF(Tableau47[[#This Row],[COMMAND]]="","",IF(Tableau47[[#This Row],[INDEX]]&lt;3,"",LEFT(Tableau47[[#This Row],[COMMENTAIRE]],LEN(Tableau47[[#This Row],[COMMENTAIRE]])-2)))</f>
        <v>1 RBRB B 1.06296 M1</v>
      </c>
      <c r="AY50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0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0" s="9">
        <f>IF(Tableau47[[#This Row],[INDEX]]&lt;3,"",IF(Tableau47[[#This Row],[COMMAND]]="","",IFERROR(Tableau47[[#This Row],[DIS_BUY]]*$AX$30,"")))</f>
        <v>0</v>
      </c>
      <c r="BB50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0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0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0" s="9">
        <f>IF(AND(Tableau47[[#This Row],[GO]]="GO",ISNUMBER(SEARCH("BUY",Tableau47[[#This Row],[COMMAND]]))),1,"")</f>
        <v>1</v>
      </c>
      <c r="BH50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0" s="9" t="str">
        <f>IF(OR(Tableau47[[#This Row],[GLOBAL BUY]]=1),Tableau47[[#This Row],[COMMENTAIRE]],"")</f>
        <v>1 RBRB B 1.06296 M1M1</v>
      </c>
      <c r="BJ50" s="9" t="str">
        <f>IF(OR(Tableau47[[#This Row],[GLOBAL SELL]]=1),Tableau47[[#This Row],[COMMENTAIRE]],"")</f>
        <v/>
      </c>
      <c r="BK50" s="9">
        <f>IF(Tableau47[[#This Row],[INDEX]]&lt;3,"",IF(Tableau47[[#This Row],[COMMAND]]="","",SUMIFS(Tableau47[COMMENTAIRE],Tableau47[COMMENTAIRE],Tableau47[[#This Row],[COMMENTAIRE]])))</f>
        <v>0</v>
      </c>
      <c r="BL50" s="9" t="str">
        <f>IF(IFERROR(_xlfn.XLOOKUP(Tableau47[[#This Row],[COMMENTAIRE]],'[1]Tickets (2)'!$J$6:$J$805,'[1]Tickets (2)'!$J$6:$J$805),"")&lt;&gt;"",1,"")</f>
        <v/>
      </c>
      <c r="BM50" s="9">
        <f>IF(Tableau47[[#This Row],[INDEX]]&lt;3,"",IF(Tableau47[[#This Row],[COMMAND]]="","",IF('[1]Bar history'!$AA$33=1,1,"")))</f>
        <v>1</v>
      </c>
      <c r="BN50" s="9">
        <f>IFERROR(IFERROR(_xlfn.XLOOKUP(Tableau47[[#This Row],[COMMENTAIRE]],[1]!Tableau4849[IDENTITE],[1]!Tableau4849[0,5]),0),"")</f>
        <v>0</v>
      </c>
      <c r="BO50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0" s="9" t="str">
        <f>IF(IFERROR(_xlfn.XLOOKUP(Tableau47[[#This Row],[COMMENTAIRE]],'[1]Tickets (2)'!$J$6:$J$805,'[1]Tickets (2)'!$U$6:$U$805)," ")="","OK","")</f>
        <v/>
      </c>
      <c r="BQ50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0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0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0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0" s="9" t="str">
        <f>IF(IFERROR(_xlfn.XLOOKUP(Tableau47[[#This Row],[COMMENTAIRE]],'[1]Tickets (2)'!$J$6:$J$805,'[1]Tickets (2)'!$U$6:$U$805)," ")="","OK","")</f>
        <v/>
      </c>
      <c r="BV50" s="9" t="str">
        <f>IF(IFERROR(_xlfn.XLOOKUP(Tableau47[[#This Row],[COMMENTAIRE]],'[1]Tickets (2)'!$J$6:$J$805,'[1]Tickets (2)'!$V$6:$V$805)," ")="","OK","")</f>
        <v/>
      </c>
      <c r="BW50" s="9" t="e">
        <f>IF(Tableau47[[#This Row],[INDEX]]&lt;3,"",IF(Tableau47[[#This Row],[COMMAND]]="","",([1]FSI_TB!$F$12/10)*(Tableau47[[#This Row],[LOT]]/$BW$30)))</f>
        <v>#DIV/0!</v>
      </c>
      <c r="BX50" s="9" t="e">
        <f>IF(Tableau47[[#This Row],[INDEX]]&lt;3,"",IF(Tableau47[[#This Row],[COMMAND]]="","",-([1]FSI_TB!$D$12/10)*(Tableau47[[#This Row],[LOT]]/$BW$30)))</f>
        <v>#DIV/0!</v>
      </c>
      <c r="BY50" s="9" t="s">
        <v>97</v>
      </c>
      <c r="BZ50" s="9" t="str">
        <f>IF(AND(Tableau47[[#This Row],[CLOTURE]]="REPOSITIONNER"),"OK",IF(AND(Tableau47[[#This Row],[CLOTURE]]="GAGNANT"),"KO",IF(Tableau47[[#This Row],[NON]]="NON","NON","")))</f>
        <v>NON</v>
      </c>
      <c r="CA50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50" s="9" t="str">
        <f>IFERROR(_xlfn.XLOOKUP(Tableau47[[#This Row],[COMMENTAIRE]],'[1]Tickets (2)'!$J$6:$J$805,'[1]Tickets (2)'!$F$6:$F$805),"")</f>
        <v/>
      </c>
      <c r="CC50" s="9">
        <f>IF(Tableau47[[#This Row],[INDEX]]&lt;3,"",IF(Tableau47[[#This Row],[COMMAND]]="","",Tableau47[[#This Row],[LOT]]))</f>
        <v>4000</v>
      </c>
      <c r="CD50" s="9">
        <f>IF(Tableau47[[#This Row],[INDEX]]&lt;3,"",IF(Tableau47[[#This Row],[COMMAND]]="","",IFERROR(_xlfn.XLOOKUP(Tableau47[[#This Row],[COMMENTAIRE]],[1]!Tableau4849[IDENTITE],[1]!Tableau4849[0,5]),0)))</f>
        <v>0</v>
      </c>
      <c r="CE5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0" s="9" t="str" cm="1">
        <f t="array" ref="CG50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0" s="9"/>
      <c r="CI50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0" s="9"/>
      <c r="CK50" s="21"/>
      <c r="CL50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0" s="9"/>
      <c r="CN50" s="9" t="str">
        <f>IF(Tableau47[[#This Row],[INDEX]]&lt;3,"",IF(Tableau47[[#This Row],[COMMAND]]="","",IF(AND(Tableau47[[#This Row],[EN ATTENTES]]="NON",Tableau47[[#This Row],[EN COURS]]&lt;&gt;""),"OK","STOP")))</f>
        <v>STOP</v>
      </c>
      <c r="CO50" s="19">
        <f>Tableau47[[#This Row],[Cst TIME]]</f>
        <v>44923.416287731481</v>
      </c>
      <c r="CP50" s="9">
        <f>[1]analos!$Q$237</f>
        <v>926507</v>
      </c>
      <c r="CQ50" s="9" t="str">
        <f>[1]FSI_TB!$F$3</f>
        <v>EURUSD</v>
      </c>
      <c r="CR50" s="9" t="str">
        <f>Tableau47[[#This Row],[GO1]]</f>
        <v>BUY</v>
      </c>
      <c r="CS50" s="9" t="str">
        <f>Tableau47[[#This Row],[PRICE]]</f>
        <v>1.06448</v>
      </c>
      <c r="CT50" s="9">
        <f>Tableau47[[#This Row],[LOT]]</f>
        <v>4000</v>
      </c>
      <c r="CU50" s="9" t="str">
        <f>Tableau47[[#This Row],[COMMENTAIRE]]</f>
        <v>1 RBRB B 1.06296 M1M1</v>
      </c>
      <c r="CV50" s="9"/>
      <c r="CW50" s="9">
        <v>1</v>
      </c>
      <c r="CX50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0" s="9">
        <f t="shared" ca="1" si="0"/>
        <v>44929.316958449075</v>
      </c>
    </row>
    <row r="51" spans="3:103" ht="15.75" x14ac:dyDescent="0.25">
      <c r="C51" s="8"/>
      <c r="D51" s="9"/>
      <c r="L51" s="9">
        <v>19</v>
      </c>
      <c r="M51" s="9" t="s">
        <v>123</v>
      </c>
      <c r="N51" s="9" t="s">
        <v>15</v>
      </c>
      <c r="O51" s="8" t="s">
        <v>152</v>
      </c>
      <c r="P51" s="9" t="s">
        <v>0</v>
      </c>
      <c r="Q51" s="9">
        <v>4000</v>
      </c>
      <c r="R5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1" s="9" t="str">
        <f>IF(AND(ISNUMBER(SEARCH("BUY",Tableau47[[#This Row],[COMMAND]]))),"BUY",IF(AND(ISNUMBER(SEARCH("SELL",Tableau47[[#This Row],[COMMAND]]))),"SELL",""))</f>
        <v>BUY</v>
      </c>
      <c r="T51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1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1" s="9">
        <v>925832</v>
      </c>
      <c r="W51" s="22">
        <v>44923.415954166667</v>
      </c>
      <c r="X51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1" s="9">
        <f>IFERROR(VALUE(SUBSTITUTE(Tableau47[[#This Row],[PRICE]],".",",")),"")</f>
        <v>1.06464</v>
      </c>
      <c r="Z51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1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1" s="9" t="str">
        <f>IF(IFERROR(_xlfn.XLOOKUP(Tableau47[[#This Row],[COMMENTAIRE]],'[1]Tickets (2)'!$J$6:$J$805,'[1]Tickets (2)'!$J$6:$J$805),"")&lt;&gt;"",1,"")</f>
        <v/>
      </c>
      <c r="AC51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1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1" s="9" t="str">
        <f>IFERROR(_xlfn.XLOOKUP(Tableau47[[#This Row],[INDEX]],Tableau47[COMPTE],Tableau47[COMPTE]),"")</f>
        <v/>
      </c>
      <c r="AF51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1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1" s="17">
        <f>IF(Tableau47[[#This Row],[COMMAND]]="BUYSTOP",IFERROR(ABS(Tableau47[[#This Row],[GO7]]-'[1]Deal ticket'!$B$15),""),"")</f>
        <v>7.9999999999991189E-4</v>
      </c>
      <c r="AI51" s="9" t="str">
        <f>IF(Tableau47[[#This Row],[COMMAND]]="SELLSTOP",IFERROR(ABS(Tableau47[[#This Row],[GO7]]-'[1]Deal ticket'!$B$16),""),"")</f>
        <v/>
      </c>
      <c r="AJ51" s="9" t="str">
        <f>IF(IFERROR(_xlfn.XLOOKUP(Tableau47[[#This Row],[COMMENTAIRE]],'[1]Tickets (2)'!$J$6:$J$805,'[1]Tickets (2)'!$J$6:$J$805),"")&lt;&gt;"",1,"")</f>
        <v/>
      </c>
      <c r="AK51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1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1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1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1.06464</v>
      </c>
      <c r="AO51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1" s="9" t="s">
        <v>97</v>
      </c>
      <c r="AQ51" s="9" t="str">
        <f>IFERROR(_xlfn.XLOOKUP(Tableau47[[#This Row],[COMMENTAIRE]],'[1]Tickets (2)'!$J$6:$J$805,'[1]Tickets (2)'!$C$6:$C$805),"")</f>
        <v/>
      </c>
      <c r="AR51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1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1" s="9" t="str">
        <f>IF(Tableau47[[#This Row],[GOUBLOP]]=1,Tableau47[[#This Row],[COMMENTAIRE]],"")</f>
        <v/>
      </c>
      <c r="AU51" s="9"/>
      <c r="AV51" s="9" t="str">
        <f>IFERROR(IF(_xlfn.XLOOKUP(Tableau47[[#This Row],[GOUBLOP2]],[1]!Tableau4849[ATTEINT],[1]!Tableau4849[ATTEINT])&lt;&gt;"",1,""),"")</f>
        <v/>
      </c>
      <c r="AW51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1" s="9" t="str">
        <f>IF(Tableau47[[#This Row],[COMMAND]]="","",IF(Tableau47[[#This Row],[INDEX]]&lt;3,"",LEFT(Tableau47[[#This Row],[COMMENTAIRE]],LEN(Tableau47[[#This Row],[COMMENTAIRE]])-2)))</f>
        <v>1 RBRB B 1.06316 M1</v>
      </c>
      <c r="AY51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1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1" s="9">
        <f>IF(Tableau47[[#This Row],[INDEX]]&lt;3,"",IF(Tableau47[[#This Row],[COMMAND]]="","",IFERROR(Tableau47[[#This Row],[DIS_BUY]]*$AX$30,"")))</f>
        <v>0</v>
      </c>
      <c r="BB51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1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1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1" s="9">
        <f>IF(AND(Tableau47[[#This Row],[GO]]="GO",ISNUMBER(SEARCH("BUY",Tableau47[[#This Row],[COMMAND]]))),1,"")</f>
        <v>1</v>
      </c>
      <c r="BH51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1" s="9" t="str">
        <f>IF(OR(Tableau47[[#This Row],[GLOBAL BUY]]=1),Tableau47[[#This Row],[COMMENTAIRE]],"")</f>
        <v>1 RBRB B 1.06316 M1M1</v>
      </c>
      <c r="BJ51" s="9" t="str">
        <f>IF(OR(Tableau47[[#This Row],[GLOBAL SELL]]=1),Tableau47[[#This Row],[COMMENTAIRE]],"")</f>
        <v/>
      </c>
      <c r="BK51" s="9">
        <f>IF(Tableau47[[#This Row],[INDEX]]&lt;3,"",IF(Tableau47[[#This Row],[COMMAND]]="","",SUMIFS(Tableau47[COMMENTAIRE],Tableau47[COMMENTAIRE],Tableau47[[#This Row],[COMMENTAIRE]])))</f>
        <v>0</v>
      </c>
      <c r="BL51" s="9" t="str">
        <f>IF(IFERROR(_xlfn.XLOOKUP(Tableau47[[#This Row],[COMMENTAIRE]],'[1]Tickets (2)'!$J$6:$J$805,'[1]Tickets (2)'!$J$6:$J$805),"")&lt;&gt;"",1,"")</f>
        <v/>
      </c>
      <c r="BM51" s="9">
        <f>IF(Tableau47[[#This Row],[INDEX]]&lt;3,"",IF(Tableau47[[#This Row],[COMMAND]]="","",IF('[1]Bar history'!$AA$33=1,1,"")))</f>
        <v>1</v>
      </c>
      <c r="BN51" s="9">
        <f>IFERROR(IFERROR(_xlfn.XLOOKUP(Tableau47[[#This Row],[COMMENTAIRE]],[1]!Tableau4849[IDENTITE],[1]!Tableau4849[0,5]),0),"")</f>
        <v>0</v>
      </c>
      <c r="BO51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1" s="9" t="str">
        <f>IF(IFERROR(_xlfn.XLOOKUP(Tableau47[[#This Row],[COMMENTAIRE]],'[1]Tickets (2)'!$J$6:$J$805,'[1]Tickets (2)'!$U$6:$U$805)," ")="","OK","")</f>
        <v/>
      </c>
      <c r="BQ51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1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1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1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1" s="9" t="str">
        <f>IF(IFERROR(_xlfn.XLOOKUP(Tableau47[[#This Row],[COMMENTAIRE]],'[1]Tickets (2)'!$J$6:$J$805,'[1]Tickets (2)'!$U$6:$U$805)," ")="","OK","")</f>
        <v/>
      </c>
      <c r="BV51" s="9" t="str">
        <f>IF(IFERROR(_xlfn.XLOOKUP(Tableau47[[#This Row],[COMMENTAIRE]],'[1]Tickets (2)'!$J$6:$J$805,'[1]Tickets (2)'!$V$6:$V$805)," ")="","OK","")</f>
        <v/>
      </c>
      <c r="BW51" s="9" t="e">
        <f>IF(Tableau47[[#This Row],[INDEX]]&lt;3,"",IF(Tableau47[[#This Row],[COMMAND]]="","",([1]FSI_TB!$F$12/10)*(Tableau47[[#This Row],[LOT]]/$BW$30)))</f>
        <v>#DIV/0!</v>
      </c>
      <c r="BX51" s="9" t="e">
        <f>IF(Tableau47[[#This Row],[INDEX]]&lt;3,"",IF(Tableau47[[#This Row],[COMMAND]]="","",-([1]FSI_TB!$D$12/10)*(Tableau47[[#This Row],[LOT]]/$BW$30)))</f>
        <v>#DIV/0!</v>
      </c>
      <c r="BY51" s="9" t="s">
        <v>97</v>
      </c>
      <c r="BZ51" s="9" t="str">
        <f>IF(AND(Tableau47[[#This Row],[CLOTURE]]="REPOSITIONNER"),"OK",IF(AND(Tableau47[[#This Row],[CLOTURE]]="GAGNANT"),"KO",IF(Tableau47[[#This Row],[NON]]="NON","NON","")))</f>
        <v>NON</v>
      </c>
      <c r="CA51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51" s="9" t="str">
        <f>IFERROR(_xlfn.XLOOKUP(Tableau47[[#This Row],[COMMENTAIRE]],'[1]Tickets (2)'!$J$6:$J$805,'[1]Tickets (2)'!$F$6:$F$805),"")</f>
        <v/>
      </c>
      <c r="CC51" s="9">
        <f>IF(Tableau47[[#This Row],[INDEX]]&lt;3,"",IF(Tableau47[[#This Row],[COMMAND]]="","",Tableau47[[#This Row],[LOT]]))</f>
        <v>4000</v>
      </c>
      <c r="CD51" s="9">
        <f>IF(Tableau47[[#This Row],[INDEX]]&lt;3,"",IF(Tableau47[[#This Row],[COMMAND]]="","",IFERROR(_xlfn.XLOOKUP(Tableau47[[#This Row],[COMMENTAIRE]],[1]!Tableau4849[IDENTITE],[1]!Tableau4849[0,5]),0)))</f>
        <v>0</v>
      </c>
      <c r="CE5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1" s="9" t="str" cm="1">
        <f t="array" ref="CG5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1" s="9"/>
      <c r="CI51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1" s="9"/>
      <c r="CK51" s="21"/>
      <c r="CL51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1" s="9"/>
      <c r="CN51" s="9" t="str">
        <f>IF(Tableau47[[#This Row],[INDEX]]&lt;3,"",IF(Tableau47[[#This Row],[COMMAND]]="","",IF(AND(Tableau47[[#This Row],[EN ATTENTES]]="NON",Tableau47[[#This Row],[EN COURS]]&lt;&gt;""),"OK","STOP")))</f>
        <v>STOP</v>
      </c>
      <c r="CO51" s="19">
        <f>Tableau47[[#This Row],[Cst TIME]]</f>
        <v>44923.415954166667</v>
      </c>
      <c r="CP51" s="9">
        <f>[1]analos!$Q$237</f>
        <v>926507</v>
      </c>
      <c r="CQ51" s="9" t="str">
        <f>[1]FSI_TB!$F$3</f>
        <v>EURUSD</v>
      </c>
      <c r="CR51" s="9" t="str">
        <f>Tableau47[[#This Row],[GO1]]</f>
        <v>BUY</v>
      </c>
      <c r="CS51" s="9" t="str">
        <f>Tableau47[[#This Row],[PRICE]]</f>
        <v>1.06464</v>
      </c>
      <c r="CT51" s="9">
        <f>Tableau47[[#This Row],[LOT]]</f>
        <v>4000</v>
      </c>
      <c r="CU51" s="9" t="str">
        <f>Tableau47[[#This Row],[COMMENTAIRE]]</f>
        <v>1 RBRB B 1.06316 M1M1</v>
      </c>
      <c r="CV51" s="9"/>
      <c r="CW51" s="9">
        <v>1</v>
      </c>
      <c r="CX51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1" s="9">
        <f t="shared" ca="1" si="0"/>
        <v>44929.316958449075</v>
      </c>
    </row>
    <row r="52" spans="3:103" ht="15.75" x14ac:dyDescent="0.25">
      <c r="C52" s="8"/>
      <c r="D52" s="9"/>
      <c r="L52" s="9">
        <v>20</v>
      </c>
      <c r="M52" s="9" t="s">
        <v>123</v>
      </c>
      <c r="N52" s="9" t="s">
        <v>19</v>
      </c>
      <c r="O52" s="8" t="s">
        <v>153</v>
      </c>
      <c r="P52" s="9" t="s">
        <v>0</v>
      </c>
      <c r="Q52" s="9">
        <v>4000</v>
      </c>
      <c r="R5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2" s="9" t="str">
        <f>IF(AND(ISNUMBER(SEARCH("BUY",Tableau47[[#This Row],[COMMAND]]))),"BUY",IF(AND(ISNUMBER(SEARCH("SELL",Tableau47[[#This Row],[COMMAND]]))),"SELL",""))</f>
        <v>BUY</v>
      </c>
      <c r="T52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2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2" s="9">
        <v>925832</v>
      </c>
      <c r="W52" s="22">
        <v>44923.41566875</v>
      </c>
      <c r="X52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2" s="9">
        <f>IFERROR(VALUE(SUBSTITUTE(Tableau47[[#This Row],[PRICE]],".",",")),"")</f>
        <v>1.0648200000000001</v>
      </c>
      <c r="Z52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2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2" s="9" t="str">
        <f>IF(IFERROR(_xlfn.XLOOKUP(Tableau47[[#This Row],[COMMENTAIRE]],'[1]Tickets (2)'!$J$6:$J$805,'[1]Tickets (2)'!$J$6:$J$805),"")&lt;&gt;"",1,"")</f>
        <v/>
      </c>
      <c r="AC52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2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2" s="9" t="str">
        <f>IFERROR(_xlfn.XLOOKUP(Tableau47[[#This Row],[INDEX]],Tableau47[COMPTE],Tableau47[COMPTE]),"")</f>
        <v/>
      </c>
      <c r="AF52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2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2" s="17">
        <f>IF(Tableau47[[#This Row],[COMMAND]]="BUYSTOP",IFERROR(ABS(Tableau47[[#This Row],[GO7]]-'[1]Deal ticket'!$B$15),""),"")</f>
        <v>6.199999999998429E-4</v>
      </c>
      <c r="AI52" s="9" t="str">
        <f>IF(Tableau47[[#This Row],[COMMAND]]="SELLSTOP",IFERROR(ABS(Tableau47[[#This Row],[GO7]]-'[1]Deal ticket'!$B$16),""),"")</f>
        <v/>
      </c>
      <c r="AJ52" s="9" t="str">
        <f>IF(IFERROR(_xlfn.XLOOKUP(Tableau47[[#This Row],[COMMENTAIRE]],'[1]Tickets (2)'!$J$6:$J$805,'[1]Tickets (2)'!$J$6:$J$805),"")&lt;&gt;"",1,"")</f>
        <v/>
      </c>
      <c r="AK52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2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2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2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1.0648200000000001</v>
      </c>
      <c r="AO52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2" s="9" t="s">
        <v>97</v>
      </c>
      <c r="AQ52" s="9" t="str">
        <f>IFERROR(_xlfn.XLOOKUP(Tableau47[[#This Row],[COMMENTAIRE]],'[1]Tickets (2)'!$J$6:$J$805,'[1]Tickets (2)'!$C$6:$C$805),"")</f>
        <v/>
      </c>
      <c r="AR52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2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2" s="9" t="str">
        <f>IF(Tableau47[[#This Row],[GOUBLOP]]=1,Tableau47[[#This Row],[COMMENTAIRE]],"")</f>
        <v/>
      </c>
      <c r="AU52" s="9"/>
      <c r="AV52" s="9" t="str">
        <f>IFERROR(IF(_xlfn.XLOOKUP(Tableau47[[#This Row],[GOUBLOP2]],[1]!Tableau4849[ATTEINT],[1]!Tableau4849[ATTEINT])&lt;&gt;"",1,""),"")</f>
        <v/>
      </c>
      <c r="AW52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2" s="9" t="str">
        <f>IF(Tableau47[[#This Row],[COMMAND]]="","",IF(Tableau47[[#This Row],[INDEX]]&lt;3,"",LEFT(Tableau47[[#This Row],[COMMENTAIRE]],LEN(Tableau47[[#This Row],[COMMENTAIRE]])-2)))</f>
        <v>1 RBRB B 1.06322 M1</v>
      </c>
      <c r="AY52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2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2" s="9">
        <f>IF(Tableau47[[#This Row],[INDEX]]&lt;3,"",IF(Tableau47[[#This Row],[COMMAND]]="","",IFERROR(Tableau47[[#This Row],[DIS_BUY]]*$AX$30,"")))</f>
        <v>0</v>
      </c>
      <c r="BB52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2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2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2" s="9">
        <f>IF(AND(Tableau47[[#This Row],[GO]]="GO",ISNUMBER(SEARCH("BUY",Tableau47[[#This Row],[COMMAND]]))),1,"")</f>
        <v>1</v>
      </c>
      <c r="BH52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2" s="9" t="str">
        <f>IF(OR(Tableau47[[#This Row],[GLOBAL BUY]]=1),Tableau47[[#This Row],[COMMENTAIRE]],"")</f>
        <v>1 RBRB B 1.06322 M1M1</v>
      </c>
      <c r="BJ52" s="9" t="str">
        <f>IF(OR(Tableau47[[#This Row],[GLOBAL SELL]]=1),Tableau47[[#This Row],[COMMENTAIRE]],"")</f>
        <v/>
      </c>
      <c r="BK52" s="9">
        <f>IF(Tableau47[[#This Row],[INDEX]]&lt;3,"",IF(Tableau47[[#This Row],[COMMAND]]="","",SUMIFS(Tableau47[COMMENTAIRE],Tableau47[COMMENTAIRE],Tableau47[[#This Row],[COMMENTAIRE]])))</f>
        <v>0</v>
      </c>
      <c r="BL52" s="9" t="str">
        <f>IF(IFERROR(_xlfn.XLOOKUP(Tableau47[[#This Row],[COMMENTAIRE]],'[1]Tickets (2)'!$J$6:$J$805,'[1]Tickets (2)'!$J$6:$J$805),"")&lt;&gt;"",1,"")</f>
        <v/>
      </c>
      <c r="BM52" s="9">
        <f>IF(Tableau47[[#This Row],[INDEX]]&lt;3,"",IF(Tableau47[[#This Row],[COMMAND]]="","",IF('[1]Bar history'!$AA$33=1,1,"")))</f>
        <v>1</v>
      </c>
      <c r="BN52" s="9">
        <f>IFERROR(IFERROR(_xlfn.XLOOKUP(Tableau47[[#This Row],[COMMENTAIRE]],[1]!Tableau4849[IDENTITE],[1]!Tableau4849[0,5]),0),"")</f>
        <v>0</v>
      </c>
      <c r="BO52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2" s="9" t="str">
        <f>IF(IFERROR(_xlfn.XLOOKUP(Tableau47[[#This Row],[COMMENTAIRE]],'[1]Tickets (2)'!$J$6:$J$805,'[1]Tickets (2)'!$U$6:$U$805)," ")="","OK","")</f>
        <v/>
      </c>
      <c r="BQ52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2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2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2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2" s="9" t="str">
        <f>IF(IFERROR(_xlfn.XLOOKUP(Tableau47[[#This Row],[COMMENTAIRE]],'[1]Tickets (2)'!$J$6:$J$805,'[1]Tickets (2)'!$U$6:$U$805)," ")="","OK","")</f>
        <v/>
      </c>
      <c r="BV52" s="9" t="str">
        <f>IF(IFERROR(_xlfn.XLOOKUP(Tableau47[[#This Row],[COMMENTAIRE]],'[1]Tickets (2)'!$J$6:$J$805,'[1]Tickets (2)'!$V$6:$V$805)," ")="","OK","")</f>
        <v/>
      </c>
      <c r="BW52" s="9" t="e">
        <f>IF(Tableau47[[#This Row],[INDEX]]&lt;3,"",IF(Tableau47[[#This Row],[COMMAND]]="","",([1]FSI_TB!$F$12/10)*(Tableau47[[#This Row],[LOT]]/$BW$30)))</f>
        <v>#DIV/0!</v>
      </c>
      <c r="BX52" s="9" t="e">
        <f>IF(Tableau47[[#This Row],[INDEX]]&lt;3,"",IF(Tableau47[[#This Row],[COMMAND]]="","",-([1]FSI_TB!$D$12/10)*(Tableau47[[#This Row],[LOT]]/$BW$30)))</f>
        <v>#DIV/0!</v>
      </c>
      <c r="BY52" s="9" t="s">
        <v>97</v>
      </c>
      <c r="BZ52" s="9" t="str">
        <f>IF(AND(Tableau47[[#This Row],[CLOTURE]]="REPOSITIONNER"),"OK",IF(AND(Tableau47[[#This Row],[CLOTURE]]="GAGNANT"),"KO",IF(Tableau47[[#This Row],[NON]]="NON","NON","")))</f>
        <v>NON</v>
      </c>
      <c r="CA52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52" s="9" t="str">
        <f>IFERROR(_xlfn.XLOOKUP(Tableau47[[#This Row],[COMMENTAIRE]],'[1]Tickets (2)'!$J$6:$J$805,'[1]Tickets (2)'!$F$6:$F$805),"")</f>
        <v/>
      </c>
      <c r="CC52" s="9">
        <f>IF(Tableau47[[#This Row],[INDEX]]&lt;3,"",IF(Tableau47[[#This Row],[COMMAND]]="","",Tableau47[[#This Row],[LOT]]))</f>
        <v>4000</v>
      </c>
      <c r="CD52" s="9">
        <f>IF(Tableau47[[#This Row],[INDEX]]&lt;3,"",IF(Tableau47[[#This Row],[COMMAND]]="","",IFERROR(_xlfn.XLOOKUP(Tableau47[[#This Row],[COMMENTAIRE]],[1]!Tableau4849[IDENTITE],[1]!Tableau4849[0,5]),0)))</f>
        <v>0</v>
      </c>
      <c r="CE5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2" s="9" t="str" cm="1">
        <f t="array" ref="CG52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2" s="9"/>
      <c r="CI52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2" s="9"/>
      <c r="CK52" s="21"/>
      <c r="CL52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2" s="9"/>
      <c r="CN52" s="9" t="str">
        <f>IF(Tableau47[[#This Row],[INDEX]]&lt;3,"",IF(Tableau47[[#This Row],[COMMAND]]="","",IF(AND(Tableau47[[#This Row],[EN ATTENTES]]="NON",Tableau47[[#This Row],[EN COURS]]&lt;&gt;""),"OK","STOP")))</f>
        <v>STOP</v>
      </c>
      <c r="CO52" s="19">
        <f>Tableau47[[#This Row],[Cst TIME]]</f>
        <v>44923.41566875</v>
      </c>
      <c r="CP52" s="9">
        <f>[1]analos!$Q$237</f>
        <v>926507</v>
      </c>
      <c r="CQ52" s="9" t="str">
        <f>[1]FSI_TB!$F$3</f>
        <v>EURUSD</v>
      </c>
      <c r="CR52" s="9" t="str">
        <f>Tableau47[[#This Row],[GO1]]</f>
        <v>BUY</v>
      </c>
      <c r="CS52" s="9" t="str">
        <f>Tableau47[[#This Row],[PRICE]]</f>
        <v>1.06482</v>
      </c>
      <c r="CT52" s="9">
        <f>Tableau47[[#This Row],[LOT]]</f>
        <v>4000</v>
      </c>
      <c r="CU52" s="9" t="str">
        <f>Tableau47[[#This Row],[COMMENTAIRE]]</f>
        <v>1 RBRB B 1.06322 M1M1</v>
      </c>
      <c r="CV52" s="9"/>
      <c r="CW52" s="9">
        <v>1</v>
      </c>
      <c r="CX52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2" s="9">
        <f t="shared" ca="1" si="0"/>
        <v>44929.316958449075</v>
      </c>
    </row>
    <row r="53" spans="3:103" ht="15.75" x14ac:dyDescent="0.25">
      <c r="C53" s="8"/>
      <c r="D53" s="9"/>
      <c r="L53" s="9">
        <v>21</v>
      </c>
      <c r="M53" s="9" t="s">
        <v>123</v>
      </c>
      <c r="N53" s="9" t="s">
        <v>154</v>
      </c>
      <c r="O53" s="8" t="s">
        <v>155</v>
      </c>
      <c r="P53" s="9" t="s">
        <v>0</v>
      </c>
      <c r="Q53" s="9">
        <v>3000</v>
      </c>
      <c r="R5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3" s="9" t="str">
        <f>IF(AND(ISNUMBER(SEARCH("BUY",Tableau47[[#This Row],[COMMAND]]))),"BUY",IF(AND(ISNUMBER(SEARCH("SELL",Tableau47[[#This Row],[COMMAND]]))),"SELL",""))</f>
        <v>BUY</v>
      </c>
      <c r="T53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3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3" s="9">
        <v>925832</v>
      </c>
      <c r="W53" s="22">
        <v>44923.415066435184</v>
      </c>
      <c r="X53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3" s="9">
        <f>IFERROR(VALUE(SUBSTITUTE(Tableau47[[#This Row],[PRICE]],".",",")),"")</f>
        <v>1.0645899999999999</v>
      </c>
      <c r="Z53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3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3" s="9" t="str">
        <f>IF(IFERROR(_xlfn.XLOOKUP(Tableau47[[#This Row],[COMMENTAIRE]],'[1]Tickets (2)'!$J$6:$J$805,'[1]Tickets (2)'!$J$6:$J$805),"")&lt;&gt;"",1,"")</f>
        <v/>
      </c>
      <c r="AC53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3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3" s="9" t="str">
        <f>IFERROR(_xlfn.XLOOKUP(Tableau47[[#This Row],[INDEX]],Tableau47[COMPTE],Tableau47[COMPTE]),"")</f>
        <v/>
      </c>
      <c r="AF53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3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3" s="17">
        <f>IF(Tableau47[[#This Row],[COMMAND]]="BUYSTOP",IFERROR(ABS(Tableau47[[#This Row],[GO7]]-'[1]Deal ticket'!$B$15),""),"")</f>
        <v>8.5000000000001741E-4</v>
      </c>
      <c r="AI53" s="9" t="str">
        <f>IF(Tableau47[[#This Row],[COMMAND]]="SELLSTOP",IFERROR(ABS(Tableau47[[#This Row],[GO7]]-'[1]Deal ticket'!$B$16),""),"")</f>
        <v/>
      </c>
      <c r="AJ53" s="9" t="str">
        <f>IF(IFERROR(_xlfn.XLOOKUP(Tableau47[[#This Row],[COMMENTAIRE]],'[1]Tickets (2)'!$J$6:$J$805,'[1]Tickets (2)'!$J$6:$J$805),"")&lt;&gt;"",1,"")</f>
        <v/>
      </c>
      <c r="AK53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3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3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3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1.0645899999999999</v>
      </c>
      <c r="AO53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3" s="9" t="s">
        <v>97</v>
      </c>
      <c r="AQ53" s="9" t="str">
        <f>IFERROR(_xlfn.XLOOKUP(Tableau47[[#This Row],[COMMENTAIRE]],'[1]Tickets (2)'!$J$6:$J$805,'[1]Tickets (2)'!$C$6:$C$805),"")</f>
        <v/>
      </c>
      <c r="AR53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3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3" s="9" t="str">
        <f>IF(Tableau47[[#This Row],[GOUBLOP]]=1,Tableau47[[#This Row],[COMMENTAIRE]],"")</f>
        <v/>
      </c>
      <c r="AU53" s="9"/>
      <c r="AV53" s="9" t="str">
        <f>IFERROR(IF(_xlfn.XLOOKUP(Tableau47[[#This Row],[GOUBLOP2]],[1]!Tableau4849[ATTEINT],[1]!Tableau4849[ATTEINT])&lt;&gt;"",1,""),"")</f>
        <v/>
      </c>
      <c r="AW53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3" s="9" t="str">
        <f>IF(Tableau47[[#This Row],[COMMAND]]="","",IF(Tableau47[[#This Row],[INDEX]]&lt;3,"",LEFT(Tableau47[[#This Row],[COMMENTAIRE]],LEN(Tableau47[[#This Row],[COMMENTAIRE]])-2)))</f>
        <v>1 RBRB B 1.06315 M1</v>
      </c>
      <c r="AY53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3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3" s="9">
        <f>IF(Tableau47[[#This Row],[INDEX]]&lt;3,"",IF(Tableau47[[#This Row],[COMMAND]]="","",IFERROR(Tableau47[[#This Row],[DIS_BUY]]*$AX$30,"")))</f>
        <v>0</v>
      </c>
      <c r="BB53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3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3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3" s="9">
        <f>IF(AND(Tableau47[[#This Row],[GO]]="GO",ISNUMBER(SEARCH("BUY",Tableau47[[#This Row],[COMMAND]]))),1,"")</f>
        <v>1</v>
      </c>
      <c r="BH53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3" s="9" t="str">
        <f>IF(OR(Tableau47[[#This Row],[GLOBAL BUY]]=1),Tableau47[[#This Row],[COMMENTAIRE]],"")</f>
        <v>1 RBRB B 1.06315 M1M1</v>
      </c>
      <c r="BJ53" s="9" t="str">
        <f>IF(OR(Tableau47[[#This Row],[GLOBAL SELL]]=1),Tableau47[[#This Row],[COMMENTAIRE]],"")</f>
        <v/>
      </c>
      <c r="BK53" s="9">
        <f>IF(Tableau47[[#This Row],[INDEX]]&lt;3,"",IF(Tableau47[[#This Row],[COMMAND]]="","",SUMIFS(Tableau47[COMMENTAIRE],Tableau47[COMMENTAIRE],Tableau47[[#This Row],[COMMENTAIRE]])))</f>
        <v>0</v>
      </c>
      <c r="BL53" s="9" t="str">
        <f>IF(IFERROR(_xlfn.XLOOKUP(Tableau47[[#This Row],[COMMENTAIRE]],'[1]Tickets (2)'!$J$6:$J$805,'[1]Tickets (2)'!$J$6:$J$805),"")&lt;&gt;"",1,"")</f>
        <v/>
      </c>
      <c r="BM53" s="9">
        <f>IF(Tableau47[[#This Row],[INDEX]]&lt;3,"",IF(Tableau47[[#This Row],[COMMAND]]="","",IF('[1]Bar history'!$AA$33=1,1,"")))</f>
        <v>1</v>
      </c>
      <c r="BN53" s="9">
        <f>IFERROR(IFERROR(_xlfn.XLOOKUP(Tableau47[[#This Row],[COMMENTAIRE]],[1]!Tableau4849[IDENTITE],[1]!Tableau4849[0,5]),0),"")</f>
        <v>0</v>
      </c>
      <c r="BO53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3" s="9" t="str">
        <f>IF(IFERROR(_xlfn.XLOOKUP(Tableau47[[#This Row],[COMMENTAIRE]],'[1]Tickets (2)'!$J$6:$J$805,'[1]Tickets (2)'!$U$6:$U$805)," ")="","OK","")</f>
        <v/>
      </c>
      <c r="BQ53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3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3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3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3" s="9" t="str">
        <f>IF(IFERROR(_xlfn.XLOOKUP(Tableau47[[#This Row],[COMMENTAIRE]],'[1]Tickets (2)'!$J$6:$J$805,'[1]Tickets (2)'!$U$6:$U$805)," ")="","OK","")</f>
        <v/>
      </c>
      <c r="BV53" s="9" t="str">
        <f>IF(IFERROR(_xlfn.XLOOKUP(Tableau47[[#This Row],[COMMENTAIRE]],'[1]Tickets (2)'!$J$6:$J$805,'[1]Tickets (2)'!$V$6:$V$805)," ")="","OK","")</f>
        <v/>
      </c>
      <c r="BW53" s="9" t="e">
        <f>IF(Tableau47[[#This Row],[INDEX]]&lt;3,"",IF(Tableau47[[#This Row],[COMMAND]]="","",([1]FSI_TB!$F$12/10)*(Tableau47[[#This Row],[LOT]]/$BW$30)))</f>
        <v>#DIV/0!</v>
      </c>
      <c r="BX53" s="9" t="e">
        <f>IF(Tableau47[[#This Row],[INDEX]]&lt;3,"",IF(Tableau47[[#This Row],[COMMAND]]="","",-([1]FSI_TB!$D$12/10)*(Tableau47[[#This Row],[LOT]]/$BW$30)))</f>
        <v>#DIV/0!</v>
      </c>
      <c r="BY53" s="9" t="s">
        <v>97</v>
      </c>
      <c r="BZ53" s="9" t="str">
        <f>IF(AND(Tableau47[[#This Row],[CLOTURE]]="REPOSITIONNER"),"OK",IF(AND(Tableau47[[#This Row],[CLOTURE]]="GAGNANT"),"KO",IF(Tableau47[[#This Row],[NON]]="NON","NON","")))</f>
        <v>NON</v>
      </c>
      <c r="CA53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53" s="9" t="str">
        <f>IFERROR(_xlfn.XLOOKUP(Tableau47[[#This Row],[COMMENTAIRE]],'[1]Tickets (2)'!$J$6:$J$805,'[1]Tickets (2)'!$F$6:$F$805),"")</f>
        <v/>
      </c>
      <c r="CC53" s="9">
        <f>IF(Tableau47[[#This Row],[INDEX]]&lt;3,"",IF(Tableau47[[#This Row],[COMMAND]]="","",Tableau47[[#This Row],[LOT]]))</f>
        <v>3000</v>
      </c>
      <c r="CD53" s="9">
        <f>IF(Tableau47[[#This Row],[INDEX]]&lt;3,"",IF(Tableau47[[#This Row],[COMMAND]]="","",IFERROR(_xlfn.XLOOKUP(Tableau47[[#This Row],[COMMENTAIRE]],[1]!Tableau4849[IDENTITE],[1]!Tableau4849[0,5]),0)))</f>
        <v>0</v>
      </c>
      <c r="CE5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3" s="9" t="str" cm="1">
        <f t="array" ref="CG53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3" s="9"/>
      <c r="CI53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3" s="9"/>
      <c r="CK53" s="21"/>
      <c r="CL53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3" s="9"/>
      <c r="CN53" s="9" t="str">
        <f>IF(Tableau47[[#This Row],[INDEX]]&lt;3,"",IF(Tableau47[[#This Row],[COMMAND]]="","",IF(AND(Tableau47[[#This Row],[EN ATTENTES]]="NON",Tableau47[[#This Row],[EN COURS]]&lt;&gt;""),"OK","STOP")))</f>
        <v>STOP</v>
      </c>
      <c r="CO53" s="19">
        <f>Tableau47[[#This Row],[Cst TIME]]</f>
        <v>44923.415066435184</v>
      </c>
      <c r="CP53" s="9">
        <f>[1]analos!$Q$237</f>
        <v>926507</v>
      </c>
      <c r="CQ53" s="9" t="str">
        <f>[1]FSI_TB!$F$3</f>
        <v>EURUSD</v>
      </c>
      <c r="CR53" s="9" t="str">
        <f>Tableau47[[#This Row],[GO1]]</f>
        <v>BUY</v>
      </c>
      <c r="CS53" s="9" t="str">
        <f>Tableau47[[#This Row],[PRICE]]</f>
        <v>1.06459</v>
      </c>
      <c r="CT53" s="9">
        <f>Tableau47[[#This Row],[LOT]]</f>
        <v>3000</v>
      </c>
      <c r="CU53" s="9" t="str">
        <f>Tableau47[[#This Row],[COMMENTAIRE]]</f>
        <v>1 RBRB B 1.06315 M1M1</v>
      </c>
      <c r="CV53" s="9"/>
      <c r="CW53" s="9">
        <v>1</v>
      </c>
      <c r="CX53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3" s="9">
        <f t="shared" ca="1" si="0"/>
        <v>44929.316958449075</v>
      </c>
    </row>
    <row r="54" spans="3:103" ht="15.75" x14ac:dyDescent="0.25">
      <c r="C54" s="8"/>
      <c r="D54" s="9"/>
      <c r="L54" s="9">
        <v>22</v>
      </c>
      <c r="M54" s="9" t="s">
        <v>123</v>
      </c>
      <c r="N54" s="9" t="s">
        <v>13</v>
      </c>
      <c r="O54" s="8" t="s">
        <v>156</v>
      </c>
      <c r="P54" s="9" t="s">
        <v>0</v>
      </c>
      <c r="Q54" s="9">
        <v>3000</v>
      </c>
      <c r="R5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4" s="9" t="str">
        <f>IF(AND(ISNUMBER(SEARCH("BUY",Tableau47[[#This Row],[COMMAND]]))),"BUY",IF(AND(ISNUMBER(SEARCH("SELL",Tableau47[[#This Row],[COMMAND]]))),"SELL",""))</f>
        <v>BUY</v>
      </c>
      <c r="T54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4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4" s="9">
        <v>925832</v>
      </c>
      <c r="W54" s="22">
        <v>44923.414643634256</v>
      </c>
      <c r="X54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4" s="9">
        <f>IFERROR(VALUE(SUBSTITUTE(Tableau47[[#This Row],[PRICE]],".",",")),"")</f>
        <v>1.0644800000000001</v>
      </c>
      <c r="Z54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4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4" s="9" t="str">
        <f>IF(IFERROR(_xlfn.XLOOKUP(Tableau47[[#This Row],[COMMENTAIRE]],'[1]Tickets (2)'!$J$6:$J$805,'[1]Tickets (2)'!$J$6:$J$805),"")&lt;&gt;"",1,"")</f>
        <v/>
      </c>
      <c r="AC54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4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4" s="9" t="str">
        <f>IFERROR(_xlfn.XLOOKUP(Tableau47[[#This Row],[INDEX]],Tableau47[COMPTE],Tableau47[COMPTE]),"")</f>
        <v/>
      </c>
      <c r="AF54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4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4" s="17">
        <f>IF(Tableau47[[#This Row],[COMMAND]]="BUYSTOP",IFERROR(ABS(Tableau47[[#This Row],[GO7]]-'[1]Deal ticket'!$B$15),""),"")</f>
        <v>9.5999999999984986E-4</v>
      </c>
      <c r="AI54" s="9" t="str">
        <f>IF(Tableau47[[#This Row],[COMMAND]]="SELLSTOP",IFERROR(ABS(Tableau47[[#This Row],[GO7]]-'[1]Deal ticket'!$B$16),""),"")</f>
        <v/>
      </c>
      <c r="AJ54" s="9" t="str">
        <f>IF(IFERROR(_xlfn.XLOOKUP(Tableau47[[#This Row],[COMMENTAIRE]],'[1]Tickets (2)'!$J$6:$J$805,'[1]Tickets (2)'!$J$6:$J$805),"")&lt;&gt;"",1,"")</f>
        <v/>
      </c>
      <c r="AK54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4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4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4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1.0644800000000001</v>
      </c>
      <c r="AO54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4" s="9" t="s">
        <v>97</v>
      </c>
      <c r="AQ54" s="9" t="str">
        <f>IFERROR(_xlfn.XLOOKUP(Tableau47[[#This Row],[COMMENTAIRE]],'[1]Tickets (2)'!$J$6:$J$805,'[1]Tickets (2)'!$C$6:$C$805),"")</f>
        <v/>
      </c>
      <c r="AR54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4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4" s="9" t="str">
        <f>IF(Tableau47[[#This Row],[GOUBLOP]]=1,Tableau47[[#This Row],[COMMENTAIRE]],"")</f>
        <v/>
      </c>
      <c r="AU54" s="9"/>
      <c r="AV54" s="9" t="str">
        <f>IFERROR(IF(_xlfn.XLOOKUP(Tableau47[[#This Row],[GOUBLOP2]],[1]!Tableau4849[ATTEINT],[1]!Tableau4849[ATTEINT])&lt;&gt;"",1,""),"")</f>
        <v/>
      </c>
      <c r="AW54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4" s="9" t="str">
        <f>IF(Tableau47[[#This Row],[COMMAND]]="","",IF(Tableau47[[#This Row],[INDEX]]&lt;3,"",LEFT(Tableau47[[#This Row],[COMMENTAIRE]],LEN(Tableau47[[#This Row],[COMMENTAIRE]])-2)))</f>
        <v>1 RBRB B 1.06307 M1</v>
      </c>
      <c r="AY54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4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4" s="9">
        <f>IF(Tableau47[[#This Row],[INDEX]]&lt;3,"",IF(Tableau47[[#This Row],[COMMAND]]="","",IFERROR(Tableau47[[#This Row],[DIS_BUY]]*$AX$30,"")))</f>
        <v>0</v>
      </c>
      <c r="BB54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4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4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4" s="9">
        <f>IF(AND(Tableau47[[#This Row],[GO]]="GO",ISNUMBER(SEARCH("BUY",Tableau47[[#This Row],[COMMAND]]))),1,"")</f>
        <v>1</v>
      </c>
      <c r="BH54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4" s="9" t="str">
        <f>IF(OR(Tableau47[[#This Row],[GLOBAL BUY]]=1),Tableau47[[#This Row],[COMMENTAIRE]],"")</f>
        <v>1 RBRB B 1.06307 M1M1</v>
      </c>
      <c r="BJ54" s="9" t="str">
        <f>IF(OR(Tableau47[[#This Row],[GLOBAL SELL]]=1),Tableau47[[#This Row],[COMMENTAIRE]],"")</f>
        <v/>
      </c>
      <c r="BK54" s="9">
        <f>IF(Tableau47[[#This Row],[INDEX]]&lt;3,"",IF(Tableau47[[#This Row],[COMMAND]]="","",SUMIFS(Tableau47[COMMENTAIRE],Tableau47[COMMENTAIRE],Tableau47[[#This Row],[COMMENTAIRE]])))</f>
        <v>0</v>
      </c>
      <c r="BL54" s="9" t="str">
        <f>IF(IFERROR(_xlfn.XLOOKUP(Tableau47[[#This Row],[COMMENTAIRE]],'[1]Tickets (2)'!$J$6:$J$805,'[1]Tickets (2)'!$J$6:$J$805),"")&lt;&gt;"",1,"")</f>
        <v/>
      </c>
      <c r="BM54" s="9">
        <f>IF(Tableau47[[#This Row],[INDEX]]&lt;3,"",IF(Tableau47[[#This Row],[COMMAND]]="","",IF('[1]Bar history'!$AA$33=1,1,"")))</f>
        <v>1</v>
      </c>
      <c r="BN54" s="9">
        <f>IFERROR(IFERROR(_xlfn.XLOOKUP(Tableau47[[#This Row],[COMMENTAIRE]],[1]!Tableau4849[IDENTITE],[1]!Tableau4849[0,5]),0),"")</f>
        <v>0</v>
      </c>
      <c r="BO54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4" s="9" t="str">
        <f>IF(IFERROR(_xlfn.XLOOKUP(Tableau47[[#This Row],[COMMENTAIRE]],'[1]Tickets (2)'!$J$6:$J$805,'[1]Tickets (2)'!$U$6:$U$805)," ")="","OK","")</f>
        <v/>
      </c>
      <c r="BQ54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4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4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4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4" s="9" t="str">
        <f>IF(IFERROR(_xlfn.XLOOKUP(Tableau47[[#This Row],[COMMENTAIRE]],'[1]Tickets (2)'!$J$6:$J$805,'[1]Tickets (2)'!$U$6:$U$805)," ")="","OK","")</f>
        <v/>
      </c>
      <c r="BV54" s="9" t="str">
        <f>IF(IFERROR(_xlfn.XLOOKUP(Tableau47[[#This Row],[COMMENTAIRE]],'[1]Tickets (2)'!$J$6:$J$805,'[1]Tickets (2)'!$V$6:$V$805)," ")="","OK","")</f>
        <v/>
      </c>
      <c r="BW54" s="9" t="e">
        <f>IF(Tableau47[[#This Row],[INDEX]]&lt;3,"",IF(Tableau47[[#This Row],[COMMAND]]="","",([1]FSI_TB!$F$12/10)*(Tableau47[[#This Row],[LOT]]/$BW$30)))</f>
        <v>#DIV/0!</v>
      </c>
      <c r="BX54" s="9" t="e">
        <f>IF(Tableau47[[#This Row],[INDEX]]&lt;3,"",IF(Tableau47[[#This Row],[COMMAND]]="","",-([1]FSI_TB!$D$12/10)*(Tableau47[[#This Row],[LOT]]/$BW$30)))</f>
        <v>#DIV/0!</v>
      </c>
      <c r="BY54" s="9" t="s">
        <v>97</v>
      </c>
      <c r="BZ54" s="9" t="str">
        <f>IF(AND(Tableau47[[#This Row],[CLOTURE]]="REPOSITIONNER"),"OK",IF(AND(Tableau47[[#This Row],[CLOTURE]]="GAGNANT"),"KO",IF(Tableau47[[#This Row],[NON]]="NON","NON","")))</f>
        <v>NON</v>
      </c>
      <c r="CA54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54" s="9" t="str">
        <f>IFERROR(_xlfn.XLOOKUP(Tableau47[[#This Row],[COMMENTAIRE]],'[1]Tickets (2)'!$J$6:$J$805,'[1]Tickets (2)'!$F$6:$F$805),"")</f>
        <v/>
      </c>
      <c r="CC54" s="9">
        <f>IF(Tableau47[[#This Row],[INDEX]]&lt;3,"",IF(Tableau47[[#This Row],[COMMAND]]="","",Tableau47[[#This Row],[LOT]]))</f>
        <v>3000</v>
      </c>
      <c r="CD54" s="9">
        <f>IF(Tableau47[[#This Row],[INDEX]]&lt;3,"",IF(Tableau47[[#This Row],[COMMAND]]="","",IFERROR(_xlfn.XLOOKUP(Tableau47[[#This Row],[COMMENTAIRE]],[1]!Tableau4849[IDENTITE],[1]!Tableau4849[0,5]),0)))</f>
        <v>0</v>
      </c>
      <c r="CE5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4" s="9" t="str" cm="1">
        <f t="array" ref="CG54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4" s="9"/>
      <c r="CI54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4" s="9"/>
      <c r="CK54" s="21"/>
      <c r="CL54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4" s="9"/>
      <c r="CN54" s="9" t="str">
        <f>IF(Tableau47[[#This Row],[INDEX]]&lt;3,"",IF(Tableau47[[#This Row],[COMMAND]]="","",IF(AND(Tableau47[[#This Row],[EN ATTENTES]]="NON",Tableau47[[#This Row],[EN COURS]]&lt;&gt;""),"OK","STOP")))</f>
        <v>STOP</v>
      </c>
      <c r="CO54" s="19">
        <f>Tableau47[[#This Row],[Cst TIME]]</f>
        <v>44923.414643634256</v>
      </c>
      <c r="CP54" s="9">
        <f>[1]analos!$Q$237</f>
        <v>926507</v>
      </c>
      <c r="CQ54" s="9" t="str">
        <f>[1]FSI_TB!$F$3</f>
        <v>EURUSD</v>
      </c>
      <c r="CR54" s="9" t="str">
        <f>Tableau47[[#This Row],[GO1]]</f>
        <v>BUY</v>
      </c>
      <c r="CS54" s="9" t="str">
        <f>Tableau47[[#This Row],[PRICE]]</f>
        <v>1.06448</v>
      </c>
      <c r="CT54" s="9">
        <f>Tableau47[[#This Row],[LOT]]</f>
        <v>3000</v>
      </c>
      <c r="CU54" s="9" t="str">
        <f>Tableau47[[#This Row],[COMMENTAIRE]]</f>
        <v>1 RBRB B 1.06307 M1M1</v>
      </c>
      <c r="CV54" s="9"/>
      <c r="CW54" s="9">
        <v>1</v>
      </c>
      <c r="CX54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4" s="9">
        <f t="shared" ca="1" si="0"/>
        <v>44929.316958449075</v>
      </c>
    </row>
    <row r="55" spans="3:103" ht="15.75" x14ac:dyDescent="0.25">
      <c r="C55" s="8"/>
      <c r="D55" s="9"/>
      <c r="L55" s="9">
        <v>23</v>
      </c>
      <c r="M55" s="9" t="s">
        <v>123</v>
      </c>
      <c r="N55" s="9" t="s">
        <v>157</v>
      </c>
      <c r="O55" s="8" t="s">
        <v>158</v>
      </c>
      <c r="P55" s="9" t="s">
        <v>0</v>
      </c>
      <c r="Q55" s="9">
        <v>3000</v>
      </c>
      <c r="R5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5" s="9" t="str">
        <f>IF(AND(ISNUMBER(SEARCH("BUY",Tableau47[[#This Row],[COMMAND]]))),"BUY",IF(AND(ISNUMBER(SEARCH("SELL",Tableau47[[#This Row],[COMMAND]]))),"SELL",""))</f>
        <v>BUY</v>
      </c>
      <c r="T55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5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5" s="9">
        <v>925832</v>
      </c>
      <c r="W55" s="22">
        <v>44923.413977777775</v>
      </c>
      <c r="X55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5" s="9">
        <f>IFERROR(VALUE(SUBSTITUTE(Tableau47[[#This Row],[PRICE]],".",",")),"")</f>
        <v>1.0646100000000001</v>
      </c>
      <c r="Z55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5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5" s="9" t="str">
        <f>IF(IFERROR(_xlfn.XLOOKUP(Tableau47[[#This Row],[COMMENTAIRE]],'[1]Tickets (2)'!$J$6:$J$805,'[1]Tickets (2)'!$J$6:$J$805),"")&lt;&gt;"",1,"")</f>
        <v/>
      </c>
      <c r="AC55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5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5" s="9" t="str">
        <f>IFERROR(_xlfn.XLOOKUP(Tableau47[[#This Row],[INDEX]],Tableau47[COMPTE],Tableau47[COMPTE]),"")</f>
        <v/>
      </c>
      <c r="AF55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5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5" s="17">
        <f>IF(Tableau47[[#This Row],[COMMAND]]="BUYSTOP",IFERROR(ABS(Tableau47[[#This Row],[GO7]]-'[1]Deal ticket'!$B$15),""),"")</f>
        <v>8.2999999999988638E-4</v>
      </c>
      <c r="AI55" s="9" t="str">
        <f>IF(Tableau47[[#This Row],[COMMAND]]="SELLSTOP",IFERROR(ABS(Tableau47[[#This Row],[GO7]]-'[1]Deal ticket'!$B$16),""),"")</f>
        <v/>
      </c>
      <c r="AJ55" s="9" t="str">
        <f>IF(IFERROR(_xlfn.XLOOKUP(Tableau47[[#This Row],[COMMENTAIRE]],'[1]Tickets (2)'!$J$6:$J$805,'[1]Tickets (2)'!$J$6:$J$805),"")&lt;&gt;"",1,"")</f>
        <v/>
      </c>
      <c r="AK55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5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5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5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1.0646100000000001</v>
      </c>
      <c r="AO55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5" s="9" t="s">
        <v>97</v>
      </c>
      <c r="AQ55" s="9" t="str">
        <f>IFERROR(_xlfn.XLOOKUP(Tableau47[[#This Row],[COMMENTAIRE]],'[1]Tickets (2)'!$J$6:$J$805,'[1]Tickets (2)'!$C$6:$C$805),"")</f>
        <v/>
      </c>
      <c r="AR55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5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5" s="9" t="str">
        <f>IF(Tableau47[[#This Row],[GOUBLOP]]=1,Tableau47[[#This Row],[COMMENTAIRE]],"")</f>
        <v/>
      </c>
      <c r="AU55" s="9"/>
      <c r="AV55" s="9" t="str">
        <f>IFERROR(IF(_xlfn.XLOOKUP(Tableau47[[#This Row],[GOUBLOP2]],[1]!Tableau4849[ATTEINT],[1]!Tableau4849[ATTEINT])&lt;&gt;"",1,""),"")</f>
        <v/>
      </c>
      <c r="AW55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5" s="9" t="str">
        <f>IF(Tableau47[[#This Row],[COMMAND]]="","",IF(Tableau47[[#This Row],[INDEX]]&lt;3,"",LEFT(Tableau47[[#This Row],[COMMENTAIRE]],LEN(Tableau47[[#This Row],[COMMENTAIRE]])-2)))</f>
        <v>1 RBRB B 1.06314 M1</v>
      </c>
      <c r="AY55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5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5" s="9">
        <f>IF(Tableau47[[#This Row],[INDEX]]&lt;3,"",IF(Tableau47[[#This Row],[COMMAND]]="","",IFERROR(Tableau47[[#This Row],[DIS_BUY]]*$AX$30,"")))</f>
        <v>0</v>
      </c>
      <c r="BB55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5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5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5" s="9">
        <f>IF(AND(Tableau47[[#This Row],[GO]]="GO",ISNUMBER(SEARCH("BUY",Tableau47[[#This Row],[COMMAND]]))),1,"")</f>
        <v>1</v>
      </c>
      <c r="BH55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5" s="9" t="str">
        <f>IF(OR(Tableau47[[#This Row],[GLOBAL BUY]]=1),Tableau47[[#This Row],[COMMENTAIRE]],"")</f>
        <v>1 RBRB B 1.06314 M1M1</v>
      </c>
      <c r="BJ55" s="9" t="str">
        <f>IF(OR(Tableau47[[#This Row],[GLOBAL SELL]]=1),Tableau47[[#This Row],[COMMENTAIRE]],"")</f>
        <v/>
      </c>
      <c r="BK55" s="9">
        <f>IF(Tableau47[[#This Row],[INDEX]]&lt;3,"",IF(Tableau47[[#This Row],[COMMAND]]="","",SUMIFS(Tableau47[COMMENTAIRE],Tableau47[COMMENTAIRE],Tableau47[[#This Row],[COMMENTAIRE]])))</f>
        <v>0</v>
      </c>
      <c r="BL55" s="9" t="str">
        <f>IF(IFERROR(_xlfn.XLOOKUP(Tableau47[[#This Row],[COMMENTAIRE]],'[1]Tickets (2)'!$J$6:$J$805,'[1]Tickets (2)'!$J$6:$J$805),"")&lt;&gt;"",1,"")</f>
        <v/>
      </c>
      <c r="BM55" s="9">
        <f>IF(Tableau47[[#This Row],[INDEX]]&lt;3,"",IF(Tableau47[[#This Row],[COMMAND]]="","",IF('[1]Bar history'!$AA$33=1,1,"")))</f>
        <v>1</v>
      </c>
      <c r="BN55" s="9">
        <f>IFERROR(IFERROR(_xlfn.XLOOKUP(Tableau47[[#This Row],[COMMENTAIRE]],[1]!Tableau4849[IDENTITE],[1]!Tableau4849[0,5]),0),"")</f>
        <v>0</v>
      </c>
      <c r="BO55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5" s="9" t="str">
        <f>IF(IFERROR(_xlfn.XLOOKUP(Tableau47[[#This Row],[COMMENTAIRE]],'[1]Tickets (2)'!$J$6:$J$805,'[1]Tickets (2)'!$U$6:$U$805)," ")="","OK","")</f>
        <v/>
      </c>
      <c r="BQ55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5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5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5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5" s="9" t="str">
        <f>IF(IFERROR(_xlfn.XLOOKUP(Tableau47[[#This Row],[COMMENTAIRE]],'[1]Tickets (2)'!$J$6:$J$805,'[1]Tickets (2)'!$U$6:$U$805)," ")="","OK","")</f>
        <v/>
      </c>
      <c r="BV55" s="9" t="str">
        <f>IF(IFERROR(_xlfn.XLOOKUP(Tableau47[[#This Row],[COMMENTAIRE]],'[1]Tickets (2)'!$J$6:$J$805,'[1]Tickets (2)'!$V$6:$V$805)," ")="","OK","")</f>
        <v/>
      </c>
      <c r="BW55" s="9" t="e">
        <f>IF(Tableau47[[#This Row],[INDEX]]&lt;3,"",IF(Tableau47[[#This Row],[COMMAND]]="","",([1]FSI_TB!$F$12/10)*(Tableau47[[#This Row],[LOT]]/$BW$30)))</f>
        <v>#DIV/0!</v>
      </c>
      <c r="BX55" s="9" t="e">
        <f>IF(Tableau47[[#This Row],[INDEX]]&lt;3,"",IF(Tableau47[[#This Row],[COMMAND]]="","",-([1]FSI_TB!$D$12/10)*(Tableau47[[#This Row],[LOT]]/$BW$30)))</f>
        <v>#DIV/0!</v>
      </c>
      <c r="BY55" s="9" t="s">
        <v>97</v>
      </c>
      <c r="BZ55" s="9" t="str">
        <f>IF(AND(Tableau47[[#This Row],[CLOTURE]]="REPOSITIONNER"),"OK",IF(AND(Tableau47[[#This Row],[CLOTURE]]="GAGNANT"),"KO",IF(Tableau47[[#This Row],[NON]]="NON","NON","")))</f>
        <v>NON</v>
      </c>
      <c r="CA55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55" s="9" t="str">
        <f>IFERROR(_xlfn.XLOOKUP(Tableau47[[#This Row],[COMMENTAIRE]],'[1]Tickets (2)'!$J$6:$J$805,'[1]Tickets (2)'!$F$6:$F$805),"")</f>
        <v/>
      </c>
      <c r="CC55" s="9">
        <f>IF(Tableau47[[#This Row],[INDEX]]&lt;3,"",IF(Tableau47[[#This Row],[COMMAND]]="","",Tableau47[[#This Row],[LOT]]))</f>
        <v>3000</v>
      </c>
      <c r="CD55" s="9">
        <f>IF(Tableau47[[#This Row],[INDEX]]&lt;3,"",IF(Tableau47[[#This Row],[COMMAND]]="","",IFERROR(_xlfn.XLOOKUP(Tableau47[[#This Row],[COMMENTAIRE]],[1]!Tableau4849[IDENTITE],[1]!Tableau4849[0,5]),0)))</f>
        <v>0</v>
      </c>
      <c r="CE5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5" s="9" t="str" cm="1">
        <f t="array" ref="CG55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5" s="9"/>
      <c r="CI55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5" s="9"/>
      <c r="CK55" s="21"/>
      <c r="CL55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5" s="9"/>
      <c r="CN55" s="9" t="str">
        <f>IF(Tableau47[[#This Row],[INDEX]]&lt;3,"",IF(Tableau47[[#This Row],[COMMAND]]="","",IF(AND(Tableau47[[#This Row],[EN ATTENTES]]="NON",Tableau47[[#This Row],[EN COURS]]&lt;&gt;""),"OK","STOP")))</f>
        <v>STOP</v>
      </c>
      <c r="CO55" s="19">
        <f>Tableau47[[#This Row],[Cst TIME]]</f>
        <v>44923.413977777775</v>
      </c>
      <c r="CP55" s="9">
        <f>[1]analos!$Q$237</f>
        <v>926507</v>
      </c>
      <c r="CQ55" s="9" t="str">
        <f>[1]FSI_TB!$F$3</f>
        <v>EURUSD</v>
      </c>
      <c r="CR55" s="9" t="str">
        <f>Tableau47[[#This Row],[GO1]]</f>
        <v>BUY</v>
      </c>
      <c r="CS55" s="9" t="str">
        <f>Tableau47[[#This Row],[PRICE]]</f>
        <v>1.06461</v>
      </c>
      <c r="CT55" s="9">
        <f>Tableau47[[#This Row],[LOT]]</f>
        <v>3000</v>
      </c>
      <c r="CU55" s="9" t="str">
        <f>Tableau47[[#This Row],[COMMENTAIRE]]</f>
        <v>1 RBRB B 1.06314 M1M1</v>
      </c>
      <c r="CV55" s="9"/>
      <c r="CW55" s="9">
        <v>1</v>
      </c>
      <c r="CX55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5" s="9">
        <f t="shared" ca="1" si="0"/>
        <v>44929.316958449075</v>
      </c>
    </row>
    <row r="56" spans="3:103" ht="15.75" x14ac:dyDescent="0.25">
      <c r="C56" s="8"/>
      <c r="D56" s="9"/>
      <c r="L56" s="9">
        <v>24</v>
      </c>
      <c r="M56" s="9" t="s">
        <v>123</v>
      </c>
      <c r="N56" s="9" t="s">
        <v>159</v>
      </c>
      <c r="O56" s="8" t="s">
        <v>160</v>
      </c>
      <c r="P56" s="9" t="s">
        <v>0</v>
      </c>
      <c r="Q56" s="9">
        <v>3000</v>
      </c>
      <c r="R5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6" s="9" t="str">
        <f>IF(AND(ISNUMBER(SEARCH("BUY",Tableau47[[#This Row],[COMMAND]]))),"BUY",IF(AND(ISNUMBER(SEARCH("SELL",Tableau47[[#This Row],[COMMAND]]))),"SELL",""))</f>
        <v>BUY</v>
      </c>
      <c r="T56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6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6" s="9">
        <v>925832</v>
      </c>
      <c r="W56" s="22">
        <v>44923.413685879626</v>
      </c>
      <c r="X56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6" s="9">
        <f>IFERROR(VALUE(SUBSTITUTE(Tableau47[[#This Row],[PRICE]],".",",")),"")</f>
        <v>1.0648599999999999</v>
      </c>
      <c r="Z56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6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6" s="9" t="str">
        <f>IF(IFERROR(_xlfn.XLOOKUP(Tableau47[[#This Row],[COMMENTAIRE]],'[1]Tickets (2)'!$J$6:$J$805,'[1]Tickets (2)'!$J$6:$J$805),"")&lt;&gt;"",1,"")</f>
        <v/>
      </c>
      <c r="AC56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6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6" s="9" t="str">
        <f>IFERROR(_xlfn.XLOOKUP(Tableau47[[#This Row],[INDEX]],Tableau47[COMPTE],Tableau47[COMPTE]),"")</f>
        <v/>
      </c>
      <c r="AF56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6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6" s="17">
        <f>IF(Tableau47[[#This Row],[COMMAND]]="BUYSTOP",IFERROR(ABS(Tableau47[[#This Row],[GO7]]-'[1]Deal ticket'!$B$15),""),"")</f>
        <v>5.8000000000002494E-4</v>
      </c>
      <c r="AI56" s="9" t="str">
        <f>IF(Tableau47[[#This Row],[COMMAND]]="SELLSTOP",IFERROR(ABS(Tableau47[[#This Row],[GO7]]-'[1]Deal ticket'!$B$16),""),"")</f>
        <v/>
      </c>
      <c r="AJ56" s="9" t="str">
        <f>IF(IFERROR(_xlfn.XLOOKUP(Tableau47[[#This Row],[COMMENTAIRE]],'[1]Tickets (2)'!$J$6:$J$805,'[1]Tickets (2)'!$J$6:$J$805),"")&lt;&gt;"",1,"")</f>
        <v/>
      </c>
      <c r="AK56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6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6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6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1.0648599999999999</v>
      </c>
      <c r="AO56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6" s="9" t="s">
        <v>97</v>
      </c>
      <c r="AQ56" s="9" t="str">
        <f>IFERROR(_xlfn.XLOOKUP(Tableau47[[#This Row],[COMMENTAIRE]],'[1]Tickets (2)'!$J$6:$J$805,'[1]Tickets (2)'!$C$6:$C$805),"")</f>
        <v/>
      </c>
      <c r="AR56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6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6" s="9" t="str">
        <f>IF(Tableau47[[#This Row],[GOUBLOP]]=1,Tableau47[[#This Row],[COMMENTAIRE]],"")</f>
        <v/>
      </c>
      <c r="AU56" s="9"/>
      <c r="AV56" s="9" t="str">
        <f>IFERROR(IF(_xlfn.XLOOKUP(Tableau47[[#This Row],[GOUBLOP2]],[1]!Tableau4849[ATTEINT],[1]!Tableau4849[ATTEINT])&lt;&gt;"",1,""),"")</f>
        <v/>
      </c>
      <c r="AW56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6" s="9" t="str">
        <f>IF(Tableau47[[#This Row],[COMMAND]]="","",IF(Tableau47[[#This Row],[INDEX]]&lt;3,"",LEFT(Tableau47[[#This Row],[COMMENTAIRE]],LEN(Tableau47[[#This Row],[COMMENTAIRE]])-2)))</f>
        <v>1 RBRB B 1.06321 M1</v>
      </c>
      <c r="AY56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6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6" s="9">
        <f>IF(Tableau47[[#This Row],[INDEX]]&lt;3,"",IF(Tableau47[[#This Row],[COMMAND]]="","",IFERROR(Tableau47[[#This Row],[DIS_BUY]]*$AX$30,"")))</f>
        <v>0</v>
      </c>
      <c r="BB56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6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6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6" s="9">
        <f>IF(AND(Tableau47[[#This Row],[GO]]="GO",ISNUMBER(SEARCH("BUY",Tableau47[[#This Row],[COMMAND]]))),1,"")</f>
        <v>1</v>
      </c>
      <c r="BH56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6" s="9" t="str">
        <f>IF(OR(Tableau47[[#This Row],[GLOBAL BUY]]=1),Tableau47[[#This Row],[COMMENTAIRE]],"")</f>
        <v>1 RBRB B 1.06321 M1M1</v>
      </c>
      <c r="BJ56" s="9" t="str">
        <f>IF(OR(Tableau47[[#This Row],[GLOBAL SELL]]=1),Tableau47[[#This Row],[COMMENTAIRE]],"")</f>
        <v/>
      </c>
      <c r="BK56" s="9">
        <f>IF(Tableau47[[#This Row],[INDEX]]&lt;3,"",IF(Tableau47[[#This Row],[COMMAND]]="","",SUMIFS(Tableau47[COMMENTAIRE],Tableau47[COMMENTAIRE],Tableau47[[#This Row],[COMMENTAIRE]])))</f>
        <v>0</v>
      </c>
      <c r="BL56" s="9" t="str">
        <f>IF(IFERROR(_xlfn.XLOOKUP(Tableau47[[#This Row],[COMMENTAIRE]],'[1]Tickets (2)'!$J$6:$J$805,'[1]Tickets (2)'!$J$6:$J$805),"")&lt;&gt;"",1,"")</f>
        <v/>
      </c>
      <c r="BM56" s="9">
        <f>IF(Tableau47[[#This Row],[INDEX]]&lt;3,"",IF(Tableau47[[#This Row],[COMMAND]]="","",IF('[1]Bar history'!$AA$33=1,1,"")))</f>
        <v>1</v>
      </c>
      <c r="BN56" s="9">
        <f>IFERROR(IFERROR(_xlfn.XLOOKUP(Tableau47[[#This Row],[COMMENTAIRE]],[1]!Tableau4849[IDENTITE],[1]!Tableau4849[0,5]),0),"")</f>
        <v>0</v>
      </c>
      <c r="BO56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6" s="9" t="str">
        <f>IF(IFERROR(_xlfn.XLOOKUP(Tableau47[[#This Row],[COMMENTAIRE]],'[1]Tickets (2)'!$J$6:$J$805,'[1]Tickets (2)'!$U$6:$U$805)," ")="","OK","")</f>
        <v/>
      </c>
      <c r="BQ56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6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6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6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6" s="9" t="str">
        <f>IF(IFERROR(_xlfn.XLOOKUP(Tableau47[[#This Row],[COMMENTAIRE]],'[1]Tickets (2)'!$J$6:$J$805,'[1]Tickets (2)'!$U$6:$U$805)," ")="","OK","")</f>
        <v/>
      </c>
      <c r="BV56" s="9" t="str">
        <f>IF(IFERROR(_xlfn.XLOOKUP(Tableau47[[#This Row],[COMMENTAIRE]],'[1]Tickets (2)'!$J$6:$J$805,'[1]Tickets (2)'!$V$6:$V$805)," ")="","OK","")</f>
        <v/>
      </c>
      <c r="BW56" s="9" t="e">
        <f>IF(Tableau47[[#This Row],[INDEX]]&lt;3,"",IF(Tableau47[[#This Row],[COMMAND]]="","",([1]FSI_TB!$F$12/10)*(Tableau47[[#This Row],[LOT]]/$BW$30)))</f>
        <v>#DIV/0!</v>
      </c>
      <c r="BX56" s="9" t="e">
        <f>IF(Tableau47[[#This Row],[INDEX]]&lt;3,"",IF(Tableau47[[#This Row],[COMMAND]]="","",-([1]FSI_TB!$D$12/10)*(Tableau47[[#This Row],[LOT]]/$BW$30)))</f>
        <v>#DIV/0!</v>
      </c>
      <c r="BY56" s="9" t="s">
        <v>97</v>
      </c>
      <c r="BZ56" s="9" t="str">
        <f>IF(AND(Tableau47[[#This Row],[CLOTURE]]="REPOSITIONNER"),"OK",IF(AND(Tableau47[[#This Row],[CLOTURE]]="GAGNANT"),"KO",IF(Tableau47[[#This Row],[NON]]="NON","NON","")))</f>
        <v>NON</v>
      </c>
      <c r="CA56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56" s="9" t="str">
        <f>IFERROR(_xlfn.XLOOKUP(Tableau47[[#This Row],[COMMENTAIRE]],'[1]Tickets (2)'!$J$6:$J$805,'[1]Tickets (2)'!$F$6:$F$805),"")</f>
        <v/>
      </c>
      <c r="CC56" s="9">
        <f>IF(Tableau47[[#This Row],[INDEX]]&lt;3,"",IF(Tableau47[[#This Row],[COMMAND]]="","",Tableau47[[#This Row],[LOT]]))</f>
        <v>3000</v>
      </c>
      <c r="CD56" s="9">
        <f>IF(Tableau47[[#This Row],[INDEX]]&lt;3,"",IF(Tableau47[[#This Row],[COMMAND]]="","",IFERROR(_xlfn.XLOOKUP(Tableau47[[#This Row],[COMMENTAIRE]],[1]!Tableau4849[IDENTITE],[1]!Tableau4849[0,5]),0)))</f>
        <v>0</v>
      </c>
      <c r="CE5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6" s="9" t="str" cm="1">
        <f t="array" ref="CG56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6" s="9"/>
      <c r="CI56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6" s="9"/>
      <c r="CK56" s="21"/>
      <c r="CL56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6" s="9"/>
      <c r="CN56" s="9" t="str">
        <f>IF(Tableau47[[#This Row],[INDEX]]&lt;3,"",IF(Tableau47[[#This Row],[COMMAND]]="","",IF(AND(Tableau47[[#This Row],[EN ATTENTES]]="NON",Tableau47[[#This Row],[EN COURS]]&lt;&gt;""),"OK","STOP")))</f>
        <v>STOP</v>
      </c>
      <c r="CO56" s="19">
        <f>Tableau47[[#This Row],[Cst TIME]]</f>
        <v>44923.413685879626</v>
      </c>
      <c r="CP56" s="9">
        <f>[1]analos!$Q$237</f>
        <v>926507</v>
      </c>
      <c r="CQ56" s="9" t="str">
        <f>[1]FSI_TB!$F$3</f>
        <v>EURUSD</v>
      </c>
      <c r="CR56" s="9" t="str">
        <f>Tableau47[[#This Row],[GO1]]</f>
        <v>BUY</v>
      </c>
      <c r="CS56" s="9" t="str">
        <f>Tableau47[[#This Row],[PRICE]]</f>
        <v>1.06486</v>
      </c>
      <c r="CT56" s="9">
        <f>Tableau47[[#This Row],[LOT]]</f>
        <v>3000</v>
      </c>
      <c r="CU56" s="9" t="str">
        <f>Tableau47[[#This Row],[COMMENTAIRE]]</f>
        <v>1 RBRB B 1.06321 M1M1</v>
      </c>
      <c r="CV56" s="9"/>
      <c r="CW56" s="9">
        <v>1</v>
      </c>
      <c r="CX56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6" s="9">
        <f t="shared" ca="1" si="0"/>
        <v>44929.316958449075</v>
      </c>
    </row>
    <row r="57" spans="3:103" ht="15.75" x14ac:dyDescent="0.25">
      <c r="C57" s="8"/>
      <c r="D57" s="9"/>
      <c r="L57" s="9">
        <v>25</v>
      </c>
      <c r="M57" s="9" t="s">
        <v>123</v>
      </c>
      <c r="N57" s="9" t="s">
        <v>161</v>
      </c>
      <c r="O57" s="8" t="s">
        <v>162</v>
      </c>
      <c r="P57" s="9" t="s">
        <v>0</v>
      </c>
      <c r="Q57" s="9">
        <v>3000</v>
      </c>
      <c r="R5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7" s="9" t="str">
        <f>IF(AND(ISNUMBER(SEARCH("BUY",Tableau47[[#This Row],[COMMAND]]))),"BUY",IF(AND(ISNUMBER(SEARCH("SELL",Tableau47[[#This Row],[COMMAND]]))),"SELL",""))</f>
        <v>BUY</v>
      </c>
      <c r="T57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7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7" s="9">
        <v>925832</v>
      </c>
      <c r="W57" s="22">
        <v>44923.413038657411</v>
      </c>
      <c r="X57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7" s="9">
        <f>IFERROR(VALUE(SUBSTITUTE(Tableau47[[#This Row],[PRICE]],".",",")),"")</f>
        <v>1.0646899999999999</v>
      </c>
      <c r="Z57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7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7" s="9" t="str">
        <f>IF(IFERROR(_xlfn.XLOOKUP(Tableau47[[#This Row],[COMMENTAIRE]],'[1]Tickets (2)'!$J$6:$J$805,'[1]Tickets (2)'!$J$6:$J$805),"")&lt;&gt;"",1,"")</f>
        <v/>
      </c>
      <c r="AC57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7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7" s="9" t="str">
        <f>IFERROR(_xlfn.XLOOKUP(Tableau47[[#This Row],[INDEX]],Tableau47[COMPTE],Tableau47[COMPTE]),"")</f>
        <v/>
      </c>
      <c r="AF57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7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7" s="17">
        <f>IF(Tableau47[[#This Row],[COMMAND]]="BUYSTOP",IFERROR(ABS(Tableau47[[#This Row],[GO7]]-'[1]Deal ticket'!$B$15),""),"")</f>
        <v>7.5000000000002842E-4</v>
      </c>
      <c r="AI57" s="9" t="str">
        <f>IF(Tableau47[[#This Row],[COMMAND]]="SELLSTOP",IFERROR(ABS(Tableau47[[#This Row],[GO7]]-'[1]Deal ticket'!$B$16),""),"")</f>
        <v/>
      </c>
      <c r="AJ57" s="9" t="str">
        <f>IF(IFERROR(_xlfn.XLOOKUP(Tableau47[[#This Row],[COMMENTAIRE]],'[1]Tickets (2)'!$J$6:$J$805,'[1]Tickets (2)'!$J$6:$J$805),"")&lt;&gt;"",1,"")</f>
        <v/>
      </c>
      <c r="AK57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7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7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7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1.0646899999999999</v>
      </c>
      <c r="AO57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7" s="9" t="s">
        <v>97</v>
      </c>
      <c r="AQ57" s="9" t="str">
        <f>IFERROR(_xlfn.XLOOKUP(Tableau47[[#This Row],[COMMENTAIRE]],'[1]Tickets (2)'!$J$6:$J$805,'[1]Tickets (2)'!$C$6:$C$805),"")</f>
        <v/>
      </c>
      <c r="AR57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7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7" s="9" t="str">
        <f>IF(Tableau47[[#This Row],[GOUBLOP]]=1,Tableau47[[#This Row],[COMMENTAIRE]],"")</f>
        <v/>
      </c>
      <c r="AU57" s="9"/>
      <c r="AV57" s="9" t="str">
        <f>IFERROR(IF(_xlfn.XLOOKUP(Tableau47[[#This Row],[GOUBLOP2]],[1]!Tableau4849[ATTEINT],[1]!Tableau4849[ATTEINT])&lt;&gt;"",1,""),"")</f>
        <v/>
      </c>
      <c r="AW57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7" s="9" t="str">
        <f>IF(Tableau47[[#This Row],[COMMAND]]="","",IF(Tableau47[[#This Row],[INDEX]]&lt;3,"",LEFT(Tableau47[[#This Row],[COMMENTAIRE]],LEN(Tableau47[[#This Row],[COMMENTAIRE]])-2)))</f>
        <v>1 RBRB B 1.06304 M1</v>
      </c>
      <c r="AY57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7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7" s="9">
        <f>IF(Tableau47[[#This Row],[INDEX]]&lt;3,"",IF(Tableau47[[#This Row],[COMMAND]]="","",IFERROR(Tableau47[[#This Row],[DIS_BUY]]*$AX$30,"")))</f>
        <v>0</v>
      </c>
      <c r="BB57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7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7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7" s="9">
        <f>IF(AND(Tableau47[[#This Row],[GO]]="GO",ISNUMBER(SEARCH("BUY",Tableau47[[#This Row],[COMMAND]]))),1,"")</f>
        <v>1</v>
      </c>
      <c r="BH57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7" s="9" t="str">
        <f>IF(OR(Tableau47[[#This Row],[GLOBAL BUY]]=1),Tableau47[[#This Row],[COMMENTAIRE]],"")</f>
        <v>1 RBRB B 1.06304 M1M1</v>
      </c>
      <c r="BJ57" s="9" t="str">
        <f>IF(OR(Tableau47[[#This Row],[GLOBAL SELL]]=1),Tableau47[[#This Row],[COMMENTAIRE]],"")</f>
        <v/>
      </c>
      <c r="BK57" s="9">
        <f>IF(Tableau47[[#This Row],[INDEX]]&lt;3,"",IF(Tableau47[[#This Row],[COMMAND]]="","",SUMIFS(Tableau47[COMMENTAIRE],Tableau47[COMMENTAIRE],Tableau47[[#This Row],[COMMENTAIRE]])))</f>
        <v>0</v>
      </c>
      <c r="BL57" s="9" t="str">
        <f>IF(IFERROR(_xlfn.XLOOKUP(Tableau47[[#This Row],[COMMENTAIRE]],'[1]Tickets (2)'!$J$6:$J$805,'[1]Tickets (2)'!$J$6:$J$805),"")&lt;&gt;"",1,"")</f>
        <v/>
      </c>
      <c r="BM57" s="9">
        <f>IF(Tableau47[[#This Row],[INDEX]]&lt;3,"",IF(Tableau47[[#This Row],[COMMAND]]="","",IF('[1]Bar history'!$AA$33=1,1,"")))</f>
        <v>1</v>
      </c>
      <c r="BN57" s="9">
        <f>IFERROR(IFERROR(_xlfn.XLOOKUP(Tableau47[[#This Row],[COMMENTAIRE]],[1]!Tableau4849[IDENTITE],[1]!Tableau4849[0,5]),0),"")</f>
        <v>0</v>
      </c>
      <c r="BO57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7" s="9" t="str">
        <f>IF(IFERROR(_xlfn.XLOOKUP(Tableau47[[#This Row],[COMMENTAIRE]],'[1]Tickets (2)'!$J$6:$J$805,'[1]Tickets (2)'!$U$6:$U$805)," ")="","OK","")</f>
        <v/>
      </c>
      <c r="BQ57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7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7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7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7" s="9" t="str">
        <f>IF(IFERROR(_xlfn.XLOOKUP(Tableau47[[#This Row],[COMMENTAIRE]],'[1]Tickets (2)'!$J$6:$J$805,'[1]Tickets (2)'!$U$6:$U$805)," ")="","OK","")</f>
        <v/>
      </c>
      <c r="BV57" s="9" t="str">
        <f>IF(IFERROR(_xlfn.XLOOKUP(Tableau47[[#This Row],[COMMENTAIRE]],'[1]Tickets (2)'!$J$6:$J$805,'[1]Tickets (2)'!$V$6:$V$805)," ")="","OK","")</f>
        <v/>
      </c>
      <c r="BW57" s="9" t="e">
        <f>IF(Tableau47[[#This Row],[INDEX]]&lt;3,"",IF(Tableau47[[#This Row],[COMMAND]]="","",([1]FSI_TB!$F$12/10)*(Tableau47[[#This Row],[LOT]]/$BW$30)))</f>
        <v>#DIV/0!</v>
      </c>
      <c r="BX57" s="9" t="e">
        <f>IF(Tableau47[[#This Row],[INDEX]]&lt;3,"",IF(Tableau47[[#This Row],[COMMAND]]="","",-([1]FSI_TB!$D$12/10)*(Tableau47[[#This Row],[LOT]]/$BW$30)))</f>
        <v>#DIV/0!</v>
      </c>
      <c r="BY57" s="9" t="s">
        <v>97</v>
      </c>
      <c r="BZ57" s="9" t="str">
        <f>IF(AND(Tableau47[[#This Row],[CLOTURE]]="REPOSITIONNER"),"OK",IF(AND(Tableau47[[#This Row],[CLOTURE]]="GAGNANT"),"KO",IF(Tableau47[[#This Row],[NON]]="NON","NON","")))</f>
        <v>NON</v>
      </c>
      <c r="CA57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57" s="9" t="str">
        <f>IFERROR(_xlfn.XLOOKUP(Tableau47[[#This Row],[COMMENTAIRE]],'[1]Tickets (2)'!$J$6:$J$805,'[1]Tickets (2)'!$F$6:$F$805),"")</f>
        <v/>
      </c>
      <c r="CC57" s="9">
        <f>IF(Tableau47[[#This Row],[INDEX]]&lt;3,"",IF(Tableau47[[#This Row],[COMMAND]]="","",Tableau47[[#This Row],[LOT]]))</f>
        <v>3000</v>
      </c>
      <c r="CD57" s="9">
        <f>IF(Tableau47[[#This Row],[INDEX]]&lt;3,"",IF(Tableau47[[#This Row],[COMMAND]]="","",IFERROR(_xlfn.XLOOKUP(Tableau47[[#This Row],[COMMENTAIRE]],[1]!Tableau4849[IDENTITE],[1]!Tableau4849[0,5]),0)))</f>
        <v>0</v>
      </c>
      <c r="CE5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7" s="9" t="str" cm="1">
        <f t="array" ref="CG57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7" s="9"/>
      <c r="CI57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7" s="9"/>
      <c r="CK57" s="21"/>
      <c r="CL57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7" s="9"/>
      <c r="CN57" s="9" t="str">
        <f>IF(Tableau47[[#This Row],[INDEX]]&lt;3,"",IF(Tableau47[[#This Row],[COMMAND]]="","",IF(AND(Tableau47[[#This Row],[EN ATTENTES]]="NON",Tableau47[[#This Row],[EN COURS]]&lt;&gt;""),"OK","STOP")))</f>
        <v>STOP</v>
      </c>
      <c r="CO57" s="19">
        <f>Tableau47[[#This Row],[Cst TIME]]</f>
        <v>44923.413038657411</v>
      </c>
      <c r="CP57" s="9">
        <f>[1]analos!$Q$237</f>
        <v>926507</v>
      </c>
      <c r="CQ57" s="9" t="str">
        <f>[1]FSI_TB!$F$3</f>
        <v>EURUSD</v>
      </c>
      <c r="CR57" s="9" t="str">
        <f>Tableau47[[#This Row],[GO1]]</f>
        <v>BUY</v>
      </c>
      <c r="CS57" s="9" t="str">
        <f>Tableau47[[#This Row],[PRICE]]</f>
        <v>1.06469</v>
      </c>
      <c r="CT57" s="9">
        <f>Tableau47[[#This Row],[LOT]]</f>
        <v>3000</v>
      </c>
      <c r="CU57" s="9" t="str">
        <f>Tableau47[[#This Row],[COMMENTAIRE]]</f>
        <v>1 RBRB B 1.06304 M1M1</v>
      </c>
      <c r="CV57" s="9"/>
      <c r="CW57" s="9">
        <v>1</v>
      </c>
      <c r="CX57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7" s="9">
        <f t="shared" ca="1" si="0"/>
        <v>44929.316958449075</v>
      </c>
    </row>
    <row r="58" spans="3:103" ht="15.75" x14ac:dyDescent="0.25">
      <c r="C58" s="8"/>
      <c r="D58" s="9"/>
      <c r="L58" s="9">
        <v>26</v>
      </c>
      <c r="M58" s="9" t="s">
        <v>123</v>
      </c>
      <c r="N58" s="9" t="s">
        <v>25</v>
      </c>
      <c r="O58" s="8" t="s">
        <v>4</v>
      </c>
      <c r="P58" s="9" t="s">
        <v>0</v>
      </c>
      <c r="Q58" s="9">
        <v>3000</v>
      </c>
      <c r="R5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8" s="9" t="str">
        <f>IF(AND(ISNUMBER(SEARCH("BUY",Tableau47[[#This Row],[COMMAND]]))),"BUY",IF(AND(ISNUMBER(SEARCH("SELL",Tableau47[[#This Row],[COMMAND]]))),"SELL",""))</f>
        <v>BUY</v>
      </c>
      <c r="T58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8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8" s="9">
        <v>925832</v>
      </c>
      <c r="W58" s="22">
        <v>44923.412263541664</v>
      </c>
      <c r="X58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8" s="9">
        <f>IFERROR(VALUE(SUBSTITUTE(Tableau47[[#This Row],[PRICE]],".",",")),"")</f>
        <v>1.0648299999999999</v>
      </c>
      <c r="Z58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8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8" s="9" t="str">
        <f>IF(IFERROR(_xlfn.XLOOKUP(Tableau47[[#This Row],[COMMENTAIRE]],'[1]Tickets (2)'!$J$6:$J$805,'[1]Tickets (2)'!$J$6:$J$805),"")&lt;&gt;"",1,"")</f>
        <v/>
      </c>
      <c r="AC58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8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8" s="9" t="str">
        <f>IFERROR(_xlfn.XLOOKUP(Tableau47[[#This Row],[INDEX]],Tableau47[COMPTE],Tableau47[COMPTE]),"")</f>
        <v/>
      </c>
      <c r="AF58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8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8" s="17">
        <f>IF(Tableau47[[#This Row],[COMMAND]]="BUYSTOP",IFERROR(ABS(Tableau47[[#This Row],[GO7]]-'[1]Deal ticket'!$B$15),""),"")</f>
        <v>6.0999999999999943E-4</v>
      </c>
      <c r="AI58" s="9" t="str">
        <f>IF(Tableau47[[#This Row],[COMMAND]]="SELLSTOP",IFERROR(ABS(Tableau47[[#This Row],[GO7]]-'[1]Deal ticket'!$B$16),""),"")</f>
        <v/>
      </c>
      <c r="AJ58" s="9" t="str">
        <f>IF(IFERROR(_xlfn.XLOOKUP(Tableau47[[#This Row],[COMMENTAIRE]],'[1]Tickets (2)'!$J$6:$J$805,'[1]Tickets (2)'!$J$6:$J$805),"")&lt;&gt;"",1,"")</f>
        <v/>
      </c>
      <c r="AK58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8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8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8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1.0648299999999999</v>
      </c>
      <c r="AO58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8" s="9" t="s">
        <v>97</v>
      </c>
      <c r="AQ58" s="9" t="str">
        <f>IFERROR(_xlfn.XLOOKUP(Tableau47[[#This Row],[COMMENTAIRE]],'[1]Tickets (2)'!$J$6:$J$805,'[1]Tickets (2)'!$C$6:$C$805),"")</f>
        <v/>
      </c>
      <c r="AR58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8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8" s="9" t="str">
        <f>IF(Tableau47[[#This Row],[GOUBLOP]]=1,Tableau47[[#This Row],[COMMENTAIRE]],"")</f>
        <v/>
      </c>
      <c r="AU58" s="9"/>
      <c r="AV58" s="9" t="str">
        <f>IFERROR(IF(_xlfn.XLOOKUP(Tableau47[[#This Row],[GOUBLOP2]],[1]!Tableau4849[ATTEINT],[1]!Tableau4849[ATTEINT])&lt;&gt;"",1,""),"")</f>
        <v/>
      </c>
      <c r="AW58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8" s="9" t="str">
        <f>IF(Tableau47[[#This Row],[COMMAND]]="","",IF(Tableau47[[#This Row],[INDEX]]&lt;3,"",LEFT(Tableau47[[#This Row],[COMMENTAIRE]],LEN(Tableau47[[#This Row],[COMMENTAIRE]])-2)))</f>
        <v>1 RBRB B 1.0633 M1</v>
      </c>
      <c r="AY58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8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8" s="9">
        <f>IF(Tableau47[[#This Row],[INDEX]]&lt;3,"",IF(Tableau47[[#This Row],[COMMAND]]="","",IFERROR(Tableau47[[#This Row],[DIS_BUY]]*$AX$30,"")))</f>
        <v>0</v>
      </c>
      <c r="BB58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8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8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8" s="9">
        <f>IF(AND(Tableau47[[#This Row],[GO]]="GO",ISNUMBER(SEARCH("BUY",Tableau47[[#This Row],[COMMAND]]))),1,"")</f>
        <v>1</v>
      </c>
      <c r="BH58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8" s="9" t="str">
        <f>IF(OR(Tableau47[[#This Row],[GLOBAL BUY]]=1),Tableau47[[#This Row],[COMMENTAIRE]],"")</f>
        <v>1 RBRB B 1.0633 M1M1</v>
      </c>
      <c r="BJ58" s="9" t="str">
        <f>IF(OR(Tableau47[[#This Row],[GLOBAL SELL]]=1),Tableau47[[#This Row],[COMMENTAIRE]],"")</f>
        <v/>
      </c>
      <c r="BK58" s="9">
        <f>IF(Tableau47[[#This Row],[INDEX]]&lt;3,"",IF(Tableau47[[#This Row],[COMMAND]]="","",SUMIFS(Tableau47[COMMENTAIRE],Tableau47[COMMENTAIRE],Tableau47[[#This Row],[COMMENTAIRE]])))</f>
        <v>0</v>
      </c>
      <c r="BL58" s="9" t="str">
        <f>IF(IFERROR(_xlfn.XLOOKUP(Tableau47[[#This Row],[COMMENTAIRE]],'[1]Tickets (2)'!$J$6:$J$805,'[1]Tickets (2)'!$J$6:$J$805),"")&lt;&gt;"",1,"")</f>
        <v/>
      </c>
      <c r="BM58" s="9">
        <f>IF(Tableau47[[#This Row],[INDEX]]&lt;3,"",IF(Tableau47[[#This Row],[COMMAND]]="","",IF('[1]Bar history'!$AA$33=1,1,"")))</f>
        <v>1</v>
      </c>
      <c r="BN58" s="9">
        <f>IFERROR(IFERROR(_xlfn.XLOOKUP(Tableau47[[#This Row],[COMMENTAIRE]],[1]!Tableau4849[IDENTITE],[1]!Tableau4849[0,5]),0),"")</f>
        <v>0</v>
      </c>
      <c r="BO58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8" s="9" t="str">
        <f>IF(IFERROR(_xlfn.XLOOKUP(Tableau47[[#This Row],[COMMENTAIRE]],'[1]Tickets (2)'!$J$6:$J$805,'[1]Tickets (2)'!$U$6:$U$805)," ")="","OK","")</f>
        <v/>
      </c>
      <c r="BQ58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8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8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8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8" s="9" t="str">
        <f>IF(IFERROR(_xlfn.XLOOKUP(Tableau47[[#This Row],[COMMENTAIRE]],'[1]Tickets (2)'!$J$6:$J$805,'[1]Tickets (2)'!$U$6:$U$805)," ")="","OK","")</f>
        <v/>
      </c>
      <c r="BV58" s="9" t="str">
        <f>IF(IFERROR(_xlfn.XLOOKUP(Tableau47[[#This Row],[COMMENTAIRE]],'[1]Tickets (2)'!$J$6:$J$805,'[1]Tickets (2)'!$V$6:$V$805)," ")="","OK","")</f>
        <v/>
      </c>
      <c r="BW58" s="9" t="e">
        <f>IF(Tableau47[[#This Row],[INDEX]]&lt;3,"",IF(Tableau47[[#This Row],[COMMAND]]="","",([1]FSI_TB!$F$12/10)*(Tableau47[[#This Row],[LOT]]/$BW$30)))</f>
        <v>#DIV/0!</v>
      </c>
      <c r="BX58" s="9" t="e">
        <f>IF(Tableau47[[#This Row],[INDEX]]&lt;3,"",IF(Tableau47[[#This Row],[COMMAND]]="","",-([1]FSI_TB!$D$12/10)*(Tableau47[[#This Row],[LOT]]/$BW$30)))</f>
        <v>#DIV/0!</v>
      </c>
      <c r="BY58" s="9" t="s">
        <v>97</v>
      </c>
      <c r="BZ58" s="9" t="str">
        <f>IF(AND(Tableau47[[#This Row],[CLOTURE]]="REPOSITIONNER"),"OK",IF(AND(Tableau47[[#This Row],[CLOTURE]]="GAGNANT"),"KO",IF(Tableau47[[#This Row],[NON]]="NON","NON","")))</f>
        <v>NON</v>
      </c>
      <c r="CA58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58" s="9" t="str">
        <f>IFERROR(_xlfn.XLOOKUP(Tableau47[[#This Row],[COMMENTAIRE]],'[1]Tickets (2)'!$J$6:$J$805,'[1]Tickets (2)'!$F$6:$F$805),"")</f>
        <v/>
      </c>
      <c r="CC58" s="9">
        <f>IF(Tableau47[[#This Row],[INDEX]]&lt;3,"",IF(Tableau47[[#This Row],[COMMAND]]="","",Tableau47[[#This Row],[LOT]]))</f>
        <v>3000</v>
      </c>
      <c r="CD58" s="9">
        <f>IF(Tableau47[[#This Row],[INDEX]]&lt;3,"",IF(Tableau47[[#This Row],[COMMAND]]="","",IFERROR(_xlfn.XLOOKUP(Tableau47[[#This Row],[COMMENTAIRE]],[1]!Tableau4849[IDENTITE],[1]!Tableau4849[0,5]),0)))</f>
        <v>0</v>
      </c>
      <c r="CE5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8" s="9" t="str" cm="1">
        <f t="array" ref="CG58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8" s="9"/>
      <c r="CI58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8" s="9"/>
      <c r="CK58" s="21"/>
      <c r="CL58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8" s="9"/>
      <c r="CN58" s="9" t="str">
        <f>IF(Tableau47[[#This Row],[INDEX]]&lt;3,"",IF(Tableau47[[#This Row],[COMMAND]]="","",IF(AND(Tableau47[[#This Row],[EN ATTENTES]]="NON",Tableau47[[#This Row],[EN COURS]]&lt;&gt;""),"OK","STOP")))</f>
        <v>STOP</v>
      </c>
      <c r="CO58" s="19">
        <f>Tableau47[[#This Row],[Cst TIME]]</f>
        <v>44923.412263541664</v>
      </c>
      <c r="CP58" s="9">
        <f>[1]analos!$Q$237</f>
        <v>926507</v>
      </c>
      <c r="CQ58" s="9" t="str">
        <f>[1]FSI_TB!$F$3</f>
        <v>EURUSD</v>
      </c>
      <c r="CR58" s="9" t="str">
        <f>Tableau47[[#This Row],[GO1]]</f>
        <v>BUY</v>
      </c>
      <c r="CS58" s="9" t="str">
        <f>Tableau47[[#This Row],[PRICE]]</f>
        <v>1.06483</v>
      </c>
      <c r="CT58" s="9">
        <f>Tableau47[[#This Row],[LOT]]</f>
        <v>3000</v>
      </c>
      <c r="CU58" s="9" t="str">
        <f>Tableau47[[#This Row],[COMMENTAIRE]]</f>
        <v>1 RBRB B 1.0633 M1M1</v>
      </c>
      <c r="CV58" s="9"/>
      <c r="CW58" s="9">
        <v>1</v>
      </c>
      <c r="CX58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8" s="9">
        <f t="shared" ca="1" si="0"/>
        <v>44929.316958449075</v>
      </c>
    </row>
    <row r="59" spans="3:103" ht="15.75" x14ac:dyDescent="0.25">
      <c r="C59" s="8"/>
      <c r="D59" s="9"/>
      <c r="L59" s="9">
        <v>27</v>
      </c>
      <c r="M59" s="9" t="s">
        <v>123</v>
      </c>
      <c r="N59" s="9" t="s">
        <v>161</v>
      </c>
      <c r="O59" s="8" t="s">
        <v>163</v>
      </c>
      <c r="P59" s="9" t="s">
        <v>0</v>
      </c>
      <c r="Q59" s="9">
        <v>3000</v>
      </c>
      <c r="R5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59" s="9" t="str">
        <f>IF(AND(ISNUMBER(SEARCH("BUY",Tableau47[[#This Row],[COMMAND]]))),"BUY",IF(AND(ISNUMBER(SEARCH("SELL",Tableau47[[#This Row],[COMMAND]]))),"SELL",""))</f>
        <v>BUY</v>
      </c>
      <c r="T59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59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59" s="9">
        <v>925832</v>
      </c>
      <c r="W59" s="22">
        <v>44923.411712847221</v>
      </c>
      <c r="X59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59" s="9">
        <f>IFERROR(VALUE(SUBSTITUTE(Tableau47[[#This Row],[PRICE]],".",",")),"")</f>
        <v>1.0646899999999999</v>
      </c>
      <c r="Z59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59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59" s="9" t="str">
        <f>IF(IFERROR(_xlfn.XLOOKUP(Tableau47[[#This Row],[COMMENTAIRE]],'[1]Tickets (2)'!$J$6:$J$805,'[1]Tickets (2)'!$J$6:$J$805),"")&lt;&gt;"",1,"")</f>
        <v/>
      </c>
      <c r="AC59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59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59" s="9" t="str">
        <f>IFERROR(_xlfn.XLOOKUP(Tableau47[[#This Row],[INDEX]],Tableau47[COMPTE],Tableau47[COMPTE]),"")</f>
        <v/>
      </c>
      <c r="AF59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59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59" s="17">
        <f>IF(Tableau47[[#This Row],[COMMAND]]="BUYSTOP",IFERROR(ABS(Tableau47[[#This Row],[GO7]]-'[1]Deal ticket'!$B$15),""),"")</f>
        <v>7.5000000000002842E-4</v>
      </c>
      <c r="AI59" s="9" t="str">
        <f>IF(Tableau47[[#This Row],[COMMAND]]="SELLSTOP",IFERROR(ABS(Tableau47[[#This Row],[GO7]]-'[1]Deal ticket'!$B$16),""),"")</f>
        <v/>
      </c>
      <c r="AJ59" s="9" t="str">
        <f>IF(IFERROR(_xlfn.XLOOKUP(Tableau47[[#This Row],[COMMENTAIRE]],'[1]Tickets (2)'!$J$6:$J$805,'[1]Tickets (2)'!$J$6:$J$805),"")&lt;&gt;"",1,"")</f>
        <v/>
      </c>
      <c r="AK59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59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59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59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1.0646899999999999</v>
      </c>
      <c r="AO59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59" s="9" t="s">
        <v>97</v>
      </c>
      <c r="AQ59" s="9" t="str">
        <f>IFERROR(_xlfn.XLOOKUP(Tableau47[[#This Row],[COMMENTAIRE]],'[1]Tickets (2)'!$J$6:$J$805,'[1]Tickets (2)'!$C$6:$C$805),"")</f>
        <v/>
      </c>
      <c r="AR59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59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59" s="9" t="str">
        <f>IF(Tableau47[[#This Row],[GOUBLOP]]=1,Tableau47[[#This Row],[COMMENTAIRE]],"")</f>
        <v/>
      </c>
      <c r="AU59" s="9"/>
      <c r="AV59" s="9" t="str">
        <f>IFERROR(IF(_xlfn.XLOOKUP(Tableau47[[#This Row],[GOUBLOP2]],[1]!Tableau4849[ATTEINT],[1]!Tableau4849[ATTEINT])&lt;&gt;"",1,""),"")</f>
        <v/>
      </c>
      <c r="AW59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59" s="9" t="str">
        <f>IF(Tableau47[[#This Row],[COMMAND]]="","",IF(Tableau47[[#This Row],[INDEX]]&lt;3,"",LEFT(Tableau47[[#This Row],[COMMENTAIRE]],LEN(Tableau47[[#This Row],[COMMENTAIRE]])-2)))</f>
        <v>1 RBRB B 1.0632 M1</v>
      </c>
      <c r="AY59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59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59" s="9">
        <f>IF(Tableau47[[#This Row],[INDEX]]&lt;3,"",IF(Tableau47[[#This Row],[COMMAND]]="","",IFERROR(Tableau47[[#This Row],[DIS_BUY]]*$AX$30,"")))</f>
        <v>0</v>
      </c>
      <c r="BB59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59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5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59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5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59" s="9">
        <f>IF(AND(Tableau47[[#This Row],[GO]]="GO",ISNUMBER(SEARCH("BUY",Tableau47[[#This Row],[COMMAND]]))),1,"")</f>
        <v>1</v>
      </c>
      <c r="BH59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59" s="9" t="str">
        <f>IF(OR(Tableau47[[#This Row],[GLOBAL BUY]]=1),Tableau47[[#This Row],[COMMENTAIRE]],"")</f>
        <v>1 RBRB B 1.0632 M1M1</v>
      </c>
      <c r="BJ59" s="9" t="str">
        <f>IF(OR(Tableau47[[#This Row],[GLOBAL SELL]]=1),Tableau47[[#This Row],[COMMENTAIRE]],"")</f>
        <v/>
      </c>
      <c r="BK59" s="9">
        <f>IF(Tableau47[[#This Row],[INDEX]]&lt;3,"",IF(Tableau47[[#This Row],[COMMAND]]="","",SUMIFS(Tableau47[COMMENTAIRE],Tableau47[COMMENTAIRE],Tableau47[[#This Row],[COMMENTAIRE]])))</f>
        <v>0</v>
      </c>
      <c r="BL59" s="9" t="str">
        <f>IF(IFERROR(_xlfn.XLOOKUP(Tableau47[[#This Row],[COMMENTAIRE]],'[1]Tickets (2)'!$J$6:$J$805,'[1]Tickets (2)'!$J$6:$J$805),"")&lt;&gt;"",1,"")</f>
        <v/>
      </c>
      <c r="BM59" s="9">
        <f>IF(Tableau47[[#This Row],[INDEX]]&lt;3,"",IF(Tableau47[[#This Row],[COMMAND]]="","",IF('[1]Bar history'!$AA$33=1,1,"")))</f>
        <v>1</v>
      </c>
      <c r="BN59" s="9">
        <f>IFERROR(IFERROR(_xlfn.XLOOKUP(Tableau47[[#This Row],[COMMENTAIRE]],[1]!Tableau4849[IDENTITE],[1]!Tableau4849[0,5]),0),"")</f>
        <v>0</v>
      </c>
      <c r="BO59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59" s="9" t="str">
        <f>IF(IFERROR(_xlfn.XLOOKUP(Tableau47[[#This Row],[COMMENTAIRE]],'[1]Tickets (2)'!$J$6:$J$805,'[1]Tickets (2)'!$U$6:$U$805)," ")="","OK","")</f>
        <v/>
      </c>
      <c r="BQ59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59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59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59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59" s="9" t="str">
        <f>IF(IFERROR(_xlfn.XLOOKUP(Tableau47[[#This Row],[COMMENTAIRE]],'[1]Tickets (2)'!$J$6:$J$805,'[1]Tickets (2)'!$U$6:$U$805)," ")="","OK","")</f>
        <v/>
      </c>
      <c r="BV59" s="9" t="str">
        <f>IF(IFERROR(_xlfn.XLOOKUP(Tableau47[[#This Row],[COMMENTAIRE]],'[1]Tickets (2)'!$J$6:$J$805,'[1]Tickets (2)'!$V$6:$V$805)," ")="","OK","")</f>
        <v/>
      </c>
      <c r="BW59" s="9" t="e">
        <f>IF(Tableau47[[#This Row],[INDEX]]&lt;3,"",IF(Tableau47[[#This Row],[COMMAND]]="","",([1]FSI_TB!$F$12/10)*(Tableau47[[#This Row],[LOT]]/$BW$30)))</f>
        <v>#DIV/0!</v>
      </c>
      <c r="BX59" s="9" t="e">
        <f>IF(Tableau47[[#This Row],[INDEX]]&lt;3,"",IF(Tableau47[[#This Row],[COMMAND]]="","",-([1]FSI_TB!$D$12/10)*(Tableau47[[#This Row],[LOT]]/$BW$30)))</f>
        <v>#DIV/0!</v>
      </c>
      <c r="BY59" s="9" t="s">
        <v>97</v>
      </c>
      <c r="BZ59" s="9" t="str">
        <f>IF(AND(Tableau47[[#This Row],[CLOTURE]]="REPOSITIONNER"),"OK",IF(AND(Tableau47[[#This Row],[CLOTURE]]="GAGNANT"),"KO",IF(Tableau47[[#This Row],[NON]]="NON","NON","")))</f>
        <v>NON</v>
      </c>
      <c r="CA59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59" s="9" t="str">
        <f>IFERROR(_xlfn.XLOOKUP(Tableau47[[#This Row],[COMMENTAIRE]],'[1]Tickets (2)'!$J$6:$J$805,'[1]Tickets (2)'!$F$6:$F$805),"")</f>
        <v/>
      </c>
      <c r="CC59" s="9">
        <f>IF(Tableau47[[#This Row],[INDEX]]&lt;3,"",IF(Tableau47[[#This Row],[COMMAND]]="","",Tableau47[[#This Row],[LOT]]))</f>
        <v>3000</v>
      </c>
      <c r="CD59" s="9">
        <f>IF(Tableau47[[#This Row],[INDEX]]&lt;3,"",IF(Tableau47[[#This Row],[COMMAND]]="","",IFERROR(_xlfn.XLOOKUP(Tableau47[[#This Row],[COMMENTAIRE]],[1]!Tableau4849[IDENTITE],[1]!Tableau4849[0,5]),0)))</f>
        <v>0</v>
      </c>
      <c r="CE5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5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59" s="9" t="str" cm="1">
        <f t="array" ref="CG59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59" s="9"/>
      <c r="CI59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59" s="9"/>
      <c r="CK59" s="21"/>
      <c r="CL59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59" s="9"/>
      <c r="CN59" s="9" t="str">
        <f>IF(Tableau47[[#This Row],[INDEX]]&lt;3,"",IF(Tableau47[[#This Row],[COMMAND]]="","",IF(AND(Tableau47[[#This Row],[EN ATTENTES]]="NON",Tableau47[[#This Row],[EN COURS]]&lt;&gt;""),"OK","STOP")))</f>
        <v>STOP</v>
      </c>
      <c r="CO59" s="19">
        <f>Tableau47[[#This Row],[Cst TIME]]</f>
        <v>44923.411712847221</v>
      </c>
      <c r="CP59" s="9">
        <f>[1]analos!$Q$237</f>
        <v>926507</v>
      </c>
      <c r="CQ59" s="9" t="str">
        <f>[1]FSI_TB!$F$3</f>
        <v>EURUSD</v>
      </c>
      <c r="CR59" s="9" t="str">
        <f>Tableau47[[#This Row],[GO1]]</f>
        <v>BUY</v>
      </c>
      <c r="CS59" s="9" t="str">
        <f>Tableau47[[#This Row],[PRICE]]</f>
        <v>1.06469</v>
      </c>
      <c r="CT59" s="9">
        <f>Tableau47[[#This Row],[LOT]]</f>
        <v>3000</v>
      </c>
      <c r="CU59" s="9" t="str">
        <f>Tableau47[[#This Row],[COMMENTAIRE]]</f>
        <v>1 RBRB B 1.0632 M1M1</v>
      </c>
      <c r="CV59" s="9"/>
      <c r="CW59" s="9">
        <v>1</v>
      </c>
      <c r="CX59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59" s="9">
        <f t="shared" ca="1" si="0"/>
        <v>44929.316958449075</v>
      </c>
    </row>
    <row r="60" spans="3:103" ht="15.75" x14ac:dyDescent="0.25">
      <c r="C60" s="8"/>
      <c r="D60" s="9"/>
      <c r="L60" s="9">
        <v>28</v>
      </c>
      <c r="M60" s="9" t="s">
        <v>123</v>
      </c>
      <c r="N60" s="9" t="s">
        <v>164</v>
      </c>
      <c r="O60" s="8" t="s">
        <v>165</v>
      </c>
      <c r="P60" s="9" t="s">
        <v>0</v>
      </c>
      <c r="Q60" s="9">
        <v>3000</v>
      </c>
      <c r="R6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60" s="9" t="str">
        <f>IF(AND(ISNUMBER(SEARCH("BUY",Tableau47[[#This Row],[COMMAND]]))),"BUY",IF(AND(ISNUMBER(SEARCH("SELL",Tableau47[[#This Row],[COMMAND]]))),"SELL",""))</f>
        <v>BUY</v>
      </c>
      <c r="T60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60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60" s="9">
        <v>925832</v>
      </c>
      <c r="W60" s="22">
        <v>44923.410179629631</v>
      </c>
      <c r="X60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60" s="9">
        <f>IFERROR(VALUE(SUBSTITUTE(Tableau47[[#This Row],[PRICE]],".",",")),"")</f>
        <v>1.0645800000000001</v>
      </c>
      <c r="Z60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60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0" s="9" t="str">
        <f>IF(IFERROR(_xlfn.XLOOKUP(Tableau47[[#This Row],[COMMENTAIRE]],'[1]Tickets (2)'!$J$6:$J$805,'[1]Tickets (2)'!$J$6:$J$805),"")&lt;&gt;"",1,"")</f>
        <v/>
      </c>
      <c r="AC60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0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0" s="9" t="str">
        <f>IFERROR(_xlfn.XLOOKUP(Tableau47[[#This Row],[INDEX]],Tableau47[COMPTE],Tableau47[COMPTE]),"")</f>
        <v/>
      </c>
      <c r="AF60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0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0" s="17">
        <f>IF(Tableau47[[#This Row],[COMMAND]]="BUYSTOP",IFERROR(ABS(Tableau47[[#This Row],[GO7]]-'[1]Deal ticket'!$B$15),""),"")</f>
        <v>8.5999999999986088E-4</v>
      </c>
      <c r="AI60" s="9" t="str">
        <f>IF(Tableau47[[#This Row],[COMMAND]]="SELLSTOP",IFERROR(ABS(Tableau47[[#This Row],[GO7]]-'[1]Deal ticket'!$B$16),""),"")</f>
        <v/>
      </c>
      <c r="AJ60" s="9" t="str">
        <f>IF(IFERROR(_xlfn.XLOOKUP(Tableau47[[#This Row],[COMMENTAIRE]],'[1]Tickets (2)'!$J$6:$J$805,'[1]Tickets (2)'!$J$6:$J$805),"")&lt;&gt;"",1,"")</f>
        <v/>
      </c>
      <c r="AK60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0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0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0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1.0645800000000001</v>
      </c>
      <c r="AO60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0" s="9" t="s">
        <v>97</v>
      </c>
      <c r="AQ60" s="9" t="str">
        <f>IFERROR(_xlfn.XLOOKUP(Tableau47[[#This Row],[COMMENTAIRE]],'[1]Tickets (2)'!$J$6:$J$805,'[1]Tickets (2)'!$C$6:$C$805),"")</f>
        <v/>
      </c>
      <c r="AR60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60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0" s="9" t="str">
        <f>IF(Tableau47[[#This Row],[GOUBLOP]]=1,Tableau47[[#This Row],[COMMENTAIRE]],"")</f>
        <v/>
      </c>
      <c r="AU60" s="9"/>
      <c r="AV60" s="9" t="str">
        <f>IFERROR(IF(_xlfn.XLOOKUP(Tableau47[[#This Row],[GOUBLOP2]],[1]!Tableau4849[ATTEINT],[1]!Tableau4849[ATTEINT])&lt;&gt;"",1,""),"")</f>
        <v/>
      </c>
      <c r="AW60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0" s="9" t="str">
        <f>IF(Tableau47[[#This Row],[COMMAND]]="","",IF(Tableau47[[#This Row],[INDEX]]&lt;3,"",LEFT(Tableau47[[#This Row],[COMMENTAIRE]],LEN(Tableau47[[#This Row],[COMMENTAIRE]])-2)))</f>
        <v>1 RBRB B 1.06306 M1</v>
      </c>
      <c r="AY60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0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0" s="9">
        <f>IF(Tableau47[[#This Row],[INDEX]]&lt;3,"",IF(Tableau47[[#This Row],[COMMAND]]="","",IFERROR(Tableau47[[#This Row],[DIS_BUY]]*$AX$30,"")))</f>
        <v>0</v>
      </c>
      <c r="BB60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0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6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0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0" s="9">
        <f>IF(AND(Tableau47[[#This Row],[GO]]="GO",ISNUMBER(SEARCH("BUY",Tableau47[[#This Row],[COMMAND]]))),1,"")</f>
        <v>1</v>
      </c>
      <c r="BH60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0" s="9" t="str">
        <f>IF(OR(Tableau47[[#This Row],[GLOBAL BUY]]=1),Tableau47[[#This Row],[COMMENTAIRE]],"")</f>
        <v>1 RBRB B 1.06306 M1M1</v>
      </c>
      <c r="BJ60" s="9" t="str">
        <f>IF(OR(Tableau47[[#This Row],[GLOBAL SELL]]=1),Tableau47[[#This Row],[COMMENTAIRE]],"")</f>
        <v/>
      </c>
      <c r="BK60" s="9">
        <f>IF(Tableau47[[#This Row],[INDEX]]&lt;3,"",IF(Tableau47[[#This Row],[COMMAND]]="","",SUMIFS(Tableau47[COMMENTAIRE],Tableau47[COMMENTAIRE],Tableau47[[#This Row],[COMMENTAIRE]])))</f>
        <v>0</v>
      </c>
      <c r="BL60" s="9" t="str">
        <f>IF(IFERROR(_xlfn.XLOOKUP(Tableau47[[#This Row],[COMMENTAIRE]],'[1]Tickets (2)'!$J$6:$J$805,'[1]Tickets (2)'!$J$6:$J$805),"")&lt;&gt;"",1,"")</f>
        <v/>
      </c>
      <c r="BM60" s="9">
        <f>IF(Tableau47[[#This Row],[INDEX]]&lt;3,"",IF(Tableau47[[#This Row],[COMMAND]]="","",IF('[1]Bar history'!$AA$33=1,1,"")))</f>
        <v>1</v>
      </c>
      <c r="BN60" s="9">
        <f>IFERROR(IFERROR(_xlfn.XLOOKUP(Tableau47[[#This Row],[COMMENTAIRE]],[1]!Tableau4849[IDENTITE],[1]!Tableau4849[0,5]),0),"")</f>
        <v>0</v>
      </c>
      <c r="BO60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0" s="9" t="str">
        <f>IF(IFERROR(_xlfn.XLOOKUP(Tableau47[[#This Row],[COMMENTAIRE]],'[1]Tickets (2)'!$J$6:$J$805,'[1]Tickets (2)'!$U$6:$U$805)," ")="","OK","")</f>
        <v/>
      </c>
      <c r="BQ60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60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0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0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0" s="9" t="str">
        <f>IF(IFERROR(_xlfn.XLOOKUP(Tableau47[[#This Row],[COMMENTAIRE]],'[1]Tickets (2)'!$J$6:$J$805,'[1]Tickets (2)'!$U$6:$U$805)," ")="","OK","")</f>
        <v/>
      </c>
      <c r="BV60" s="9" t="str">
        <f>IF(IFERROR(_xlfn.XLOOKUP(Tableau47[[#This Row],[COMMENTAIRE]],'[1]Tickets (2)'!$J$6:$J$805,'[1]Tickets (2)'!$V$6:$V$805)," ")="","OK","")</f>
        <v/>
      </c>
      <c r="BW60" s="9" t="e">
        <f>IF(Tableau47[[#This Row],[INDEX]]&lt;3,"",IF(Tableau47[[#This Row],[COMMAND]]="","",([1]FSI_TB!$F$12/10)*(Tableau47[[#This Row],[LOT]]/$BW$30)))</f>
        <v>#DIV/0!</v>
      </c>
      <c r="BX60" s="9" t="e">
        <f>IF(Tableau47[[#This Row],[INDEX]]&lt;3,"",IF(Tableau47[[#This Row],[COMMAND]]="","",-([1]FSI_TB!$D$12/10)*(Tableau47[[#This Row],[LOT]]/$BW$30)))</f>
        <v>#DIV/0!</v>
      </c>
      <c r="BY60" s="9" t="s">
        <v>97</v>
      </c>
      <c r="BZ60" s="9" t="str">
        <f>IF(AND(Tableau47[[#This Row],[CLOTURE]]="REPOSITIONNER"),"OK",IF(AND(Tableau47[[#This Row],[CLOTURE]]="GAGNANT"),"KO",IF(Tableau47[[#This Row],[NON]]="NON","NON","")))</f>
        <v>NON</v>
      </c>
      <c r="CA60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60" s="9" t="str">
        <f>IFERROR(_xlfn.XLOOKUP(Tableau47[[#This Row],[COMMENTAIRE]],'[1]Tickets (2)'!$J$6:$J$805,'[1]Tickets (2)'!$F$6:$F$805),"")</f>
        <v/>
      </c>
      <c r="CC60" s="9">
        <f>IF(Tableau47[[#This Row],[INDEX]]&lt;3,"",IF(Tableau47[[#This Row],[COMMAND]]="","",Tableau47[[#This Row],[LOT]]))</f>
        <v>3000</v>
      </c>
      <c r="CD60" s="9">
        <f>IF(Tableau47[[#This Row],[INDEX]]&lt;3,"",IF(Tableau47[[#This Row],[COMMAND]]="","",IFERROR(_xlfn.XLOOKUP(Tableau47[[#This Row],[COMMENTAIRE]],[1]!Tableau4849[IDENTITE],[1]!Tableau4849[0,5]),0)))</f>
        <v>0</v>
      </c>
      <c r="CE6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0" s="9" t="str" cm="1">
        <f t="array" ref="CG60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0" s="9"/>
      <c r="CI60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0" s="9"/>
      <c r="CK60" s="21"/>
      <c r="CL60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0" s="9"/>
      <c r="CN60" s="9" t="str">
        <f>IF(Tableau47[[#This Row],[INDEX]]&lt;3,"",IF(Tableau47[[#This Row],[COMMAND]]="","",IF(AND(Tableau47[[#This Row],[EN ATTENTES]]="NON",Tableau47[[#This Row],[EN COURS]]&lt;&gt;""),"OK","STOP")))</f>
        <v>STOP</v>
      </c>
      <c r="CO60" s="19">
        <f>Tableau47[[#This Row],[Cst TIME]]</f>
        <v>44923.410179629631</v>
      </c>
      <c r="CP60" s="9">
        <f>[1]analos!$Q$237</f>
        <v>926507</v>
      </c>
      <c r="CQ60" s="9" t="str">
        <f>[1]FSI_TB!$F$3</f>
        <v>EURUSD</v>
      </c>
      <c r="CR60" s="9" t="str">
        <f>Tableau47[[#This Row],[GO1]]</f>
        <v>BUY</v>
      </c>
      <c r="CS60" s="9" t="str">
        <f>Tableau47[[#This Row],[PRICE]]</f>
        <v>1.06458</v>
      </c>
      <c r="CT60" s="9">
        <f>Tableau47[[#This Row],[LOT]]</f>
        <v>3000</v>
      </c>
      <c r="CU60" s="9" t="str">
        <f>Tableau47[[#This Row],[COMMENTAIRE]]</f>
        <v>1 RBRB B 1.06306 M1M1</v>
      </c>
      <c r="CV60" s="9"/>
      <c r="CW60" s="9">
        <v>1</v>
      </c>
      <c r="CX60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0" s="9">
        <f t="shared" ca="1" si="0"/>
        <v>44929.316958449075</v>
      </c>
    </row>
    <row r="61" spans="3:103" ht="15.75" x14ac:dyDescent="0.25">
      <c r="C61" s="8"/>
      <c r="D61" s="9"/>
      <c r="L61" s="9">
        <v>29</v>
      </c>
      <c r="M61" s="9" t="s">
        <v>132</v>
      </c>
      <c r="N61" s="9" t="s">
        <v>22</v>
      </c>
      <c r="O61" s="8" t="s">
        <v>166</v>
      </c>
      <c r="P61" s="9" t="s">
        <v>0</v>
      </c>
      <c r="Q61" s="9">
        <v>3000</v>
      </c>
      <c r="R6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61" s="9" t="str">
        <f>IF(AND(ISNUMBER(SEARCH("BUY",Tableau47[[#This Row],[COMMAND]]))),"BUY",IF(AND(ISNUMBER(SEARCH("SELL",Tableau47[[#This Row],[COMMAND]]))),"SELL",""))</f>
        <v>SELL</v>
      </c>
      <c r="T61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61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61" s="9">
        <v>925832</v>
      </c>
      <c r="W61" s="22">
        <v>44923.408439120372</v>
      </c>
      <c r="X61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61" s="9">
        <f>IFERROR(VALUE(SUBSTITUTE(Tableau47[[#This Row],[PRICE]],".",",")),"")</f>
        <v>1.0642199999999999</v>
      </c>
      <c r="Z61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61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1" s="9" t="str">
        <f>IF(IFERROR(_xlfn.XLOOKUP(Tableau47[[#This Row],[COMMENTAIRE]],'[1]Tickets (2)'!$J$6:$J$805,'[1]Tickets (2)'!$J$6:$J$805),"")&lt;&gt;"",1,"")</f>
        <v/>
      </c>
      <c r="AC61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1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1" s="9" t="str">
        <f>IFERROR(_xlfn.XLOOKUP(Tableau47[[#This Row],[INDEX]],Tableau47[COMPTE],Tableau47[COMPTE]),"")</f>
        <v/>
      </c>
      <c r="AF61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1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1" s="17" t="str">
        <f>IF(Tableau47[[#This Row],[COMMAND]]="BUYSTOP",IFERROR(ABS(Tableau47[[#This Row],[GO7]]-'[1]Deal ticket'!$B$15),""),"")</f>
        <v/>
      </c>
      <c r="AI61" s="9">
        <f>IF(Tableau47[[#This Row],[COMMAND]]="SELLSTOP",IFERROR(ABS(Tableau47[[#This Row],[GO7]]-'[1]Deal ticket'!$B$16),""),"")</f>
        <v>1.3600000000000279E-3</v>
      </c>
      <c r="AJ61" s="9" t="str">
        <f>IF(IFERROR(_xlfn.XLOOKUP(Tableau47[[#This Row],[COMMENTAIRE]],'[1]Tickets (2)'!$J$6:$J$805,'[1]Tickets (2)'!$J$6:$J$805),"")&lt;&gt;"",1,"")</f>
        <v/>
      </c>
      <c r="AK61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1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1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1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1.0642199999999999</v>
      </c>
      <c r="AO61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1" s="9"/>
      <c r="AQ61" s="9" t="str">
        <f>IFERROR(_xlfn.XLOOKUP(Tableau47[[#This Row],[COMMENTAIRE]],'[1]Tickets (2)'!$J$6:$J$805,'[1]Tickets (2)'!$C$6:$C$805),"")</f>
        <v/>
      </c>
      <c r="AR61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61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1" s="9" t="str">
        <f>IF(Tableau47[[#This Row],[GOUBLOP]]=1,Tableau47[[#This Row],[COMMENTAIRE]],"")</f>
        <v/>
      </c>
      <c r="AU61" s="9"/>
      <c r="AV61" s="9" t="str">
        <f>IFERROR(IF(_xlfn.XLOOKUP(Tableau47[[#This Row],[GOUBLOP2]],[1]!Tableau4849[ATTEINT],[1]!Tableau4849[ATTEINT])&lt;&gt;"",1,""),"")</f>
        <v/>
      </c>
      <c r="AW61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1" s="9" t="str">
        <f>IF(Tableau47[[#This Row],[COMMAND]]="","",IF(Tableau47[[#This Row],[INDEX]]&lt;3,"",LEFT(Tableau47[[#This Row],[COMMENTAIRE]],LEN(Tableau47[[#This Row],[COMMENTAIRE]])-2)))</f>
        <v>1 RSRS S 1.06426 M1</v>
      </c>
      <c r="AY61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1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1" s="9" t="str">
        <f>IF(Tableau47[[#This Row],[INDEX]]&lt;3,"",IF(Tableau47[[#This Row],[COMMAND]]="","",IFERROR(Tableau47[[#This Row],[DIS_BUY]]*$AX$30,"")))</f>
        <v/>
      </c>
      <c r="BB61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1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6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1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1" s="9" t="str">
        <f>IF(AND(Tableau47[[#This Row],[GO]]="GO",ISNUMBER(SEARCH("BUY",Tableau47[[#This Row],[COMMAND]]))),1,"")</f>
        <v/>
      </c>
      <c r="BH61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1" s="9" t="str">
        <f>IF(OR(Tableau47[[#This Row],[GLOBAL BUY]]=1),Tableau47[[#This Row],[COMMENTAIRE]],"")</f>
        <v/>
      </c>
      <c r="BJ61" s="9" t="str">
        <f>IF(OR(Tableau47[[#This Row],[GLOBAL SELL]]=1),Tableau47[[#This Row],[COMMENTAIRE]],"")</f>
        <v/>
      </c>
      <c r="BK61" s="9">
        <f>IF(Tableau47[[#This Row],[INDEX]]&lt;3,"",IF(Tableau47[[#This Row],[COMMAND]]="","",SUMIFS(Tableau47[COMMENTAIRE],Tableau47[COMMENTAIRE],Tableau47[[#This Row],[COMMENTAIRE]])))</f>
        <v>0</v>
      </c>
      <c r="BL61" s="9" t="str">
        <f>IF(IFERROR(_xlfn.XLOOKUP(Tableau47[[#This Row],[COMMENTAIRE]],'[1]Tickets (2)'!$J$6:$J$805,'[1]Tickets (2)'!$J$6:$J$805),"")&lt;&gt;"",1,"")</f>
        <v/>
      </c>
      <c r="BM61" s="9">
        <f>IF(Tableau47[[#This Row],[INDEX]]&lt;3,"",IF(Tableau47[[#This Row],[COMMAND]]="","",IF('[1]Bar history'!$AA$33=1,1,"")))</f>
        <v>1</v>
      </c>
      <c r="BN61" s="9">
        <f>IFERROR(IFERROR(_xlfn.XLOOKUP(Tableau47[[#This Row],[COMMENTAIRE]],[1]!Tableau4849[IDENTITE],[1]!Tableau4849[0,5]),0),"")</f>
        <v>0</v>
      </c>
      <c r="BO61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1" s="9" t="s">
        <v>60</v>
      </c>
      <c r="BQ61" s="9" t="s">
        <v>75</v>
      </c>
      <c r="BR61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1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1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1" s="9" t="s">
        <v>60</v>
      </c>
      <c r="BV61" s="9" t="s">
        <v>75</v>
      </c>
      <c r="BW61" s="9" t="e">
        <f>IF(Tableau47[[#This Row],[INDEX]]&lt;3,"",IF(Tableau47[[#This Row],[COMMAND]]="","",([1]FSI_TB!$F$12/10)*(Tableau47[[#This Row],[LOT]]/$BW$30)))</f>
        <v>#DIV/0!</v>
      </c>
      <c r="BX61" s="9" t="e">
        <f>IF(Tableau47[[#This Row],[INDEX]]&lt;3,"",IF(Tableau47[[#This Row],[COMMAND]]="","",-([1]FSI_TB!$D$12/10)*(Tableau47[[#This Row],[LOT]]/$BW$30)))</f>
        <v>#DIV/0!</v>
      </c>
      <c r="BY61" s="9" t="s">
        <v>97</v>
      </c>
      <c r="BZ61" s="9" t="str">
        <f>IF(AND(Tableau47[[#This Row],[CLOTURE]]="REPOSITIONNER"),"OK",IF(AND(Tableau47[[#This Row],[CLOTURE]]="GAGNANT"),"KO",IF(Tableau47[[#This Row],[NON]]="NON","NON","")))</f>
        <v>NON</v>
      </c>
      <c r="CA61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61" s="9" t="str">
        <f>IFERROR(_xlfn.XLOOKUP(Tableau47[[#This Row],[COMMENTAIRE]],'[1]Tickets (2)'!$J$6:$J$805,'[1]Tickets (2)'!$F$6:$F$805),"")</f>
        <v/>
      </c>
      <c r="CC61" s="9">
        <f>IF(Tableau47[[#This Row],[INDEX]]&lt;3,"",IF(Tableau47[[#This Row],[COMMAND]]="","",Tableau47[[#This Row],[LOT]]))</f>
        <v>3000</v>
      </c>
      <c r="CD61" s="9">
        <f>IF(Tableau47[[#This Row],[INDEX]]&lt;3,"",IF(Tableau47[[#This Row],[COMMAND]]="","",IFERROR(_xlfn.XLOOKUP(Tableau47[[#This Row],[COMMENTAIRE]],[1]!Tableau4849[IDENTITE],[1]!Tableau4849[0,5]),0)))</f>
        <v>0</v>
      </c>
      <c r="CE6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1" s="9" t="str" cm="1">
        <f t="array" ref="CG6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1" s="9"/>
      <c r="CI61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1" s="9"/>
      <c r="CK61" s="21"/>
      <c r="CL61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1" s="9"/>
      <c r="CN61" s="9" t="str">
        <f>IF(Tableau47[[#This Row],[INDEX]]&lt;3,"",IF(Tableau47[[#This Row],[COMMAND]]="","",IF(AND(Tableau47[[#This Row],[EN ATTENTES]]="NON",Tableau47[[#This Row],[EN COURS]]&lt;&gt;""),"OK","STOP")))</f>
        <v>STOP</v>
      </c>
      <c r="CO61" s="19">
        <f>Tableau47[[#This Row],[Cst TIME]]</f>
        <v>44923.408439120372</v>
      </c>
      <c r="CP61" s="9">
        <f>[1]analos!$Q$237</f>
        <v>926507</v>
      </c>
      <c r="CQ61" s="9" t="str">
        <f>[1]FSI_TB!$F$3</f>
        <v>EURUSD</v>
      </c>
      <c r="CR61" s="9" t="str">
        <f>Tableau47[[#This Row],[GO1]]</f>
        <v>SELL</v>
      </c>
      <c r="CS61" s="9" t="str">
        <f>Tableau47[[#This Row],[PRICE]]</f>
        <v>1.06422</v>
      </c>
      <c r="CT61" s="9">
        <f>Tableau47[[#This Row],[LOT]]</f>
        <v>3000</v>
      </c>
      <c r="CU61" s="9" t="str">
        <f>Tableau47[[#This Row],[COMMENTAIRE]]</f>
        <v>1 RSRS S 1.06426 M1M1</v>
      </c>
      <c r="CV61" s="9"/>
      <c r="CW61" s="9">
        <v>1</v>
      </c>
      <c r="CX61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1" s="9">
        <f t="shared" ca="1" si="0"/>
        <v>44929.316958449075</v>
      </c>
    </row>
    <row r="62" spans="3:103" ht="15.75" x14ac:dyDescent="0.25">
      <c r="C62" s="8"/>
      <c r="D62" s="9"/>
      <c r="L62" s="9">
        <v>30</v>
      </c>
      <c r="M62" s="9" t="s">
        <v>123</v>
      </c>
      <c r="N62" s="9" t="s">
        <v>15</v>
      </c>
      <c r="O62" s="8" t="s">
        <v>167</v>
      </c>
      <c r="P62" s="9" t="s">
        <v>0</v>
      </c>
      <c r="Q62" s="9">
        <v>3000</v>
      </c>
      <c r="R6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62" s="9" t="str">
        <f>IF(AND(ISNUMBER(SEARCH("BUY",Tableau47[[#This Row],[COMMAND]]))),"BUY",IF(AND(ISNUMBER(SEARCH("SELL",Tableau47[[#This Row],[COMMAND]]))),"SELL",""))</f>
        <v>BUY</v>
      </c>
      <c r="T62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62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62" s="9">
        <v>925832</v>
      </c>
      <c r="W62" s="22">
        <v>44923.40802476852</v>
      </c>
      <c r="X62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62" s="9">
        <f>IFERROR(VALUE(SUBSTITUTE(Tableau47[[#This Row],[PRICE]],".",",")),"")</f>
        <v>1.06464</v>
      </c>
      <c r="Z62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62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2" s="9" t="str">
        <f>IF(IFERROR(_xlfn.XLOOKUP(Tableau47[[#This Row],[COMMENTAIRE]],'[1]Tickets (2)'!$J$6:$J$805,'[1]Tickets (2)'!$J$6:$J$805),"")&lt;&gt;"",1,"")</f>
        <v/>
      </c>
      <c r="AC62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2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2" s="9" t="str">
        <f>IFERROR(_xlfn.XLOOKUP(Tableau47[[#This Row],[INDEX]],Tableau47[COMPTE],Tableau47[COMPTE]),"")</f>
        <v/>
      </c>
      <c r="AF62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2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2" s="17">
        <f>IF(Tableau47[[#This Row],[COMMAND]]="BUYSTOP",IFERROR(ABS(Tableau47[[#This Row],[GO7]]-'[1]Deal ticket'!$B$15),""),"")</f>
        <v>7.9999999999991189E-4</v>
      </c>
      <c r="AI62" s="9" t="str">
        <f>IF(Tableau47[[#This Row],[COMMAND]]="SELLSTOP",IFERROR(ABS(Tableau47[[#This Row],[GO7]]-'[1]Deal ticket'!$B$16),""),"")</f>
        <v/>
      </c>
      <c r="AJ62" s="9" t="str">
        <f>IF(IFERROR(_xlfn.XLOOKUP(Tableau47[[#This Row],[COMMENTAIRE]],'[1]Tickets (2)'!$J$6:$J$805,'[1]Tickets (2)'!$J$6:$J$805),"")&lt;&gt;"",1,"")</f>
        <v/>
      </c>
      <c r="AK62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2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2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2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1.06464</v>
      </c>
      <c r="AO62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2" s="9" t="s">
        <v>97</v>
      </c>
      <c r="AQ62" s="9" t="str">
        <f>IFERROR(_xlfn.XLOOKUP(Tableau47[[#This Row],[COMMENTAIRE]],'[1]Tickets (2)'!$J$6:$J$805,'[1]Tickets (2)'!$C$6:$C$805),"")</f>
        <v/>
      </c>
      <c r="AR62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62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2" s="9" t="str">
        <f>IF(Tableau47[[#This Row],[GOUBLOP]]=1,Tableau47[[#This Row],[COMMENTAIRE]],"")</f>
        <v/>
      </c>
      <c r="AU62" s="9"/>
      <c r="AV62" s="9" t="str">
        <f>IFERROR(IF(_xlfn.XLOOKUP(Tableau47[[#This Row],[GOUBLOP2]],[1]!Tableau4849[ATTEINT],[1]!Tableau4849[ATTEINT])&lt;&gt;"",1,""),"")</f>
        <v/>
      </c>
      <c r="AW62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2" s="9" t="str">
        <f>IF(Tableau47[[#This Row],[COMMAND]]="","",IF(Tableau47[[#This Row],[INDEX]]&lt;3,"",LEFT(Tableau47[[#This Row],[COMMENTAIRE]],LEN(Tableau47[[#This Row],[COMMENTAIRE]])-2)))</f>
        <v>1 RBRB B 1.063 M1</v>
      </c>
      <c r="AY62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2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2" s="9">
        <f>IF(Tableau47[[#This Row],[INDEX]]&lt;3,"",IF(Tableau47[[#This Row],[COMMAND]]="","",IFERROR(Tableau47[[#This Row],[DIS_BUY]]*$AX$30,"")))</f>
        <v>0</v>
      </c>
      <c r="BB62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2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6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2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2" s="9">
        <f>IF(AND(Tableau47[[#This Row],[GO]]="GO",ISNUMBER(SEARCH("BUY",Tableau47[[#This Row],[COMMAND]]))),1,"")</f>
        <v>1</v>
      </c>
      <c r="BH62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2" s="9" t="str">
        <f>IF(OR(Tableau47[[#This Row],[GLOBAL BUY]]=1),Tableau47[[#This Row],[COMMENTAIRE]],"")</f>
        <v>1 RBRB B 1.063 M1M1</v>
      </c>
      <c r="BJ62" s="9" t="str">
        <f>IF(OR(Tableau47[[#This Row],[GLOBAL SELL]]=1),Tableau47[[#This Row],[COMMENTAIRE]],"")</f>
        <v/>
      </c>
      <c r="BK62" s="9">
        <f>IF(Tableau47[[#This Row],[INDEX]]&lt;3,"",IF(Tableau47[[#This Row],[COMMAND]]="","",SUMIFS(Tableau47[COMMENTAIRE],Tableau47[COMMENTAIRE],Tableau47[[#This Row],[COMMENTAIRE]])))</f>
        <v>0</v>
      </c>
      <c r="BL62" s="9" t="str">
        <f>IF(IFERROR(_xlfn.XLOOKUP(Tableau47[[#This Row],[COMMENTAIRE]],'[1]Tickets (2)'!$J$6:$J$805,'[1]Tickets (2)'!$J$6:$J$805),"")&lt;&gt;"",1,"")</f>
        <v/>
      </c>
      <c r="BM62" s="9">
        <f>IF(Tableau47[[#This Row],[INDEX]]&lt;3,"",IF(Tableau47[[#This Row],[COMMAND]]="","",IF('[1]Bar history'!$AA$33=1,1,"")))</f>
        <v>1</v>
      </c>
      <c r="BN62" s="9">
        <f>IFERROR(IFERROR(_xlfn.XLOOKUP(Tableau47[[#This Row],[COMMENTAIRE]],[1]!Tableau4849[IDENTITE],[1]!Tableau4849[0,5]),0),"")</f>
        <v>0</v>
      </c>
      <c r="BO62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2" s="9" t="str">
        <f>IF(IFERROR(_xlfn.XLOOKUP(Tableau47[[#This Row],[COMMENTAIRE]],'[1]Tickets (2)'!$J$6:$J$805,'[1]Tickets (2)'!$U$6:$U$805)," ")="","OK","")</f>
        <v/>
      </c>
      <c r="BQ62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62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2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2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2" s="9" t="str">
        <f>IF(IFERROR(_xlfn.XLOOKUP(Tableau47[[#This Row],[COMMENTAIRE]],'[1]Tickets (2)'!$J$6:$J$805,'[1]Tickets (2)'!$U$6:$U$805)," ")="","OK","")</f>
        <v/>
      </c>
      <c r="BV62" s="9" t="str">
        <f>IF(IFERROR(_xlfn.XLOOKUP(Tableau47[[#This Row],[COMMENTAIRE]],'[1]Tickets (2)'!$J$6:$J$805,'[1]Tickets (2)'!$V$6:$V$805)," ")="","OK","")</f>
        <v/>
      </c>
      <c r="BW62" s="9" t="e">
        <f>IF(Tableau47[[#This Row],[INDEX]]&lt;3,"",IF(Tableau47[[#This Row],[COMMAND]]="","",([1]FSI_TB!$F$12/10)*(Tableau47[[#This Row],[LOT]]/$BW$30)))</f>
        <v>#DIV/0!</v>
      </c>
      <c r="BX62" s="9" t="e">
        <f>IF(Tableau47[[#This Row],[INDEX]]&lt;3,"",IF(Tableau47[[#This Row],[COMMAND]]="","",-([1]FSI_TB!$D$12/10)*(Tableau47[[#This Row],[LOT]]/$BW$30)))</f>
        <v>#DIV/0!</v>
      </c>
      <c r="BY62" s="9" t="s">
        <v>97</v>
      </c>
      <c r="BZ62" s="9" t="str">
        <f>IF(AND(Tableau47[[#This Row],[CLOTURE]]="REPOSITIONNER"),"OK",IF(AND(Tableau47[[#This Row],[CLOTURE]]="GAGNANT"),"KO",IF(Tableau47[[#This Row],[NON]]="NON","NON","")))</f>
        <v>NON</v>
      </c>
      <c r="CA62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62" s="9" t="str">
        <f>IFERROR(_xlfn.XLOOKUP(Tableau47[[#This Row],[COMMENTAIRE]],'[1]Tickets (2)'!$J$6:$J$805,'[1]Tickets (2)'!$F$6:$F$805),"")</f>
        <v/>
      </c>
      <c r="CC62" s="9">
        <f>IF(Tableau47[[#This Row],[INDEX]]&lt;3,"",IF(Tableau47[[#This Row],[COMMAND]]="","",Tableau47[[#This Row],[LOT]]))</f>
        <v>3000</v>
      </c>
      <c r="CD62" s="9">
        <f>IF(Tableau47[[#This Row],[INDEX]]&lt;3,"",IF(Tableau47[[#This Row],[COMMAND]]="","",IFERROR(_xlfn.XLOOKUP(Tableau47[[#This Row],[COMMENTAIRE]],[1]!Tableau4849[IDENTITE],[1]!Tableau4849[0,5]),0)))</f>
        <v>0</v>
      </c>
      <c r="CE6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2" s="9" t="str" cm="1">
        <f t="array" ref="CG62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2" s="9"/>
      <c r="CI62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2" s="9"/>
      <c r="CK62" s="21"/>
      <c r="CL62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2" s="9"/>
      <c r="CN62" s="9" t="str">
        <f>IF(Tableau47[[#This Row],[INDEX]]&lt;3,"",IF(Tableau47[[#This Row],[COMMAND]]="","",IF(AND(Tableau47[[#This Row],[EN ATTENTES]]="NON",Tableau47[[#This Row],[EN COURS]]&lt;&gt;""),"OK","STOP")))</f>
        <v>STOP</v>
      </c>
      <c r="CO62" s="19">
        <f>Tableau47[[#This Row],[Cst TIME]]</f>
        <v>44923.40802476852</v>
      </c>
      <c r="CP62" s="9">
        <f>[1]analos!$Q$237</f>
        <v>926507</v>
      </c>
      <c r="CQ62" s="9" t="str">
        <f>[1]FSI_TB!$F$3</f>
        <v>EURUSD</v>
      </c>
      <c r="CR62" s="9" t="str">
        <f>Tableau47[[#This Row],[GO1]]</f>
        <v>BUY</v>
      </c>
      <c r="CS62" s="9" t="str">
        <f>Tableau47[[#This Row],[PRICE]]</f>
        <v>1.06464</v>
      </c>
      <c r="CT62" s="9">
        <f>Tableau47[[#This Row],[LOT]]</f>
        <v>3000</v>
      </c>
      <c r="CU62" s="9" t="str">
        <f>Tableau47[[#This Row],[COMMENTAIRE]]</f>
        <v>1 RBRB B 1.063 M1M1</v>
      </c>
      <c r="CV62" s="9"/>
      <c r="CW62" s="9">
        <v>1</v>
      </c>
      <c r="CX62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2" s="9">
        <f t="shared" ca="1" si="0"/>
        <v>44929.316958449075</v>
      </c>
    </row>
    <row r="63" spans="3:103" ht="15.75" x14ac:dyDescent="0.25">
      <c r="C63" s="8"/>
      <c r="D63" s="9"/>
      <c r="L63" s="9">
        <v>31</v>
      </c>
      <c r="M63" s="9" t="s">
        <v>123</v>
      </c>
      <c r="N63" s="9" t="s">
        <v>157</v>
      </c>
      <c r="O63" s="8" t="s">
        <v>168</v>
      </c>
      <c r="P63" s="9" t="s">
        <v>0</v>
      </c>
      <c r="Q63" s="9">
        <v>3000</v>
      </c>
      <c r="R6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63" s="9" t="str">
        <f>IF(AND(ISNUMBER(SEARCH("BUY",Tableau47[[#This Row],[COMMAND]]))),"BUY",IF(AND(ISNUMBER(SEARCH("SELL",Tableau47[[#This Row],[COMMAND]]))),"SELL",""))</f>
        <v>BUY</v>
      </c>
      <c r="T63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63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63" s="9">
        <v>925832</v>
      </c>
      <c r="W63" s="22">
        <v>44923.407625925924</v>
      </c>
      <c r="X63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63" s="9">
        <f>IFERROR(VALUE(SUBSTITUTE(Tableau47[[#This Row],[PRICE]],".",",")),"")</f>
        <v>1.0646100000000001</v>
      </c>
      <c r="Z63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63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3" s="9" t="str">
        <f>IF(IFERROR(_xlfn.XLOOKUP(Tableau47[[#This Row],[COMMENTAIRE]],'[1]Tickets (2)'!$J$6:$J$805,'[1]Tickets (2)'!$J$6:$J$805),"")&lt;&gt;"",1,"")</f>
        <v/>
      </c>
      <c r="AC63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3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3" s="9" t="str">
        <f>IFERROR(_xlfn.XLOOKUP(Tableau47[[#This Row],[INDEX]],Tableau47[COMPTE],Tableau47[COMPTE]),"")</f>
        <v/>
      </c>
      <c r="AF63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3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3" s="17">
        <f>IF(Tableau47[[#This Row],[COMMAND]]="BUYSTOP",IFERROR(ABS(Tableau47[[#This Row],[GO7]]-'[1]Deal ticket'!$B$15),""),"")</f>
        <v>8.2999999999988638E-4</v>
      </c>
      <c r="AI63" s="9" t="str">
        <f>IF(Tableau47[[#This Row],[COMMAND]]="SELLSTOP",IFERROR(ABS(Tableau47[[#This Row],[GO7]]-'[1]Deal ticket'!$B$16),""),"")</f>
        <v/>
      </c>
      <c r="AJ63" s="9" t="str">
        <f>IF(IFERROR(_xlfn.XLOOKUP(Tableau47[[#This Row],[COMMENTAIRE]],'[1]Tickets (2)'!$J$6:$J$805,'[1]Tickets (2)'!$J$6:$J$805),"")&lt;&gt;"",1,"")</f>
        <v/>
      </c>
      <c r="AK63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3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3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3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1.0646100000000001</v>
      </c>
      <c r="AO63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3" s="9" t="s">
        <v>97</v>
      </c>
      <c r="AQ63" s="9" t="str">
        <f>IFERROR(_xlfn.XLOOKUP(Tableau47[[#This Row],[COMMENTAIRE]],'[1]Tickets (2)'!$J$6:$J$805,'[1]Tickets (2)'!$C$6:$C$805),"")</f>
        <v/>
      </c>
      <c r="AR63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63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3" s="9" t="str">
        <f>IF(Tableau47[[#This Row],[GOUBLOP]]=1,Tableau47[[#This Row],[COMMENTAIRE]],"")</f>
        <v/>
      </c>
      <c r="AU63" s="9"/>
      <c r="AV63" s="9" t="str">
        <f>IFERROR(IF(_xlfn.XLOOKUP(Tableau47[[#This Row],[GOUBLOP2]],[1]!Tableau4849[ATTEINT],[1]!Tableau4849[ATTEINT])&lt;&gt;"",1,""),"")</f>
        <v/>
      </c>
      <c r="AW63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3" s="9" t="str">
        <f>IF(Tableau47[[#This Row],[COMMAND]]="","",IF(Tableau47[[#This Row],[INDEX]]&lt;3,"",LEFT(Tableau47[[#This Row],[COMMENTAIRE]],LEN(Tableau47[[#This Row],[COMMENTAIRE]])-2)))</f>
        <v>1 RBRB B 1.0631 M1</v>
      </c>
      <c r="AY63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3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3" s="9">
        <f>IF(Tableau47[[#This Row],[INDEX]]&lt;3,"",IF(Tableau47[[#This Row],[COMMAND]]="","",IFERROR(Tableau47[[#This Row],[DIS_BUY]]*$AX$30,"")))</f>
        <v>0</v>
      </c>
      <c r="BB63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3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6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3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3" s="9">
        <f>IF(AND(Tableau47[[#This Row],[GO]]="GO",ISNUMBER(SEARCH("BUY",Tableau47[[#This Row],[COMMAND]]))),1,"")</f>
        <v>1</v>
      </c>
      <c r="BH63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3" s="9" t="str">
        <f>IF(OR(Tableau47[[#This Row],[GLOBAL BUY]]=1),Tableau47[[#This Row],[COMMENTAIRE]],"")</f>
        <v>1 RBRB B 1.0631 M1M1</v>
      </c>
      <c r="BJ63" s="9" t="str">
        <f>IF(OR(Tableau47[[#This Row],[GLOBAL SELL]]=1),Tableau47[[#This Row],[COMMENTAIRE]],"")</f>
        <v/>
      </c>
      <c r="BK63" s="9">
        <f>IF(Tableau47[[#This Row],[INDEX]]&lt;3,"",IF(Tableau47[[#This Row],[COMMAND]]="","",SUMIFS(Tableau47[COMMENTAIRE],Tableau47[COMMENTAIRE],Tableau47[[#This Row],[COMMENTAIRE]])))</f>
        <v>0</v>
      </c>
      <c r="BL63" s="9" t="str">
        <f>IF(IFERROR(_xlfn.XLOOKUP(Tableau47[[#This Row],[COMMENTAIRE]],'[1]Tickets (2)'!$J$6:$J$805,'[1]Tickets (2)'!$J$6:$J$805),"")&lt;&gt;"",1,"")</f>
        <v/>
      </c>
      <c r="BM63" s="9">
        <f>IF(Tableau47[[#This Row],[INDEX]]&lt;3,"",IF(Tableau47[[#This Row],[COMMAND]]="","",IF('[1]Bar history'!$AA$33=1,1,"")))</f>
        <v>1</v>
      </c>
      <c r="BN63" s="9">
        <f>IFERROR(IFERROR(_xlfn.XLOOKUP(Tableau47[[#This Row],[COMMENTAIRE]],[1]!Tableau4849[IDENTITE],[1]!Tableau4849[0,5]),0),"")</f>
        <v>0</v>
      </c>
      <c r="BO63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3" s="9" t="str">
        <f>IF(IFERROR(_xlfn.XLOOKUP(Tableau47[[#This Row],[COMMENTAIRE]],'[1]Tickets (2)'!$J$6:$J$805,'[1]Tickets (2)'!$U$6:$U$805)," ")="","OK","")</f>
        <v/>
      </c>
      <c r="BQ63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63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3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3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3" s="9" t="str">
        <f>IF(IFERROR(_xlfn.XLOOKUP(Tableau47[[#This Row],[COMMENTAIRE]],'[1]Tickets (2)'!$J$6:$J$805,'[1]Tickets (2)'!$U$6:$U$805)," ")="","OK","")</f>
        <v/>
      </c>
      <c r="BV63" s="9" t="str">
        <f>IF(IFERROR(_xlfn.XLOOKUP(Tableau47[[#This Row],[COMMENTAIRE]],'[1]Tickets (2)'!$J$6:$J$805,'[1]Tickets (2)'!$V$6:$V$805)," ")="","OK","")</f>
        <v/>
      </c>
      <c r="BW63" s="9" t="e">
        <f>IF(Tableau47[[#This Row],[INDEX]]&lt;3,"",IF(Tableau47[[#This Row],[COMMAND]]="","",([1]FSI_TB!$F$12/10)*(Tableau47[[#This Row],[LOT]]/$BW$30)))</f>
        <v>#DIV/0!</v>
      </c>
      <c r="BX63" s="9" t="e">
        <f>IF(Tableau47[[#This Row],[INDEX]]&lt;3,"",IF(Tableau47[[#This Row],[COMMAND]]="","",-([1]FSI_TB!$D$12/10)*(Tableau47[[#This Row],[LOT]]/$BW$30)))</f>
        <v>#DIV/0!</v>
      </c>
      <c r="BY63" s="9" t="s">
        <v>97</v>
      </c>
      <c r="BZ63" s="9" t="str">
        <f>IF(AND(Tableau47[[#This Row],[CLOTURE]]="REPOSITIONNER"),"OK",IF(AND(Tableau47[[#This Row],[CLOTURE]]="GAGNANT"),"KO",IF(Tableau47[[#This Row],[NON]]="NON","NON","")))</f>
        <v>NON</v>
      </c>
      <c r="CA63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63" s="9" t="str">
        <f>IFERROR(_xlfn.XLOOKUP(Tableau47[[#This Row],[COMMENTAIRE]],'[1]Tickets (2)'!$J$6:$J$805,'[1]Tickets (2)'!$F$6:$F$805),"")</f>
        <v/>
      </c>
      <c r="CC63" s="9">
        <f>IF(Tableau47[[#This Row],[INDEX]]&lt;3,"",IF(Tableau47[[#This Row],[COMMAND]]="","",Tableau47[[#This Row],[LOT]]))</f>
        <v>3000</v>
      </c>
      <c r="CD63" s="9">
        <f>IF(Tableau47[[#This Row],[INDEX]]&lt;3,"",IF(Tableau47[[#This Row],[COMMAND]]="","",IFERROR(_xlfn.XLOOKUP(Tableau47[[#This Row],[COMMENTAIRE]],[1]!Tableau4849[IDENTITE],[1]!Tableau4849[0,5]),0)))</f>
        <v>0</v>
      </c>
      <c r="CE6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3" s="9" t="str" cm="1">
        <f t="array" ref="CG63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3" s="9"/>
      <c r="CI63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3" s="9"/>
      <c r="CK63" s="21"/>
      <c r="CL63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3" s="9"/>
      <c r="CN63" s="9" t="str">
        <f>IF(Tableau47[[#This Row],[INDEX]]&lt;3,"",IF(Tableau47[[#This Row],[COMMAND]]="","",IF(AND(Tableau47[[#This Row],[EN ATTENTES]]="NON",Tableau47[[#This Row],[EN COURS]]&lt;&gt;""),"OK","STOP")))</f>
        <v>STOP</v>
      </c>
      <c r="CO63" s="19">
        <f>Tableau47[[#This Row],[Cst TIME]]</f>
        <v>44923.407625925924</v>
      </c>
      <c r="CP63" s="9">
        <f>[1]analos!$Q$237</f>
        <v>926507</v>
      </c>
      <c r="CQ63" s="9" t="str">
        <f>[1]FSI_TB!$F$3</f>
        <v>EURUSD</v>
      </c>
      <c r="CR63" s="9" t="str">
        <f>Tableau47[[#This Row],[GO1]]</f>
        <v>BUY</v>
      </c>
      <c r="CS63" s="9" t="str">
        <f>Tableau47[[#This Row],[PRICE]]</f>
        <v>1.06461</v>
      </c>
      <c r="CT63" s="9">
        <f>Tableau47[[#This Row],[LOT]]</f>
        <v>3000</v>
      </c>
      <c r="CU63" s="9" t="str">
        <f>Tableau47[[#This Row],[COMMENTAIRE]]</f>
        <v>1 RBRB B 1.0631 M1M1</v>
      </c>
      <c r="CV63" s="9"/>
      <c r="CW63" s="9">
        <v>1</v>
      </c>
      <c r="CX63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3" s="9">
        <f t="shared" ca="1" si="0"/>
        <v>44929.316958449075</v>
      </c>
    </row>
    <row r="64" spans="3:103" ht="15.75" x14ac:dyDescent="0.25">
      <c r="C64" s="8"/>
      <c r="D64" s="9"/>
      <c r="L64" s="9">
        <v>32</v>
      </c>
      <c r="M64" s="9" t="s">
        <v>123</v>
      </c>
      <c r="N64" s="9" t="s">
        <v>24</v>
      </c>
      <c r="O64" s="8" t="s">
        <v>5</v>
      </c>
      <c r="P64" s="9" t="s">
        <v>0</v>
      </c>
      <c r="Q64" s="9">
        <v>3000</v>
      </c>
      <c r="R6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64" s="9" t="str">
        <f>IF(AND(ISNUMBER(SEARCH("BUY",Tableau47[[#This Row],[COMMAND]]))),"BUY",IF(AND(ISNUMBER(SEARCH("SELL",Tableau47[[#This Row],[COMMAND]]))),"SELL",""))</f>
        <v>BUY</v>
      </c>
      <c r="T64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64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64" s="9">
        <v>925832</v>
      </c>
      <c r="W64" s="22">
        <v>44923.404932638892</v>
      </c>
      <c r="X64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64" s="9">
        <f>IFERROR(VALUE(SUBSTITUTE(Tableau47[[#This Row],[PRICE]],".",",")),"")</f>
        <v>1.06498</v>
      </c>
      <c r="Z64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64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4" s="9" t="str">
        <f>IF(IFERROR(_xlfn.XLOOKUP(Tableau47[[#This Row],[COMMENTAIRE]],'[1]Tickets (2)'!$J$6:$J$805,'[1]Tickets (2)'!$J$6:$J$805),"")&lt;&gt;"",1,"")</f>
        <v/>
      </c>
      <c r="AC64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4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4" s="9" t="str">
        <f>IFERROR(_xlfn.XLOOKUP(Tableau47[[#This Row],[INDEX]],Tableau47[COMPTE],Tableau47[COMPTE]),"")</f>
        <v/>
      </c>
      <c r="AF64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4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4" s="17">
        <f>IF(Tableau47[[#This Row],[COMMAND]]="BUYSTOP",IFERROR(ABS(Tableau47[[#This Row],[GO7]]-'[1]Deal ticket'!$B$15),""),"")</f>
        <v>4.5999999999990493E-4</v>
      </c>
      <c r="AI64" s="9" t="str">
        <f>IF(Tableau47[[#This Row],[COMMAND]]="SELLSTOP",IFERROR(ABS(Tableau47[[#This Row],[GO7]]-'[1]Deal ticket'!$B$16),""),"")</f>
        <v/>
      </c>
      <c r="AJ64" s="9" t="str">
        <f>IF(IFERROR(_xlfn.XLOOKUP(Tableau47[[#This Row],[COMMENTAIRE]],'[1]Tickets (2)'!$J$6:$J$805,'[1]Tickets (2)'!$J$6:$J$805),"")&lt;&gt;"",1,"")</f>
        <v/>
      </c>
      <c r="AK64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4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4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4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1.06498</v>
      </c>
      <c r="AO64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4" s="9" t="s">
        <v>97</v>
      </c>
      <c r="AQ64" s="9" t="str">
        <f>IFERROR(_xlfn.XLOOKUP(Tableau47[[#This Row],[COMMENTAIRE]],'[1]Tickets (2)'!$J$6:$J$805,'[1]Tickets (2)'!$C$6:$C$805),"")</f>
        <v/>
      </c>
      <c r="AR64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64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4" s="9" t="str">
        <f>IF(Tableau47[[#This Row],[GOUBLOP]]=1,Tableau47[[#This Row],[COMMENTAIRE]],"")</f>
        <v/>
      </c>
      <c r="AU64" s="9"/>
      <c r="AV64" s="9" t="str">
        <f>IFERROR(IF(_xlfn.XLOOKUP(Tableau47[[#This Row],[GOUBLOP2]],[1]!Tableau4849[ATTEINT],[1]!Tableau4849[ATTEINT])&lt;&gt;"",1,""),"")</f>
        <v/>
      </c>
      <c r="AW64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4" s="9" t="str">
        <f>IF(Tableau47[[#This Row],[COMMAND]]="","",IF(Tableau47[[#This Row],[INDEX]]&lt;3,"",LEFT(Tableau47[[#This Row],[COMMENTAIRE]],LEN(Tableau47[[#This Row],[COMMENTAIRE]])-2)))</f>
        <v>1 RBRB B 1.06346 M1</v>
      </c>
      <c r="AY64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4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4" s="9">
        <f>IF(Tableau47[[#This Row],[INDEX]]&lt;3,"",IF(Tableau47[[#This Row],[COMMAND]]="","",IFERROR(Tableau47[[#This Row],[DIS_BUY]]*$AX$30,"")))</f>
        <v>0</v>
      </c>
      <c r="BB64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4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6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4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4" s="9">
        <f>IF(AND(Tableau47[[#This Row],[GO]]="GO",ISNUMBER(SEARCH("BUY",Tableau47[[#This Row],[COMMAND]]))),1,"")</f>
        <v>1</v>
      </c>
      <c r="BH64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4" s="9" t="str">
        <f>IF(OR(Tableau47[[#This Row],[GLOBAL BUY]]=1),Tableau47[[#This Row],[COMMENTAIRE]],"")</f>
        <v>1 RBRB B 1.06346 M1M1</v>
      </c>
      <c r="BJ64" s="9" t="str">
        <f>IF(OR(Tableau47[[#This Row],[GLOBAL SELL]]=1),Tableau47[[#This Row],[COMMENTAIRE]],"")</f>
        <v/>
      </c>
      <c r="BK64" s="9">
        <f>IF(Tableau47[[#This Row],[INDEX]]&lt;3,"",IF(Tableau47[[#This Row],[COMMAND]]="","",SUMIFS(Tableau47[COMMENTAIRE],Tableau47[COMMENTAIRE],Tableau47[[#This Row],[COMMENTAIRE]])))</f>
        <v>0</v>
      </c>
      <c r="BL64" s="9" t="str">
        <f>IF(IFERROR(_xlfn.XLOOKUP(Tableau47[[#This Row],[COMMENTAIRE]],'[1]Tickets (2)'!$J$6:$J$805,'[1]Tickets (2)'!$J$6:$J$805),"")&lt;&gt;"",1,"")</f>
        <v/>
      </c>
      <c r="BM64" s="9">
        <f>IF(Tableau47[[#This Row],[INDEX]]&lt;3,"",IF(Tableau47[[#This Row],[COMMAND]]="","",IF('[1]Bar history'!$AA$33=1,1,"")))</f>
        <v>1</v>
      </c>
      <c r="BN64" s="9">
        <f>IFERROR(IFERROR(_xlfn.XLOOKUP(Tableau47[[#This Row],[COMMENTAIRE]],[1]!Tableau4849[IDENTITE],[1]!Tableau4849[0,5]),0),"")</f>
        <v>0</v>
      </c>
      <c r="BO64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4" s="9" t="str">
        <f>IF(IFERROR(_xlfn.XLOOKUP(Tableau47[[#This Row],[COMMENTAIRE]],'[1]Tickets (2)'!$J$6:$J$805,'[1]Tickets (2)'!$U$6:$U$805)," ")="","OK","")</f>
        <v/>
      </c>
      <c r="BQ64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64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4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4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4" s="9" t="str">
        <f>IF(IFERROR(_xlfn.XLOOKUP(Tableau47[[#This Row],[COMMENTAIRE]],'[1]Tickets (2)'!$J$6:$J$805,'[1]Tickets (2)'!$U$6:$U$805)," ")="","OK","")</f>
        <v/>
      </c>
      <c r="BV64" s="9" t="str">
        <f>IF(IFERROR(_xlfn.XLOOKUP(Tableau47[[#This Row],[COMMENTAIRE]],'[1]Tickets (2)'!$J$6:$J$805,'[1]Tickets (2)'!$V$6:$V$805)," ")="","OK","")</f>
        <v/>
      </c>
      <c r="BW64" s="9" t="e">
        <f>IF(Tableau47[[#This Row],[INDEX]]&lt;3,"",IF(Tableau47[[#This Row],[COMMAND]]="","",([1]FSI_TB!$F$12/10)*(Tableau47[[#This Row],[LOT]]/$BW$30)))</f>
        <v>#DIV/0!</v>
      </c>
      <c r="BX64" s="9" t="e">
        <f>IF(Tableau47[[#This Row],[INDEX]]&lt;3,"",IF(Tableau47[[#This Row],[COMMAND]]="","",-([1]FSI_TB!$D$12/10)*(Tableau47[[#This Row],[LOT]]/$BW$30)))</f>
        <v>#DIV/0!</v>
      </c>
      <c r="BY64" s="9" t="s">
        <v>97</v>
      </c>
      <c r="BZ64" s="9" t="str">
        <f>IF(AND(Tableau47[[#This Row],[CLOTURE]]="REPOSITIONNER"),"OK",IF(AND(Tableau47[[#This Row],[CLOTURE]]="GAGNANT"),"KO",IF(Tableau47[[#This Row],[NON]]="NON","NON","")))</f>
        <v>NON</v>
      </c>
      <c r="CA64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64" s="9" t="str">
        <f>IFERROR(_xlfn.XLOOKUP(Tableau47[[#This Row],[COMMENTAIRE]],'[1]Tickets (2)'!$J$6:$J$805,'[1]Tickets (2)'!$F$6:$F$805),"")</f>
        <v/>
      </c>
      <c r="CC64" s="9">
        <f>IF(Tableau47[[#This Row],[INDEX]]&lt;3,"",IF(Tableau47[[#This Row],[COMMAND]]="","",Tableau47[[#This Row],[LOT]]))</f>
        <v>3000</v>
      </c>
      <c r="CD64" s="9">
        <f>IF(Tableau47[[#This Row],[INDEX]]&lt;3,"",IF(Tableau47[[#This Row],[COMMAND]]="","",IFERROR(_xlfn.XLOOKUP(Tableau47[[#This Row],[COMMENTAIRE]],[1]!Tableau4849[IDENTITE],[1]!Tableau4849[0,5]),0)))</f>
        <v>0</v>
      </c>
      <c r="CE6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4" s="9" t="str" cm="1">
        <f t="array" ref="CG64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4" s="9"/>
      <c r="CI64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4" s="9"/>
      <c r="CK64" s="21"/>
      <c r="CL64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4" s="9"/>
      <c r="CN64" s="9" t="str">
        <f>IF(Tableau47[[#This Row],[INDEX]]&lt;3,"",IF(Tableau47[[#This Row],[COMMAND]]="","",IF(AND(Tableau47[[#This Row],[EN ATTENTES]]="NON",Tableau47[[#This Row],[EN COURS]]&lt;&gt;""),"OK","STOP")))</f>
        <v>STOP</v>
      </c>
      <c r="CO64" s="19">
        <f>Tableau47[[#This Row],[Cst TIME]]</f>
        <v>44923.404932638892</v>
      </c>
      <c r="CP64" s="9">
        <f>[1]analos!$Q$237</f>
        <v>926507</v>
      </c>
      <c r="CQ64" s="9" t="str">
        <f>[1]FSI_TB!$F$3</f>
        <v>EURUSD</v>
      </c>
      <c r="CR64" s="9" t="str">
        <f>Tableau47[[#This Row],[GO1]]</f>
        <v>BUY</v>
      </c>
      <c r="CS64" s="9" t="str">
        <f>Tableau47[[#This Row],[PRICE]]</f>
        <v>1.06498</v>
      </c>
      <c r="CT64" s="9">
        <f>Tableau47[[#This Row],[LOT]]</f>
        <v>3000</v>
      </c>
      <c r="CU64" s="9" t="str">
        <f>Tableau47[[#This Row],[COMMENTAIRE]]</f>
        <v>1 RBRB B 1.06346 M1M1</v>
      </c>
      <c r="CV64" s="9"/>
      <c r="CW64" s="9">
        <v>1</v>
      </c>
      <c r="CX64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4" s="9">
        <f t="shared" ca="1" si="0"/>
        <v>44929.316958449075</v>
      </c>
    </row>
    <row r="65" spans="3:103" ht="15.75" x14ac:dyDescent="0.25">
      <c r="C65" s="8"/>
      <c r="D65" s="9"/>
      <c r="L65" s="9">
        <v>33</v>
      </c>
      <c r="M65" s="9" t="s">
        <v>123</v>
      </c>
      <c r="N65" s="9" t="s">
        <v>20</v>
      </c>
      <c r="O65" s="8" t="s">
        <v>169</v>
      </c>
      <c r="P65" s="9" t="s">
        <v>0</v>
      </c>
      <c r="Q65" s="9">
        <v>3000</v>
      </c>
      <c r="R6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65" s="9" t="str">
        <f>IF(AND(ISNUMBER(SEARCH("BUY",Tableau47[[#This Row],[COMMAND]]))),"BUY",IF(AND(ISNUMBER(SEARCH("SELL",Tableau47[[#This Row],[COMMAND]]))),"SELL",""))</f>
        <v>BUY</v>
      </c>
      <c r="T65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65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65" s="9">
        <v>925832</v>
      </c>
      <c r="W65" s="22">
        <v>44923.379932870368</v>
      </c>
      <c r="X65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65" s="9">
        <f>IFERROR(VALUE(SUBSTITUTE(Tableau47[[#This Row],[PRICE]],".",",")),"")</f>
        <v>1.0650500000000001</v>
      </c>
      <c r="Z65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65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5" s="9" t="str">
        <f>IF(IFERROR(_xlfn.XLOOKUP(Tableau47[[#This Row],[COMMENTAIRE]],'[1]Tickets (2)'!$J$6:$J$805,'[1]Tickets (2)'!$J$6:$J$805),"")&lt;&gt;"",1,"")</f>
        <v/>
      </c>
      <c r="AC65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5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5" s="9" t="str">
        <f>IFERROR(_xlfn.XLOOKUP(Tableau47[[#This Row],[INDEX]],Tableau47[COMPTE],Tableau47[COMPTE]),"")</f>
        <v/>
      </c>
      <c r="AF65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5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5" s="17">
        <f>IF(Tableau47[[#This Row],[COMMAND]]="BUYSTOP",IFERROR(ABS(Tableau47[[#This Row],[GO7]]-'[1]Deal ticket'!$B$15),""),"")</f>
        <v>3.8999999999989043E-4</v>
      </c>
      <c r="AI65" s="9" t="str">
        <f>IF(Tableau47[[#This Row],[COMMAND]]="SELLSTOP",IFERROR(ABS(Tableau47[[#This Row],[GO7]]-'[1]Deal ticket'!$B$16),""),"")</f>
        <v/>
      </c>
      <c r="AJ65" s="9" t="str">
        <f>IF(IFERROR(_xlfn.XLOOKUP(Tableau47[[#This Row],[COMMENTAIRE]],'[1]Tickets (2)'!$J$6:$J$805,'[1]Tickets (2)'!$J$6:$J$805),"")&lt;&gt;"",1,"")</f>
        <v/>
      </c>
      <c r="AK65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5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5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5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1.0650500000000001</v>
      </c>
      <c r="AO65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5" s="9" t="s">
        <v>97</v>
      </c>
      <c r="AQ65" s="9" t="str">
        <f>IFERROR(_xlfn.XLOOKUP(Tableau47[[#This Row],[COMMENTAIRE]],'[1]Tickets (2)'!$J$6:$J$805,'[1]Tickets (2)'!$C$6:$C$805),"")</f>
        <v/>
      </c>
      <c r="AR65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65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5" s="9" t="str">
        <f>IF(Tableau47[[#This Row],[GOUBLOP]]=1,Tableau47[[#This Row],[COMMENTAIRE]],"")</f>
        <v/>
      </c>
      <c r="AU65" s="9"/>
      <c r="AV65" s="9" t="str">
        <f>IFERROR(IF(_xlfn.XLOOKUP(Tableau47[[#This Row],[GOUBLOP2]],[1]!Tableau4849[ATTEINT],[1]!Tableau4849[ATTEINT])&lt;&gt;"",1,""),"")</f>
        <v/>
      </c>
      <c r="AW65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5" s="9" t="str">
        <f>IF(Tableau47[[#This Row],[COMMAND]]="","",IF(Tableau47[[#This Row],[INDEX]]&lt;3,"",LEFT(Tableau47[[#This Row],[COMMENTAIRE]],LEN(Tableau47[[#This Row],[COMMENTAIRE]])-2)))</f>
        <v>1 RBRB B 1.06336 M1</v>
      </c>
      <c r="AY65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5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5" s="9">
        <f>IF(Tableau47[[#This Row],[INDEX]]&lt;3,"",IF(Tableau47[[#This Row],[COMMAND]]="","",IFERROR(Tableau47[[#This Row],[DIS_BUY]]*$AX$30,"")))</f>
        <v>0</v>
      </c>
      <c r="BB65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5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6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5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5" s="9">
        <f>IF(AND(Tableau47[[#This Row],[GO]]="GO",ISNUMBER(SEARCH("BUY",Tableau47[[#This Row],[COMMAND]]))),1,"")</f>
        <v>1</v>
      </c>
      <c r="BH65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5" s="9" t="str">
        <f>IF(OR(Tableau47[[#This Row],[GLOBAL BUY]]=1),Tableau47[[#This Row],[COMMENTAIRE]],"")</f>
        <v>1 RBRB B 1.06336 M1M1</v>
      </c>
      <c r="BJ65" s="9" t="str">
        <f>IF(OR(Tableau47[[#This Row],[GLOBAL SELL]]=1),Tableau47[[#This Row],[COMMENTAIRE]],"")</f>
        <v/>
      </c>
      <c r="BK65" s="9">
        <f>IF(Tableau47[[#This Row],[INDEX]]&lt;3,"",IF(Tableau47[[#This Row],[COMMAND]]="","",SUMIFS(Tableau47[COMMENTAIRE],Tableau47[COMMENTAIRE],Tableau47[[#This Row],[COMMENTAIRE]])))</f>
        <v>0</v>
      </c>
      <c r="BL65" s="9" t="str">
        <f>IF(IFERROR(_xlfn.XLOOKUP(Tableau47[[#This Row],[COMMENTAIRE]],'[1]Tickets (2)'!$J$6:$J$805,'[1]Tickets (2)'!$J$6:$J$805),"")&lt;&gt;"",1,"")</f>
        <v/>
      </c>
      <c r="BM65" s="9">
        <f>IF(Tableau47[[#This Row],[INDEX]]&lt;3,"",IF(Tableau47[[#This Row],[COMMAND]]="","",IF('[1]Bar history'!$AA$33=1,1,"")))</f>
        <v>1</v>
      </c>
      <c r="BN65" s="9">
        <f>IFERROR(IFERROR(_xlfn.XLOOKUP(Tableau47[[#This Row],[COMMENTAIRE]],[1]!Tableau4849[IDENTITE],[1]!Tableau4849[0,5]),0),"")</f>
        <v>0</v>
      </c>
      <c r="BO65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5" s="9" t="str">
        <f>IF(IFERROR(_xlfn.XLOOKUP(Tableau47[[#This Row],[COMMENTAIRE]],'[1]Tickets (2)'!$J$6:$J$805,'[1]Tickets (2)'!$U$6:$U$805)," ")="","OK","")</f>
        <v/>
      </c>
      <c r="BQ65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65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5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5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5" s="9" t="str">
        <f>IF(IFERROR(_xlfn.XLOOKUP(Tableau47[[#This Row],[COMMENTAIRE]],'[1]Tickets (2)'!$J$6:$J$805,'[1]Tickets (2)'!$U$6:$U$805)," ")="","OK","")</f>
        <v/>
      </c>
      <c r="BV65" s="9" t="str">
        <f>IF(IFERROR(_xlfn.XLOOKUP(Tableau47[[#This Row],[COMMENTAIRE]],'[1]Tickets (2)'!$J$6:$J$805,'[1]Tickets (2)'!$V$6:$V$805)," ")="","OK","")</f>
        <v/>
      </c>
      <c r="BW65" s="9" t="e">
        <f>IF(Tableau47[[#This Row],[INDEX]]&lt;3,"",IF(Tableau47[[#This Row],[COMMAND]]="","",([1]FSI_TB!$F$12/10)*(Tableau47[[#This Row],[LOT]]/$BW$30)))</f>
        <v>#DIV/0!</v>
      </c>
      <c r="BX65" s="9" t="e">
        <f>IF(Tableau47[[#This Row],[INDEX]]&lt;3,"",IF(Tableau47[[#This Row],[COMMAND]]="","",-([1]FSI_TB!$D$12/10)*(Tableau47[[#This Row],[LOT]]/$BW$30)))</f>
        <v>#DIV/0!</v>
      </c>
      <c r="BY65" s="9" t="s">
        <v>97</v>
      </c>
      <c r="BZ65" s="9" t="str">
        <f>IF(AND(Tableau47[[#This Row],[CLOTURE]]="REPOSITIONNER"),"OK",IF(AND(Tableau47[[#This Row],[CLOTURE]]="GAGNANT"),"KO",IF(Tableau47[[#This Row],[NON]]="NON","NON","")))</f>
        <v>NON</v>
      </c>
      <c r="CA65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65" s="9" t="str">
        <f>IFERROR(_xlfn.XLOOKUP(Tableau47[[#This Row],[COMMENTAIRE]],'[1]Tickets (2)'!$J$6:$J$805,'[1]Tickets (2)'!$F$6:$F$805),"")</f>
        <v/>
      </c>
      <c r="CC65" s="9">
        <f>IF(Tableau47[[#This Row],[INDEX]]&lt;3,"",IF(Tableau47[[#This Row],[COMMAND]]="","",Tableau47[[#This Row],[LOT]]))</f>
        <v>3000</v>
      </c>
      <c r="CD65" s="9">
        <f>IF(Tableau47[[#This Row],[INDEX]]&lt;3,"",IF(Tableau47[[#This Row],[COMMAND]]="","",IFERROR(_xlfn.XLOOKUP(Tableau47[[#This Row],[COMMENTAIRE]],[1]!Tableau4849[IDENTITE],[1]!Tableau4849[0,5]),0)))</f>
        <v>0</v>
      </c>
      <c r="CE6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5" s="9" t="str" cm="1">
        <f t="array" ref="CG65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5" s="9"/>
      <c r="CI65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5" s="9"/>
      <c r="CK65" s="21"/>
      <c r="CL65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5" s="9"/>
      <c r="CN65" s="9" t="str">
        <f>IF(Tableau47[[#This Row],[INDEX]]&lt;3,"",IF(Tableau47[[#This Row],[COMMAND]]="","",IF(AND(Tableau47[[#This Row],[EN ATTENTES]]="NON",Tableau47[[#This Row],[EN COURS]]&lt;&gt;""),"OK","STOP")))</f>
        <v>STOP</v>
      </c>
      <c r="CO65" s="19">
        <f>Tableau47[[#This Row],[Cst TIME]]</f>
        <v>44923.379932870368</v>
      </c>
      <c r="CP65" s="9">
        <f>[1]analos!$Q$237</f>
        <v>926507</v>
      </c>
      <c r="CQ65" s="9" t="str">
        <f>[1]FSI_TB!$F$3</f>
        <v>EURUSD</v>
      </c>
      <c r="CR65" s="9" t="str">
        <f>Tableau47[[#This Row],[GO1]]</f>
        <v>BUY</v>
      </c>
      <c r="CS65" s="9" t="str">
        <f>Tableau47[[#This Row],[PRICE]]</f>
        <v>1.06505</v>
      </c>
      <c r="CT65" s="9">
        <f>Tableau47[[#This Row],[LOT]]</f>
        <v>3000</v>
      </c>
      <c r="CU65" s="9" t="str">
        <f>Tableau47[[#This Row],[COMMENTAIRE]]</f>
        <v>1 RBRB B 1.06336 M1M1</v>
      </c>
      <c r="CV65" s="9"/>
      <c r="CW65" s="9">
        <v>1</v>
      </c>
      <c r="CX65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5" s="9">
        <f t="shared" ca="1" si="0"/>
        <v>44929.316958449075</v>
      </c>
    </row>
    <row r="66" spans="3:103" ht="15.75" x14ac:dyDescent="0.25">
      <c r="C66" s="8"/>
      <c r="D66" s="9"/>
      <c r="L66" s="9">
        <v>34</v>
      </c>
      <c r="M66" s="9" t="s">
        <v>123</v>
      </c>
      <c r="N66" s="9" t="s">
        <v>20</v>
      </c>
      <c r="O66" s="8" t="s">
        <v>170</v>
      </c>
      <c r="P66" s="9" t="s">
        <v>0</v>
      </c>
      <c r="Q66" s="9">
        <v>3000</v>
      </c>
      <c r="R6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66" s="9" t="str">
        <f>IF(AND(ISNUMBER(SEARCH("BUY",Tableau47[[#This Row],[COMMAND]]))),"BUY",IF(AND(ISNUMBER(SEARCH("SELL",Tableau47[[#This Row],[COMMAND]]))),"SELL",""))</f>
        <v>BUY</v>
      </c>
      <c r="T66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66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66" s="9">
        <v>925832</v>
      </c>
      <c r="W66" s="22">
        <v>44923.379649305556</v>
      </c>
      <c r="X66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66" s="9">
        <f>IFERROR(VALUE(SUBSTITUTE(Tableau47[[#This Row],[PRICE]],".",",")),"")</f>
        <v>1.0650500000000001</v>
      </c>
      <c r="Z66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66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6" s="9" t="str">
        <f>IF(IFERROR(_xlfn.XLOOKUP(Tableau47[[#This Row],[COMMENTAIRE]],'[1]Tickets (2)'!$J$6:$J$805,'[1]Tickets (2)'!$J$6:$J$805),"")&lt;&gt;"",1,"")</f>
        <v/>
      </c>
      <c r="AC66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6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6" s="9" t="str">
        <f>IFERROR(_xlfn.XLOOKUP(Tableau47[[#This Row],[INDEX]],Tableau47[COMPTE],Tableau47[COMPTE]),"")</f>
        <v/>
      </c>
      <c r="AF66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6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6" s="17">
        <f>IF(Tableau47[[#This Row],[COMMAND]]="BUYSTOP",IFERROR(ABS(Tableau47[[#This Row],[GO7]]-'[1]Deal ticket'!$B$15),""),"")</f>
        <v>3.8999999999989043E-4</v>
      </c>
      <c r="AI66" s="9" t="str">
        <f>IF(Tableau47[[#This Row],[COMMAND]]="SELLSTOP",IFERROR(ABS(Tableau47[[#This Row],[GO7]]-'[1]Deal ticket'!$B$16),""),"")</f>
        <v/>
      </c>
      <c r="AJ66" s="9" t="str">
        <f>IF(IFERROR(_xlfn.XLOOKUP(Tableau47[[#This Row],[COMMENTAIRE]],'[1]Tickets (2)'!$J$6:$J$805,'[1]Tickets (2)'!$J$6:$J$805),"")&lt;&gt;"",1,"")</f>
        <v/>
      </c>
      <c r="AK66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6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6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6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1.0650500000000001</v>
      </c>
      <c r="AO66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6" s="9" t="s">
        <v>97</v>
      </c>
      <c r="AQ66" s="9" t="str">
        <f>IFERROR(_xlfn.XLOOKUP(Tableau47[[#This Row],[COMMENTAIRE]],'[1]Tickets (2)'!$J$6:$J$805,'[1]Tickets (2)'!$C$6:$C$805),"")</f>
        <v/>
      </c>
      <c r="AR66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66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6" s="9" t="str">
        <f>IF(Tableau47[[#This Row],[GOUBLOP]]=1,Tableau47[[#This Row],[COMMENTAIRE]],"")</f>
        <v/>
      </c>
      <c r="AU66" s="9"/>
      <c r="AV66" s="9" t="str">
        <f>IFERROR(IF(_xlfn.XLOOKUP(Tableau47[[#This Row],[GOUBLOP2]],[1]!Tableau4849[ATTEINT],[1]!Tableau4849[ATTEINT])&lt;&gt;"",1,""),"")</f>
        <v/>
      </c>
      <c r="AW66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6" s="9" t="str">
        <f>IF(Tableau47[[#This Row],[COMMAND]]="","",IF(Tableau47[[#This Row],[INDEX]]&lt;3,"",LEFT(Tableau47[[#This Row],[COMMENTAIRE]],LEN(Tableau47[[#This Row],[COMMENTAIRE]])-2)))</f>
        <v>1 RBRB B 1.06355 M1</v>
      </c>
      <c r="AY66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6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6" s="9">
        <f>IF(Tableau47[[#This Row],[INDEX]]&lt;3,"",IF(Tableau47[[#This Row],[COMMAND]]="","",IFERROR(Tableau47[[#This Row],[DIS_BUY]]*$AX$30,"")))</f>
        <v>0</v>
      </c>
      <c r="BB66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6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6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6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6" s="9">
        <f>IF(AND(Tableau47[[#This Row],[GO]]="GO",ISNUMBER(SEARCH("BUY",Tableau47[[#This Row],[COMMAND]]))),1,"")</f>
        <v>1</v>
      </c>
      <c r="BH66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6" s="9" t="str">
        <f>IF(OR(Tableau47[[#This Row],[GLOBAL BUY]]=1),Tableau47[[#This Row],[COMMENTAIRE]],"")</f>
        <v>1 RBRB B 1.06355 M1M1</v>
      </c>
      <c r="BJ66" s="9" t="str">
        <f>IF(OR(Tableau47[[#This Row],[GLOBAL SELL]]=1),Tableau47[[#This Row],[COMMENTAIRE]],"")</f>
        <v/>
      </c>
      <c r="BK66" s="9">
        <f>IF(Tableau47[[#This Row],[INDEX]]&lt;3,"",IF(Tableau47[[#This Row],[COMMAND]]="","",SUMIFS(Tableau47[COMMENTAIRE],Tableau47[COMMENTAIRE],Tableau47[[#This Row],[COMMENTAIRE]])))</f>
        <v>0</v>
      </c>
      <c r="BL66" s="9" t="str">
        <f>IF(IFERROR(_xlfn.XLOOKUP(Tableau47[[#This Row],[COMMENTAIRE]],'[1]Tickets (2)'!$J$6:$J$805,'[1]Tickets (2)'!$J$6:$J$805),"")&lt;&gt;"",1,"")</f>
        <v/>
      </c>
      <c r="BM66" s="9">
        <f>IF(Tableau47[[#This Row],[INDEX]]&lt;3,"",IF(Tableau47[[#This Row],[COMMAND]]="","",IF('[1]Bar history'!$AA$33=1,1,"")))</f>
        <v>1</v>
      </c>
      <c r="BN66" s="9">
        <f>IFERROR(IFERROR(_xlfn.XLOOKUP(Tableau47[[#This Row],[COMMENTAIRE]],[1]!Tableau4849[IDENTITE],[1]!Tableau4849[0,5]),0),"")</f>
        <v>0</v>
      </c>
      <c r="BO66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6" s="9" t="str">
        <f>IF(IFERROR(_xlfn.XLOOKUP(Tableau47[[#This Row],[COMMENTAIRE]],'[1]Tickets (2)'!$J$6:$J$805,'[1]Tickets (2)'!$U$6:$U$805)," ")="","OK","")</f>
        <v/>
      </c>
      <c r="BQ66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66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6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6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6" s="9" t="str">
        <f>IF(IFERROR(_xlfn.XLOOKUP(Tableau47[[#This Row],[COMMENTAIRE]],'[1]Tickets (2)'!$J$6:$J$805,'[1]Tickets (2)'!$U$6:$U$805)," ")="","OK","")</f>
        <v/>
      </c>
      <c r="BV66" s="9" t="str">
        <f>IF(IFERROR(_xlfn.XLOOKUP(Tableau47[[#This Row],[COMMENTAIRE]],'[1]Tickets (2)'!$J$6:$J$805,'[1]Tickets (2)'!$V$6:$V$805)," ")="","OK","")</f>
        <v/>
      </c>
      <c r="BW66" s="9" t="e">
        <f>IF(Tableau47[[#This Row],[INDEX]]&lt;3,"",IF(Tableau47[[#This Row],[COMMAND]]="","",([1]FSI_TB!$F$12/10)*(Tableau47[[#This Row],[LOT]]/$BW$30)))</f>
        <v>#DIV/0!</v>
      </c>
      <c r="BX66" s="9" t="e">
        <f>IF(Tableau47[[#This Row],[INDEX]]&lt;3,"",IF(Tableau47[[#This Row],[COMMAND]]="","",-([1]FSI_TB!$D$12/10)*(Tableau47[[#This Row],[LOT]]/$BW$30)))</f>
        <v>#DIV/0!</v>
      </c>
      <c r="BY66" s="9" t="s">
        <v>97</v>
      </c>
      <c r="BZ66" s="9" t="str">
        <f>IF(AND(Tableau47[[#This Row],[CLOTURE]]="REPOSITIONNER"),"OK",IF(AND(Tableau47[[#This Row],[CLOTURE]]="GAGNANT"),"KO",IF(Tableau47[[#This Row],[NON]]="NON","NON","")))</f>
        <v>NON</v>
      </c>
      <c r="CA66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66" s="9" t="str">
        <f>IFERROR(_xlfn.XLOOKUP(Tableau47[[#This Row],[COMMENTAIRE]],'[1]Tickets (2)'!$J$6:$J$805,'[1]Tickets (2)'!$F$6:$F$805),"")</f>
        <v/>
      </c>
      <c r="CC66" s="9">
        <f>IF(Tableau47[[#This Row],[INDEX]]&lt;3,"",IF(Tableau47[[#This Row],[COMMAND]]="","",Tableau47[[#This Row],[LOT]]))</f>
        <v>3000</v>
      </c>
      <c r="CD66" s="9">
        <f>IF(Tableau47[[#This Row],[INDEX]]&lt;3,"",IF(Tableau47[[#This Row],[COMMAND]]="","",IFERROR(_xlfn.XLOOKUP(Tableau47[[#This Row],[COMMENTAIRE]],[1]!Tableau4849[IDENTITE],[1]!Tableau4849[0,5]),0)))</f>
        <v>0</v>
      </c>
      <c r="CE6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6" s="9" t="str" cm="1">
        <f t="array" ref="CG66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6" s="9"/>
      <c r="CI66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6" s="9"/>
      <c r="CK66" s="21"/>
      <c r="CL66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6" s="9"/>
      <c r="CN66" s="9" t="str">
        <f>IF(Tableau47[[#This Row],[INDEX]]&lt;3,"",IF(Tableau47[[#This Row],[COMMAND]]="","",IF(AND(Tableau47[[#This Row],[EN ATTENTES]]="NON",Tableau47[[#This Row],[EN COURS]]&lt;&gt;""),"OK","STOP")))</f>
        <v>STOP</v>
      </c>
      <c r="CO66" s="19">
        <f>Tableau47[[#This Row],[Cst TIME]]</f>
        <v>44923.379649305556</v>
      </c>
      <c r="CP66" s="9">
        <f>[1]analos!$Q$237</f>
        <v>926507</v>
      </c>
      <c r="CQ66" s="9" t="str">
        <f>[1]FSI_TB!$F$3</f>
        <v>EURUSD</v>
      </c>
      <c r="CR66" s="9" t="str">
        <f>Tableau47[[#This Row],[GO1]]</f>
        <v>BUY</v>
      </c>
      <c r="CS66" s="9" t="str">
        <f>Tableau47[[#This Row],[PRICE]]</f>
        <v>1.06505</v>
      </c>
      <c r="CT66" s="9">
        <f>Tableau47[[#This Row],[LOT]]</f>
        <v>3000</v>
      </c>
      <c r="CU66" s="9" t="str">
        <f>Tableau47[[#This Row],[COMMENTAIRE]]</f>
        <v>1 RBRB B 1.06355 M1M1</v>
      </c>
      <c r="CV66" s="9"/>
      <c r="CW66" s="9">
        <v>1</v>
      </c>
      <c r="CX66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6" s="9">
        <f t="shared" ca="1" si="0"/>
        <v>44929.316958449075</v>
      </c>
    </row>
    <row r="67" spans="3:103" ht="15.75" x14ac:dyDescent="0.25">
      <c r="C67" s="8"/>
      <c r="D67" s="9"/>
      <c r="L67" s="9">
        <v>35</v>
      </c>
      <c r="M67" s="9" t="s">
        <v>123</v>
      </c>
      <c r="N67" s="9" t="s">
        <v>21</v>
      </c>
      <c r="O67" s="8" t="s">
        <v>171</v>
      </c>
      <c r="P67" s="9" t="s">
        <v>0</v>
      </c>
      <c r="Q67" s="9">
        <v>4000</v>
      </c>
      <c r="R6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67" s="9" t="str">
        <f>IF(AND(ISNUMBER(SEARCH("BUY",Tableau47[[#This Row],[COMMAND]]))),"BUY",IF(AND(ISNUMBER(SEARCH("SELL",Tableau47[[#This Row],[COMMAND]]))),"SELL",""))</f>
        <v>BUY</v>
      </c>
      <c r="T67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67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67" s="9">
        <v>925832</v>
      </c>
      <c r="W67" s="22">
        <v>44923.379350810188</v>
      </c>
      <c r="X67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67" s="9">
        <f>IFERROR(VALUE(SUBSTITUTE(Tableau47[[#This Row],[PRICE]],".",",")),"")</f>
        <v>1.0650999999999999</v>
      </c>
      <c r="Z67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67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7" s="9" t="str">
        <f>IF(IFERROR(_xlfn.XLOOKUP(Tableau47[[#This Row],[COMMENTAIRE]],'[1]Tickets (2)'!$J$6:$J$805,'[1]Tickets (2)'!$J$6:$J$805),"")&lt;&gt;"",1,"")</f>
        <v/>
      </c>
      <c r="AC67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7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7" s="9" t="str">
        <f>IFERROR(_xlfn.XLOOKUP(Tableau47[[#This Row],[INDEX]],Tableau47[COMPTE],Tableau47[COMPTE]),"")</f>
        <v/>
      </c>
      <c r="AF67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7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7" s="17">
        <f>IF(Tableau47[[#This Row],[COMMAND]]="BUYSTOP",IFERROR(ABS(Tableau47[[#This Row],[GO7]]-'[1]Deal ticket'!$B$15),""),"")</f>
        <v>3.4000000000000696E-4</v>
      </c>
      <c r="AI67" s="9" t="str">
        <f>IF(Tableau47[[#This Row],[COMMAND]]="SELLSTOP",IFERROR(ABS(Tableau47[[#This Row],[GO7]]-'[1]Deal ticket'!$B$16),""),"")</f>
        <v/>
      </c>
      <c r="AJ67" s="9" t="str">
        <f>IF(IFERROR(_xlfn.XLOOKUP(Tableau47[[#This Row],[COMMENTAIRE]],'[1]Tickets (2)'!$J$6:$J$805,'[1]Tickets (2)'!$J$6:$J$805),"")&lt;&gt;"",1,"")</f>
        <v/>
      </c>
      <c r="AK67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7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7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7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1.0650999999999999</v>
      </c>
      <c r="AO67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7" s="9" t="s">
        <v>97</v>
      </c>
      <c r="AQ67" s="9" t="str">
        <f>IFERROR(_xlfn.XLOOKUP(Tableau47[[#This Row],[COMMENTAIRE]],'[1]Tickets (2)'!$J$6:$J$805,'[1]Tickets (2)'!$C$6:$C$805),"")</f>
        <v/>
      </c>
      <c r="AR67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67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7" s="9" t="str">
        <f>IF(Tableau47[[#This Row],[GOUBLOP]]=1,Tableau47[[#This Row],[COMMENTAIRE]],"")</f>
        <v/>
      </c>
      <c r="AU67" s="9"/>
      <c r="AV67" s="9" t="str">
        <f>IFERROR(IF(_xlfn.XLOOKUP(Tableau47[[#This Row],[GOUBLOP2]],[1]!Tableau4849[ATTEINT],[1]!Tableau4849[ATTEINT])&lt;&gt;"",1,""),"")</f>
        <v/>
      </c>
      <c r="AW67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7" s="9" t="str">
        <f>IF(Tableau47[[#This Row],[COMMAND]]="","",IF(Tableau47[[#This Row],[INDEX]]&lt;3,"",LEFT(Tableau47[[#This Row],[COMMENTAIRE]],LEN(Tableau47[[#This Row],[COMMENTAIRE]])-2)))</f>
        <v>1 RBRB B 1.06357 M1</v>
      </c>
      <c r="AY67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7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7" s="9">
        <f>IF(Tableau47[[#This Row],[INDEX]]&lt;3,"",IF(Tableau47[[#This Row],[COMMAND]]="","",IFERROR(Tableau47[[#This Row],[DIS_BUY]]*$AX$30,"")))</f>
        <v>0</v>
      </c>
      <c r="BB67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7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6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7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7" s="9">
        <f>IF(AND(Tableau47[[#This Row],[GO]]="GO",ISNUMBER(SEARCH("BUY",Tableau47[[#This Row],[COMMAND]]))),1,"")</f>
        <v>1</v>
      </c>
      <c r="BH67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7" s="9" t="str">
        <f>IF(OR(Tableau47[[#This Row],[GLOBAL BUY]]=1),Tableau47[[#This Row],[COMMENTAIRE]],"")</f>
        <v>1 RBRB B 1.06357 M1M1</v>
      </c>
      <c r="BJ67" s="9" t="str">
        <f>IF(OR(Tableau47[[#This Row],[GLOBAL SELL]]=1),Tableau47[[#This Row],[COMMENTAIRE]],"")</f>
        <v/>
      </c>
      <c r="BK67" s="9">
        <f>IF(Tableau47[[#This Row],[INDEX]]&lt;3,"",IF(Tableau47[[#This Row],[COMMAND]]="","",SUMIFS(Tableau47[COMMENTAIRE],Tableau47[COMMENTAIRE],Tableau47[[#This Row],[COMMENTAIRE]])))</f>
        <v>0</v>
      </c>
      <c r="BL67" s="9" t="str">
        <f>IF(IFERROR(_xlfn.XLOOKUP(Tableau47[[#This Row],[COMMENTAIRE]],'[1]Tickets (2)'!$J$6:$J$805,'[1]Tickets (2)'!$J$6:$J$805),"")&lt;&gt;"",1,"")</f>
        <v/>
      </c>
      <c r="BM67" s="9">
        <f>IF(Tableau47[[#This Row],[INDEX]]&lt;3,"",IF(Tableau47[[#This Row],[COMMAND]]="","",IF('[1]Bar history'!$AA$33=1,1,"")))</f>
        <v>1</v>
      </c>
      <c r="BN67" s="9">
        <f>IFERROR(IFERROR(_xlfn.XLOOKUP(Tableau47[[#This Row],[COMMENTAIRE]],[1]!Tableau4849[IDENTITE],[1]!Tableau4849[0,5]),0),"")</f>
        <v>0</v>
      </c>
      <c r="BO67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7" s="9" t="str">
        <f>IF(IFERROR(_xlfn.XLOOKUP(Tableau47[[#This Row],[COMMENTAIRE]],'[1]Tickets (2)'!$J$6:$J$805,'[1]Tickets (2)'!$U$6:$U$805)," ")="","OK","")</f>
        <v/>
      </c>
      <c r="BQ67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67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7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7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7" s="9" t="str">
        <f>IF(IFERROR(_xlfn.XLOOKUP(Tableau47[[#This Row],[COMMENTAIRE]],'[1]Tickets (2)'!$J$6:$J$805,'[1]Tickets (2)'!$U$6:$U$805)," ")="","OK","")</f>
        <v/>
      </c>
      <c r="BV67" s="9" t="str">
        <f>IF(IFERROR(_xlfn.XLOOKUP(Tableau47[[#This Row],[COMMENTAIRE]],'[1]Tickets (2)'!$J$6:$J$805,'[1]Tickets (2)'!$V$6:$V$805)," ")="","OK","")</f>
        <v/>
      </c>
      <c r="BW67" s="9" t="e">
        <f>IF(Tableau47[[#This Row],[INDEX]]&lt;3,"",IF(Tableau47[[#This Row],[COMMAND]]="","",([1]FSI_TB!$F$12/10)*(Tableau47[[#This Row],[LOT]]/$BW$30)))</f>
        <v>#DIV/0!</v>
      </c>
      <c r="BX67" s="9" t="e">
        <f>IF(Tableau47[[#This Row],[INDEX]]&lt;3,"",IF(Tableau47[[#This Row],[COMMAND]]="","",-([1]FSI_TB!$D$12/10)*(Tableau47[[#This Row],[LOT]]/$BW$30)))</f>
        <v>#DIV/0!</v>
      </c>
      <c r="BY67" s="9" t="s">
        <v>97</v>
      </c>
      <c r="BZ67" s="9" t="str">
        <f>IF(AND(Tableau47[[#This Row],[CLOTURE]]="REPOSITIONNER"),"OK",IF(AND(Tableau47[[#This Row],[CLOTURE]]="GAGNANT"),"KO",IF(Tableau47[[#This Row],[NON]]="NON","NON","")))</f>
        <v>NON</v>
      </c>
      <c r="CA67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67" s="9" t="str">
        <f>IFERROR(_xlfn.XLOOKUP(Tableau47[[#This Row],[COMMENTAIRE]],'[1]Tickets (2)'!$J$6:$J$805,'[1]Tickets (2)'!$F$6:$F$805),"")</f>
        <v/>
      </c>
      <c r="CC67" s="9">
        <f>IF(Tableau47[[#This Row],[INDEX]]&lt;3,"",IF(Tableau47[[#This Row],[COMMAND]]="","",Tableau47[[#This Row],[LOT]]))</f>
        <v>4000</v>
      </c>
      <c r="CD67" s="9">
        <f>IF(Tableau47[[#This Row],[INDEX]]&lt;3,"",IF(Tableau47[[#This Row],[COMMAND]]="","",IFERROR(_xlfn.XLOOKUP(Tableau47[[#This Row],[COMMENTAIRE]],[1]!Tableau4849[IDENTITE],[1]!Tableau4849[0,5]),0)))</f>
        <v>0</v>
      </c>
      <c r="CE6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7" s="9" t="str" cm="1">
        <f t="array" ref="CG67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7" s="9"/>
      <c r="CI67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7" s="9"/>
      <c r="CK67" s="21"/>
      <c r="CL67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7" s="9"/>
      <c r="CN67" s="9" t="str">
        <f>IF(Tableau47[[#This Row],[INDEX]]&lt;3,"",IF(Tableau47[[#This Row],[COMMAND]]="","",IF(AND(Tableau47[[#This Row],[EN ATTENTES]]="NON",Tableau47[[#This Row],[EN COURS]]&lt;&gt;""),"OK","STOP")))</f>
        <v>STOP</v>
      </c>
      <c r="CO67" s="19">
        <f>Tableau47[[#This Row],[Cst TIME]]</f>
        <v>44923.379350810188</v>
      </c>
      <c r="CP67" s="9">
        <f>[1]analos!$Q$237</f>
        <v>926507</v>
      </c>
      <c r="CQ67" s="9" t="str">
        <f>[1]FSI_TB!$F$3</f>
        <v>EURUSD</v>
      </c>
      <c r="CR67" s="9" t="str">
        <f>Tableau47[[#This Row],[GO1]]</f>
        <v>BUY</v>
      </c>
      <c r="CS67" s="9" t="str">
        <f>Tableau47[[#This Row],[PRICE]]</f>
        <v>1.0651</v>
      </c>
      <c r="CT67" s="9">
        <f>Tableau47[[#This Row],[LOT]]</f>
        <v>4000</v>
      </c>
      <c r="CU67" s="9" t="str">
        <f>Tableau47[[#This Row],[COMMENTAIRE]]</f>
        <v>1 RBRB B 1.06357 M1M1</v>
      </c>
      <c r="CV67" s="9"/>
      <c r="CW67" s="9">
        <v>1</v>
      </c>
      <c r="CX67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7" s="9">
        <f t="shared" ca="1" si="0"/>
        <v>44929.316958449075</v>
      </c>
    </row>
    <row r="68" spans="3:103" ht="15.75" x14ac:dyDescent="0.25">
      <c r="C68" s="8"/>
      <c r="D68" s="9"/>
      <c r="L68" s="9">
        <v>36</v>
      </c>
      <c r="M68" s="9" t="s">
        <v>123</v>
      </c>
      <c r="N68" s="9" t="s">
        <v>172</v>
      </c>
      <c r="O68" s="8" t="s">
        <v>173</v>
      </c>
      <c r="P68" s="9" t="s">
        <v>0</v>
      </c>
      <c r="Q68" s="9">
        <v>3000</v>
      </c>
      <c r="R6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68" s="9" t="str">
        <f>IF(AND(ISNUMBER(SEARCH("BUY",Tableau47[[#This Row],[COMMAND]]))),"BUY",IF(AND(ISNUMBER(SEARCH("SELL",Tableau47[[#This Row],[COMMAND]]))),"SELL",""))</f>
        <v>BUY</v>
      </c>
      <c r="T68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68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68" s="9">
        <v>925832</v>
      </c>
      <c r="W68" s="22">
        <v>44923.37874803241</v>
      </c>
      <c r="X68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68" s="9">
        <f>IFERROR(VALUE(SUBSTITUTE(Tableau47[[#This Row],[PRICE]],".",",")),"")</f>
        <v>1.0651299999999999</v>
      </c>
      <c r="Z68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68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8" s="9" t="str">
        <f>IF(IFERROR(_xlfn.XLOOKUP(Tableau47[[#This Row],[COMMENTAIRE]],'[1]Tickets (2)'!$J$6:$J$805,'[1]Tickets (2)'!$J$6:$J$805),"")&lt;&gt;"",1,"")</f>
        <v/>
      </c>
      <c r="AC68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8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8" s="9" t="str">
        <f>IFERROR(_xlfn.XLOOKUP(Tableau47[[#This Row],[INDEX]],Tableau47[COMPTE],Tableau47[COMPTE]),"")</f>
        <v/>
      </c>
      <c r="AF68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8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8" s="17">
        <f>IF(Tableau47[[#This Row],[COMMAND]]="BUYSTOP",IFERROR(ABS(Tableau47[[#This Row],[GO7]]-'[1]Deal ticket'!$B$15),""),"")</f>
        <v>3.1000000000003247E-4</v>
      </c>
      <c r="AI68" s="9" t="str">
        <f>IF(Tableau47[[#This Row],[COMMAND]]="SELLSTOP",IFERROR(ABS(Tableau47[[#This Row],[GO7]]-'[1]Deal ticket'!$B$16),""),"")</f>
        <v/>
      </c>
      <c r="AJ68" s="9" t="str">
        <f>IF(IFERROR(_xlfn.XLOOKUP(Tableau47[[#This Row],[COMMENTAIRE]],'[1]Tickets (2)'!$J$6:$J$805,'[1]Tickets (2)'!$J$6:$J$805),"")&lt;&gt;"",1,"")</f>
        <v/>
      </c>
      <c r="AK68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8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8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8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1.0651299999999999</v>
      </c>
      <c r="AO68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8" s="9" t="s">
        <v>97</v>
      </c>
      <c r="AQ68" s="9" t="str">
        <f>IFERROR(_xlfn.XLOOKUP(Tableau47[[#This Row],[COMMENTAIRE]],'[1]Tickets (2)'!$J$6:$J$805,'[1]Tickets (2)'!$C$6:$C$805),"")</f>
        <v/>
      </c>
      <c r="AR68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68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8" s="9" t="str">
        <f>IF(Tableau47[[#This Row],[GOUBLOP]]=1,Tableau47[[#This Row],[COMMENTAIRE]],"")</f>
        <v/>
      </c>
      <c r="AU68" s="9"/>
      <c r="AV68" s="9" t="str">
        <f>IFERROR(IF(_xlfn.XLOOKUP(Tableau47[[#This Row],[GOUBLOP2]],[1]!Tableau4849[ATTEINT],[1]!Tableau4849[ATTEINT])&lt;&gt;"",1,""),"")</f>
        <v/>
      </c>
      <c r="AW68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8" s="9" t="str">
        <f>IF(Tableau47[[#This Row],[COMMAND]]="","",IF(Tableau47[[#This Row],[INDEX]]&lt;3,"",LEFT(Tableau47[[#This Row],[COMMENTAIRE]],LEN(Tableau47[[#This Row],[COMMENTAIRE]])-2)))</f>
        <v>1 RBRB B 1.06363 M1</v>
      </c>
      <c r="AY68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8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8" s="9">
        <f>IF(Tableau47[[#This Row],[INDEX]]&lt;3,"",IF(Tableau47[[#This Row],[COMMAND]]="","",IFERROR(Tableau47[[#This Row],[DIS_BUY]]*$AX$30,"")))</f>
        <v>0</v>
      </c>
      <c r="BB68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8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6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8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8" s="9">
        <f>IF(AND(Tableau47[[#This Row],[GO]]="GO",ISNUMBER(SEARCH("BUY",Tableau47[[#This Row],[COMMAND]]))),1,"")</f>
        <v>1</v>
      </c>
      <c r="BH68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8" s="9" t="str">
        <f>IF(OR(Tableau47[[#This Row],[GLOBAL BUY]]=1),Tableau47[[#This Row],[COMMENTAIRE]],"")</f>
        <v>1 RBRB B 1.06363 M1M1</v>
      </c>
      <c r="BJ68" s="9" t="str">
        <f>IF(OR(Tableau47[[#This Row],[GLOBAL SELL]]=1),Tableau47[[#This Row],[COMMENTAIRE]],"")</f>
        <v/>
      </c>
      <c r="BK68" s="9">
        <f>IF(Tableau47[[#This Row],[INDEX]]&lt;3,"",IF(Tableau47[[#This Row],[COMMAND]]="","",SUMIFS(Tableau47[COMMENTAIRE],Tableau47[COMMENTAIRE],Tableau47[[#This Row],[COMMENTAIRE]])))</f>
        <v>0</v>
      </c>
      <c r="BL68" s="9" t="str">
        <f>IF(IFERROR(_xlfn.XLOOKUP(Tableau47[[#This Row],[COMMENTAIRE]],'[1]Tickets (2)'!$J$6:$J$805,'[1]Tickets (2)'!$J$6:$J$805),"")&lt;&gt;"",1,"")</f>
        <v/>
      </c>
      <c r="BM68" s="9">
        <f>IF(Tableau47[[#This Row],[INDEX]]&lt;3,"",IF(Tableau47[[#This Row],[COMMAND]]="","",IF('[1]Bar history'!$AA$33=1,1,"")))</f>
        <v>1</v>
      </c>
      <c r="BN68" s="9">
        <f>IFERROR(IFERROR(_xlfn.XLOOKUP(Tableau47[[#This Row],[COMMENTAIRE]],[1]!Tableau4849[IDENTITE],[1]!Tableau4849[0,5]),0),"")</f>
        <v>0</v>
      </c>
      <c r="BO68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8" s="9" t="str">
        <f>IF(IFERROR(_xlfn.XLOOKUP(Tableau47[[#This Row],[COMMENTAIRE]],'[1]Tickets (2)'!$J$6:$J$805,'[1]Tickets (2)'!$U$6:$U$805)," ")="","OK","")</f>
        <v/>
      </c>
      <c r="BQ68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68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8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8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8" s="9" t="str">
        <f>IF(IFERROR(_xlfn.XLOOKUP(Tableau47[[#This Row],[COMMENTAIRE]],'[1]Tickets (2)'!$J$6:$J$805,'[1]Tickets (2)'!$U$6:$U$805)," ")="","OK","")</f>
        <v/>
      </c>
      <c r="BV68" s="9" t="str">
        <f>IF(IFERROR(_xlfn.XLOOKUP(Tableau47[[#This Row],[COMMENTAIRE]],'[1]Tickets (2)'!$J$6:$J$805,'[1]Tickets (2)'!$V$6:$V$805)," ")="","OK","")</f>
        <v/>
      </c>
      <c r="BW68" s="9" t="e">
        <f>IF(Tableau47[[#This Row],[INDEX]]&lt;3,"",IF(Tableau47[[#This Row],[COMMAND]]="","",([1]FSI_TB!$F$12/10)*(Tableau47[[#This Row],[LOT]]/$BW$30)))</f>
        <v>#DIV/0!</v>
      </c>
      <c r="BX68" s="9" t="e">
        <f>IF(Tableau47[[#This Row],[INDEX]]&lt;3,"",IF(Tableau47[[#This Row],[COMMAND]]="","",-([1]FSI_TB!$D$12/10)*(Tableau47[[#This Row],[LOT]]/$BW$30)))</f>
        <v>#DIV/0!</v>
      </c>
      <c r="BY68" s="9" t="s">
        <v>97</v>
      </c>
      <c r="BZ68" s="9" t="str">
        <f>IF(AND(Tableau47[[#This Row],[CLOTURE]]="REPOSITIONNER"),"OK",IF(AND(Tableau47[[#This Row],[CLOTURE]]="GAGNANT"),"KO",IF(Tableau47[[#This Row],[NON]]="NON","NON","")))</f>
        <v>NON</v>
      </c>
      <c r="CA68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68" s="9" t="str">
        <f>IFERROR(_xlfn.XLOOKUP(Tableau47[[#This Row],[COMMENTAIRE]],'[1]Tickets (2)'!$J$6:$J$805,'[1]Tickets (2)'!$F$6:$F$805),"")</f>
        <v/>
      </c>
      <c r="CC68" s="9">
        <f>IF(Tableau47[[#This Row],[INDEX]]&lt;3,"",IF(Tableau47[[#This Row],[COMMAND]]="","",Tableau47[[#This Row],[LOT]]))</f>
        <v>3000</v>
      </c>
      <c r="CD68" s="9">
        <f>IF(Tableau47[[#This Row],[INDEX]]&lt;3,"",IF(Tableau47[[#This Row],[COMMAND]]="","",IFERROR(_xlfn.XLOOKUP(Tableau47[[#This Row],[COMMENTAIRE]],[1]!Tableau4849[IDENTITE],[1]!Tableau4849[0,5]),0)))</f>
        <v>0</v>
      </c>
      <c r="CE6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8" s="9" t="str" cm="1">
        <f t="array" ref="CG68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8" s="9"/>
      <c r="CI68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8" s="9"/>
      <c r="CK68" s="21"/>
      <c r="CL68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8" s="9"/>
      <c r="CN68" s="9" t="str">
        <f>IF(Tableau47[[#This Row],[INDEX]]&lt;3,"",IF(Tableau47[[#This Row],[COMMAND]]="","",IF(AND(Tableau47[[#This Row],[EN ATTENTES]]="NON",Tableau47[[#This Row],[EN COURS]]&lt;&gt;""),"OK","STOP")))</f>
        <v>STOP</v>
      </c>
      <c r="CO68" s="19">
        <f>Tableau47[[#This Row],[Cst TIME]]</f>
        <v>44923.37874803241</v>
      </c>
      <c r="CP68" s="9">
        <f>[1]analos!$Q$237</f>
        <v>926507</v>
      </c>
      <c r="CQ68" s="9" t="str">
        <f>[1]FSI_TB!$F$3</f>
        <v>EURUSD</v>
      </c>
      <c r="CR68" s="9" t="str">
        <f>Tableau47[[#This Row],[GO1]]</f>
        <v>BUY</v>
      </c>
      <c r="CS68" s="9" t="str">
        <f>Tableau47[[#This Row],[PRICE]]</f>
        <v>1.06513</v>
      </c>
      <c r="CT68" s="9">
        <f>Tableau47[[#This Row],[LOT]]</f>
        <v>3000</v>
      </c>
      <c r="CU68" s="9" t="str">
        <f>Tableau47[[#This Row],[COMMENTAIRE]]</f>
        <v>1 RBRB B 1.06363 M1M1</v>
      </c>
      <c r="CV68" s="9"/>
      <c r="CW68" s="9">
        <v>1</v>
      </c>
      <c r="CX68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8" s="9">
        <f t="shared" ca="1" si="0"/>
        <v>44929.316958449075</v>
      </c>
    </row>
    <row r="69" spans="3:103" ht="15.75" x14ac:dyDescent="0.25">
      <c r="C69" s="8"/>
      <c r="D69" s="9"/>
      <c r="L69" s="9">
        <v>37</v>
      </c>
      <c r="M69" s="9" t="s">
        <v>123</v>
      </c>
      <c r="N69" s="9" t="s">
        <v>174</v>
      </c>
      <c r="O69" s="8" t="s">
        <v>175</v>
      </c>
      <c r="P69" s="9" t="s">
        <v>0</v>
      </c>
      <c r="Q69" s="9">
        <v>13000</v>
      </c>
      <c r="R6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69" s="9" t="str">
        <f>IF(AND(ISNUMBER(SEARCH("BUY",Tableau47[[#This Row],[COMMAND]]))),"BUY",IF(AND(ISNUMBER(SEARCH("SELL",Tableau47[[#This Row],[COMMAND]]))),"SELL",""))</f>
        <v>BUY</v>
      </c>
      <c r="T69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69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69" s="9">
        <v>925832</v>
      </c>
      <c r="W69" s="22">
        <v>44923.377844097224</v>
      </c>
      <c r="X69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69" s="9">
        <f>IFERROR(VALUE(SUBSTITUTE(Tableau47[[#This Row],[PRICE]],".",",")),"")</f>
        <v>1.0653699999999999</v>
      </c>
      <c r="Z69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69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69" s="9" t="str">
        <f>IF(IFERROR(_xlfn.XLOOKUP(Tableau47[[#This Row],[COMMENTAIRE]],'[1]Tickets (2)'!$J$6:$J$805,'[1]Tickets (2)'!$J$6:$J$805),"")&lt;&gt;"",1,"")</f>
        <v/>
      </c>
      <c r="AC69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69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69" s="9" t="str">
        <f>IFERROR(_xlfn.XLOOKUP(Tableau47[[#This Row],[INDEX]],Tableau47[COMPTE],Tableau47[COMPTE]),"")</f>
        <v/>
      </c>
      <c r="AF69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69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69" s="17">
        <f>IF(Tableau47[[#This Row],[COMMAND]]="BUYSTOP",IFERROR(ABS(Tableau47[[#This Row],[GO7]]-'[1]Deal ticket'!$B$15),""),"")</f>
        <v>7.0000000000014495E-5</v>
      </c>
      <c r="AI69" s="9" t="str">
        <f>IF(Tableau47[[#This Row],[COMMAND]]="SELLSTOP",IFERROR(ABS(Tableau47[[#This Row],[GO7]]-'[1]Deal ticket'!$B$16),""),"")</f>
        <v/>
      </c>
      <c r="AJ69" s="9" t="str">
        <f>IF(IFERROR(_xlfn.XLOOKUP(Tableau47[[#This Row],[COMMENTAIRE]],'[1]Tickets (2)'!$J$6:$J$805,'[1]Tickets (2)'!$J$6:$J$805),"")&lt;&gt;"",1,"")</f>
        <v/>
      </c>
      <c r="AK69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69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69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69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1.0653699999999999</v>
      </c>
      <c r="AO69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69" s="9" t="s">
        <v>97</v>
      </c>
      <c r="AQ69" s="9" t="str">
        <f>IFERROR(_xlfn.XLOOKUP(Tableau47[[#This Row],[COMMENTAIRE]],'[1]Tickets (2)'!$J$6:$J$805,'[1]Tickets (2)'!$C$6:$C$805),"")</f>
        <v/>
      </c>
      <c r="AR69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69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69" s="9" t="str">
        <f>IF(Tableau47[[#This Row],[GOUBLOP]]=1,Tableau47[[#This Row],[COMMENTAIRE]],"")</f>
        <v/>
      </c>
      <c r="AU69" s="9"/>
      <c r="AV69" s="9" t="str">
        <f>IFERROR(IF(_xlfn.XLOOKUP(Tableau47[[#This Row],[GOUBLOP2]],[1]!Tableau4849[ATTEINT],[1]!Tableau4849[ATTEINT])&lt;&gt;"",1,""),"")</f>
        <v/>
      </c>
      <c r="AW69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69" s="9" t="str">
        <f>IF(Tableau47[[#This Row],[COMMAND]]="","",IF(Tableau47[[#This Row],[INDEX]]&lt;3,"",LEFT(Tableau47[[#This Row],[COMMENTAIRE]],LEN(Tableau47[[#This Row],[COMMENTAIRE]])-2)))</f>
        <v>1 RBRB B 1.20231 M1</v>
      </c>
      <c r="AY69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69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69" s="9">
        <f>IF(Tableau47[[#This Row],[INDEX]]&lt;3,"",IF(Tableau47[[#This Row],[COMMAND]]="","",IFERROR(Tableau47[[#This Row],[DIS_BUY]]*$AX$30,"")))</f>
        <v>0</v>
      </c>
      <c r="BB69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69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6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69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6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69" s="9">
        <f>IF(AND(Tableau47[[#This Row],[GO]]="GO",ISNUMBER(SEARCH("BUY",Tableau47[[#This Row],[COMMAND]]))),1,"")</f>
        <v>1</v>
      </c>
      <c r="BH69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69" s="9" t="str">
        <f>IF(OR(Tableau47[[#This Row],[GLOBAL BUY]]=1),Tableau47[[#This Row],[COMMENTAIRE]],"")</f>
        <v>1 RBRB B 1.20231 M1M1</v>
      </c>
      <c r="BJ69" s="9" t="str">
        <f>IF(OR(Tableau47[[#This Row],[GLOBAL SELL]]=1),Tableau47[[#This Row],[COMMENTAIRE]],"")</f>
        <v/>
      </c>
      <c r="BK69" s="9">
        <f>IF(Tableau47[[#This Row],[INDEX]]&lt;3,"",IF(Tableau47[[#This Row],[COMMAND]]="","",SUMIFS(Tableau47[COMMENTAIRE],Tableau47[COMMENTAIRE],Tableau47[[#This Row],[COMMENTAIRE]])))</f>
        <v>0</v>
      </c>
      <c r="BL69" s="9" t="str">
        <f>IF(IFERROR(_xlfn.XLOOKUP(Tableau47[[#This Row],[COMMENTAIRE]],'[1]Tickets (2)'!$J$6:$J$805,'[1]Tickets (2)'!$J$6:$J$805),"")&lt;&gt;"",1,"")</f>
        <v/>
      </c>
      <c r="BM69" s="9">
        <f>IF(Tableau47[[#This Row],[INDEX]]&lt;3,"",IF(Tableau47[[#This Row],[COMMAND]]="","",IF('[1]Bar history'!$AA$33=1,1,"")))</f>
        <v>1</v>
      </c>
      <c r="BN69" s="9">
        <f>IFERROR(IFERROR(_xlfn.XLOOKUP(Tableau47[[#This Row],[COMMENTAIRE]],[1]!Tableau4849[IDENTITE],[1]!Tableau4849[0,5]),0),"")</f>
        <v>0</v>
      </c>
      <c r="BO69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69" s="9" t="str">
        <f>IF(IFERROR(_xlfn.XLOOKUP(Tableau47[[#This Row],[COMMENTAIRE]],'[1]Tickets (2)'!$J$6:$J$805,'[1]Tickets (2)'!$U$6:$U$805)," ")="","OK","")</f>
        <v/>
      </c>
      <c r="BQ69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69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69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69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69" s="9" t="str">
        <f>IF(IFERROR(_xlfn.XLOOKUP(Tableau47[[#This Row],[COMMENTAIRE]],'[1]Tickets (2)'!$J$6:$J$805,'[1]Tickets (2)'!$U$6:$U$805)," ")="","OK","")</f>
        <v/>
      </c>
      <c r="BV69" s="9" t="str">
        <f>IF(IFERROR(_xlfn.XLOOKUP(Tableau47[[#This Row],[COMMENTAIRE]],'[1]Tickets (2)'!$J$6:$J$805,'[1]Tickets (2)'!$V$6:$V$805)," ")="","OK","")</f>
        <v/>
      </c>
      <c r="BW69" s="9" t="e">
        <f>IF(Tableau47[[#This Row],[INDEX]]&lt;3,"",IF(Tableau47[[#This Row],[COMMAND]]="","",([1]FSI_TB!$F$12/10)*(Tableau47[[#This Row],[LOT]]/$BW$30)))</f>
        <v>#DIV/0!</v>
      </c>
      <c r="BX69" s="9" t="e">
        <f>IF(Tableau47[[#This Row],[INDEX]]&lt;3,"",IF(Tableau47[[#This Row],[COMMAND]]="","",-([1]FSI_TB!$D$12/10)*(Tableau47[[#This Row],[LOT]]/$BW$30)))</f>
        <v>#DIV/0!</v>
      </c>
      <c r="BY69" s="9" t="s">
        <v>97</v>
      </c>
      <c r="BZ69" s="9" t="str">
        <f>IF(AND(Tableau47[[#This Row],[CLOTURE]]="REPOSITIONNER"),"OK",IF(AND(Tableau47[[#This Row],[CLOTURE]]="GAGNANT"),"KO",IF(Tableau47[[#This Row],[NON]]="NON","NON","")))</f>
        <v>NON</v>
      </c>
      <c r="CA69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13000</v>
      </c>
      <c r="CB69" s="9" t="str">
        <f>IFERROR(_xlfn.XLOOKUP(Tableau47[[#This Row],[COMMENTAIRE]],'[1]Tickets (2)'!$J$6:$J$805,'[1]Tickets (2)'!$F$6:$F$805),"")</f>
        <v/>
      </c>
      <c r="CC69" s="9">
        <f>IF(Tableau47[[#This Row],[INDEX]]&lt;3,"",IF(Tableau47[[#This Row],[COMMAND]]="","",Tableau47[[#This Row],[LOT]]))</f>
        <v>13000</v>
      </c>
      <c r="CD69" s="9">
        <f>IF(Tableau47[[#This Row],[INDEX]]&lt;3,"",IF(Tableau47[[#This Row],[COMMAND]]="","",IFERROR(_xlfn.XLOOKUP(Tableau47[[#This Row],[COMMENTAIRE]],[1]!Tableau4849[IDENTITE],[1]!Tableau4849[0,5]),0)))</f>
        <v>0</v>
      </c>
      <c r="CE6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6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69" s="9" t="str" cm="1">
        <f t="array" ref="CG69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69" s="9"/>
      <c r="CI69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69" s="9"/>
      <c r="CK69" s="21"/>
      <c r="CL69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69" s="9"/>
      <c r="CN69" s="9" t="str">
        <f>IF(Tableau47[[#This Row],[INDEX]]&lt;3,"",IF(Tableau47[[#This Row],[COMMAND]]="","",IF(AND(Tableau47[[#This Row],[EN ATTENTES]]="NON",Tableau47[[#This Row],[EN COURS]]&lt;&gt;""),"OK","STOP")))</f>
        <v>STOP</v>
      </c>
      <c r="CO69" s="19">
        <f>Tableau47[[#This Row],[Cst TIME]]</f>
        <v>44923.377844097224</v>
      </c>
      <c r="CP69" s="9">
        <f>[1]analos!$Q$237</f>
        <v>926507</v>
      </c>
      <c r="CQ69" s="9" t="str">
        <f>[1]FSI_TB!$F$3</f>
        <v>EURUSD</v>
      </c>
      <c r="CR69" s="9" t="str">
        <f>Tableau47[[#This Row],[GO1]]</f>
        <v>BUY</v>
      </c>
      <c r="CS69" s="9" t="str">
        <f>Tableau47[[#This Row],[PRICE]]</f>
        <v>1.06537</v>
      </c>
      <c r="CT69" s="9">
        <f>Tableau47[[#This Row],[LOT]]</f>
        <v>13000</v>
      </c>
      <c r="CU69" s="9" t="str">
        <f>Tableau47[[#This Row],[COMMENTAIRE]]</f>
        <v>1 RBRB B 1.20231 M1M1</v>
      </c>
      <c r="CV69" s="9"/>
      <c r="CW69" s="9">
        <v>1</v>
      </c>
      <c r="CX69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69" s="9">
        <f t="shared" ca="1" si="0"/>
        <v>44929.316958449075</v>
      </c>
    </row>
    <row r="70" spans="3:103" ht="15.75" x14ac:dyDescent="0.25">
      <c r="C70" s="8"/>
      <c r="D70" s="9"/>
      <c r="L70" s="9">
        <v>38</v>
      </c>
      <c r="M70" s="9" t="s">
        <v>123</v>
      </c>
      <c r="N70" s="9" t="s">
        <v>26</v>
      </c>
      <c r="O70" s="8" t="s">
        <v>176</v>
      </c>
      <c r="P70" s="9" t="s">
        <v>0</v>
      </c>
      <c r="Q70" s="9">
        <v>9000</v>
      </c>
      <c r="R7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70" s="9" t="str">
        <f>IF(AND(ISNUMBER(SEARCH("BUY",Tableau47[[#This Row],[COMMAND]]))),"BUY",IF(AND(ISNUMBER(SEARCH("SELL",Tableau47[[#This Row],[COMMAND]]))),"SELL",""))</f>
        <v>BUY</v>
      </c>
      <c r="T70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70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70" s="9">
        <v>925832</v>
      </c>
      <c r="W70" s="22">
        <v>44923.371706481485</v>
      </c>
      <c r="X70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70" s="9">
        <f>IFERROR(VALUE(SUBSTITUTE(Tableau47[[#This Row],[PRICE]],".",",")),"")</f>
        <v>1.0653900000000001</v>
      </c>
      <c r="Z70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70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0" s="9" t="str">
        <f>IF(IFERROR(_xlfn.XLOOKUP(Tableau47[[#This Row],[COMMENTAIRE]],'[1]Tickets (2)'!$J$6:$J$805,'[1]Tickets (2)'!$J$6:$J$805),"")&lt;&gt;"",1,"")</f>
        <v/>
      </c>
      <c r="AC70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0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0" s="9" t="str">
        <f>IFERROR(_xlfn.XLOOKUP(Tableau47[[#This Row],[INDEX]],Tableau47[COMPTE],Tableau47[COMPTE]),"")</f>
        <v/>
      </c>
      <c r="AF70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0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0" s="17">
        <f>IF(Tableau47[[#This Row],[COMMAND]]="BUYSTOP",IFERROR(ABS(Tableau47[[#This Row],[GO7]]-'[1]Deal ticket'!$B$15),""),"")</f>
        <v>4.9999999999883471E-5</v>
      </c>
      <c r="AI70" s="9" t="str">
        <f>IF(Tableau47[[#This Row],[COMMAND]]="SELLSTOP",IFERROR(ABS(Tableau47[[#This Row],[GO7]]-'[1]Deal ticket'!$B$16),""),"")</f>
        <v/>
      </c>
      <c r="AJ70" s="9" t="str">
        <f>IF(IFERROR(_xlfn.XLOOKUP(Tableau47[[#This Row],[COMMENTAIRE]],'[1]Tickets (2)'!$J$6:$J$805,'[1]Tickets (2)'!$J$6:$J$805),"")&lt;&gt;"",1,"")</f>
        <v/>
      </c>
      <c r="AK70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0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0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0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1.0653900000000001</v>
      </c>
      <c r="AO70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0" s="9" t="s">
        <v>97</v>
      </c>
      <c r="AQ70" s="9" t="str">
        <f>IFERROR(_xlfn.XLOOKUP(Tableau47[[#This Row],[COMMENTAIRE]],'[1]Tickets (2)'!$J$6:$J$805,'[1]Tickets (2)'!$C$6:$C$805),"")</f>
        <v/>
      </c>
      <c r="AR70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0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0" s="9" t="str">
        <f>IF(Tableau47[[#This Row],[GOUBLOP]]=1,Tableau47[[#This Row],[COMMENTAIRE]],"")</f>
        <v/>
      </c>
      <c r="AU70" s="9"/>
      <c r="AV70" s="9" t="str">
        <f>IFERROR(IF(_xlfn.XLOOKUP(Tableau47[[#This Row],[GOUBLOP2]],[1]!Tableau4849[ATTEINT],[1]!Tableau4849[ATTEINT])&lt;&gt;"",1,""),"")</f>
        <v/>
      </c>
      <c r="AW70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0" s="9" t="str">
        <f>IF(Tableau47[[#This Row],[COMMAND]]="","",IF(Tableau47[[#This Row],[INDEX]]&lt;3,"",LEFT(Tableau47[[#This Row],[COMMENTAIRE]],LEN(Tableau47[[#This Row],[COMMENTAIRE]])-2)))</f>
        <v>1 RBRB B 1.2022 M1</v>
      </c>
      <c r="AY70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0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0" s="9">
        <f>IF(Tableau47[[#This Row],[INDEX]]&lt;3,"",IF(Tableau47[[#This Row],[COMMAND]]="","",IFERROR(Tableau47[[#This Row],[DIS_BUY]]*$AX$30,"")))</f>
        <v>0</v>
      </c>
      <c r="BB70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0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0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0" s="9">
        <f>IF(AND(Tableau47[[#This Row],[GO]]="GO",ISNUMBER(SEARCH("BUY",Tableau47[[#This Row],[COMMAND]]))),1,"")</f>
        <v>1</v>
      </c>
      <c r="BH70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0" s="9" t="str">
        <f>IF(OR(Tableau47[[#This Row],[GLOBAL BUY]]=1),Tableau47[[#This Row],[COMMENTAIRE]],"")</f>
        <v>1 RBRB B 1.2022 M1M1</v>
      </c>
      <c r="BJ70" s="9" t="str">
        <f>IF(OR(Tableau47[[#This Row],[GLOBAL SELL]]=1),Tableau47[[#This Row],[COMMENTAIRE]],"")</f>
        <v/>
      </c>
      <c r="BK70" s="9">
        <f>IF(Tableau47[[#This Row],[INDEX]]&lt;3,"",IF(Tableau47[[#This Row],[COMMAND]]="","",SUMIFS(Tableau47[COMMENTAIRE],Tableau47[COMMENTAIRE],Tableau47[[#This Row],[COMMENTAIRE]])))</f>
        <v>0</v>
      </c>
      <c r="BL70" s="9" t="str">
        <f>IF(IFERROR(_xlfn.XLOOKUP(Tableau47[[#This Row],[COMMENTAIRE]],'[1]Tickets (2)'!$J$6:$J$805,'[1]Tickets (2)'!$J$6:$J$805),"")&lt;&gt;"",1,"")</f>
        <v/>
      </c>
      <c r="BM70" s="9">
        <f>IF(Tableau47[[#This Row],[INDEX]]&lt;3,"",IF(Tableau47[[#This Row],[COMMAND]]="","",IF('[1]Bar history'!$AA$33=1,1,"")))</f>
        <v>1</v>
      </c>
      <c r="BN70" s="9">
        <f>IFERROR(IFERROR(_xlfn.XLOOKUP(Tableau47[[#This Row],[COMMENTAIRE]],[1]!Tableau4849[IDENTITE],[1]!Tableau4849[0,5]),0),"")</f>
        <v>0</v>
      </c>
      <c r="BO70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0" s="9" t="str">
        <f>IF(IFERROR(_xlfn.XLOOKUP(Tableau47[[#This Row],[COMMENTAIRE]],'[1]Tickets (2)'!$J$6:$J$805,'[1]Tickets (2)'!$U$6:$U$805)," ")="","OK","")</f>
        <v/>
      </c>
      <c r="BQ70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0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0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0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0" s="9" t="str">
        <f>IF(IFERROR(_xlfn.XLOOKUP(Tableau47[[#This Row],[COMMENTAIRE]],'[1]Tickets (2)'!$J$6:$J$805,'[1]Tickets (2)'!$U$6:$U$805)," ")="","OK","")</f>
        <v/>
      </c>
      <c r="BV70" s="9" t="str">
        <f>IF(IFERROR(_xlfn.XLOOKUP(Tableau47[[#This Row],[COMMENTAIRE]],'[1]Tickets (2)'!$J$6:$J$805,'[1]Tickets (2)'!$V$6:$V$805)," ")="","OK","")</f>
        <v/>
      </c>
      <c r="BW70" s="9" t="e">
        <f>IF(Tableau47[[#This Row],[INDEX]]&lt;3,"",IF(Tableau47[[#This Row],[COMMAND]]="","",([1]FSI_TB!$F$12/10)*(Tableau47[[#This Row],[LOT]]/$BW$30)))</f>
        <v>#DIV/0!</v>
      </c>
      <c r="BX70" s="9" t="e">
        <f>IF(Tableau47[[#This Row],[INDEX]]&lt;3,"",IF(Tableau47[[#This Row],[COMMAND]]="","",-([1]FSI_TB!$D$12/10)*(Tableau47[[#This Row],[LOT]]/$BW$30)))</f>
        <v>#DIV/0!</v>
      </c>
      <c r="BY70" s="9" t="s">
        <v>97</v>
      </c>
      <c r="BZ70" s="9" t="str">
        <f>IF(AND(Tableau47[[#This Row],[CLOTURE]]="REPOSITIONNER"),"OK",IF(AND(Tableau47[[#This Row],[CLOTURE]]="GAGNANT"),"KO",IF(Tableau47[[#This Row],[NON]]="NON","NON","")))</f>
        <v>NON</v>
      </c>
      <c r="CA70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9000</v>
      </c>
      <c r="CB70" s="9" t="str">
        <f>IFERROR(_xlfn.XLOOKUP(Tableau47[[#This Row],[COMMENTAIRE]],'[1]Tickets (2)'!$J$6:$J$805,'[1]Tickets (2)'!$F$6:$F$805),"")</f>
        <v/>
      </c>
      <c r="CC70" s="9">
        <f>IF(Tableau47[[#This Row],[INDEX]]&lt;3,"",IF(Tableau47[[#This Row],[COMMAND]]="","",Tableau47[[#This Row],[LOT]]))</f>
        <v>9000</v>
      </c>
      <c r="CD70" s="9">
        <f>IF(Tableau47[[#This Row],[INDEX]]&lt;3,"",IF(Tableau47[[#This Row],[COMMAND]]="","",IFERROR(_xlfn.XLOOKUP(Tableau47[[#This Row],[COMMENTAIRE]],[1]!Tableau4849[IDENTITE],[1]!Tableau4849[0,5]),0)))</f>
        <v>0</v>
      </c>
      <c r="CE7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0" s="9" t="str" cm="1">
        <f t="array" ref="CG70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0" s="9"/>
      <c r="CI70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0" s="9"/>
      <c r="CK70" s="21"/>
      <c r="CL70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0" s="9"/>
      <c r="CN70" s="9" t="str">
        <f>IF(Tableau47[[#This Row],[INDEX]]&lt;3,"",IF(Tableau47[[#This Row],[COMMAND]]="","",IF(AND(Tableau47[[#This Row],[EN ATTENTES]]="NON",Tableau47[[#This Row],[EN COURS]]&lt;&gt;""),"OK","STOP")))</f>
        <v>STOP</v>
      </c>
      <c r="CO70" s="19">
        <f>Tableau47[[#This Row],[Cst TIME]]</f>
        <v>44923.371706481485</v>
      </c>
      <c r="CP70" s="9">
        <f>[1]analos!$Q$237</f>
        <v>926507</v>
      </c>
      <c r="CQ70" s="9" t="str">
        <f>[1]FSI_TB!$F$3</f>
        <v>EURUSD</v>
      </c>
      <c r="CR70" s="9" t="str">
        <f>Tableau47[[#This Row],[GO1]]</f>
        <v>BUY</v>
      </c>
      <c r="CS70" s="9" t="str">
        <f>Tableau47[[#This Row],[PRICE]]</f>
        <v>1.06539</v>
      </c>
      <c r="CT70" s="9">
        <f>Tableau47[[#This Row],[LOT]]</f>
        <v>9000</v>
      </c>
      <c r="CU70" s="9" t="str">
        <f>Tableau47[[#This Row],[COMMENTAIRE]]</f>
        <v>1 RBRB B 1.2022 M1M1</v>
      </c>
      <c r="CV70" s="9"/>
      <c r="CW70" s="9">
        <v>1</v>
      </c>
      <c r="CX70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0" s="9">
        <f t="shared" ca="1" si="0"/>
        <v>44929.316958449075</v>
      </c>
    </row>
    <row r="71" spans="3:103" ht="15.75" x14ac:dyDescent="0.25">
      <c r="C71" s="8"/>
      <c r="D71" s="9"/>
      <c r="L71" s="9">
        <v>39</v>
      </c>
      <c r="M71" s="9" t="s">
        <v>123</v>
      </c>
      <c r="N71" s="9" t="s">
        <v>177</v>
      </c>
      <c r="O71" s="8" t="s">
        <v>6</v>
      </c>
      <c r="P71" s="9" t="s">
        <v>0</v>
      </c>
      <c r="Q71" s="9">
        <v>3000</v>
      </c>
      <c r="R7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71" s="9" t="str">
        <f>IF(AND(ISNUMBER(SEARCH("BUY",Tableau47[[#This Row],[COMMAND]]))),"BUY",IF(AND(ISNUMBER(SEARCH("SELL",Tableau47[[#This Row],[COMMAND]]))),"SELL",""))</f>
        <v>BUY</v>
      </c>
      <c r="T71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71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71" s="9">
        <v>925832</v>
      </c>
      <c r="W71" s="22">
        <v>44923.37135173611</v>
      </c>
      <c r="X71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71" s="9">
        <f>IFERROR(VALUE(SUBSTITUTE(Tableau47[[#This Row],[PRICE]],".",",")),"")</f>
        <v>1.06542</v>
      </c>
      <c r="Z71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71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1" s="9" t="str">
        <f>IF(IFERROR(_xlfn.XLOOKUP(Tableau47[[#This Row],[COMMENTAIRE]],'[1]Tickets (2)'!$J$6:$J$805,'[1]Tickets (2)'!$J$6:$J$805),"")&lt;&gt;"",1,"")</f>
        <v/>
      </c>
      <c r="AC71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1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1" s="9" t="str">
        <f>IFERROR(_xlfn.XLOOKUP(Tableau47[[#This Row],[INDEX]],Tableau47[COMPTE],Tableau47[COMPTE]),"")</f>
        <v/>
      </c>
      <c r="AF71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1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1" s="17">
        <f>IF(Tableau47[[#This Row],[COMMAND]]="BUYSTOP",IFERROR(ABS(Tableau47[[#This Row],[GO7]]-'[1]Deal ticket'!$B$15),""),"")</f>
        <v>1.9999999999908979E-5</v>
      </c>
      <c r="AI71" s="9" t="str">
        <f>IF(Tableau47[[#This Row],[COMMAND]]="SELLSTOP",IFERROR(ABS(Tableau47[[#This Row],[GO7]]-'[1]Deal ticket'!$B$16),""),"")</f>
        <v/>
      </c>
      <c r="AJ71" s="9" t="str">
        <f>IF(IFERROR(_xlfn.XLOOKUP(Tableau47[[#This Row],[COMMENTAIRE]],'[1]Tickets (2)'!$J$6:$J$805,'[1]Tickets (2)'!$J$6:$J$805),"")&lt;&gt;"",1,"")</f>
        <v/>
      </c>
      <c r="AK71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1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1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1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1.06542</v>
      </c>
      <c r="AO71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1" s="9" t="s">
        <v>97</v>
      </c>
      <c r="AQ71" s="9" t="str">
        <f>IFERROR(_xlfn.XLOOKUP(Tableau47[[#This Row],[COMMENTAIRE]],'[1]Tickets (2)'!$J$6:$J$805,'[1]Tickets (2)'!$C$6:$C$805),"")</f>
        <v/>
      </c>
      <c r="AR71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1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1" s="9" t="str">
        <f>IF(Tableau47[[#This Row],[GOUBLOP]]=1,Tableau47[[#This Row],[COMMENTAIRE]],"")</f>
        <v/>
      </c>
      <c r="AU71" s="9"/>
      <c r="AV71" s="9" t="str">
        <f>IFERROR(IF(_xlfn.XLOOKUP(Tableau47[[#This Row],[GOUBLOP2]],[1]!Tableau4849[ATTEINT],[1]!Tableau4849[ATTEINT])&lt;&gt;"",1,""),"")</f>
        <v/>
      </c>
      <c r="AW71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1" s="9" t="str">
        <f>IF(Tableau47[[#This Row],[COMMAND]]="","",IF(Tableau47[[#This Row],[INDEX]]&lt;3,"",LEFT(Tableau47[[#This Row],[COMMENTAIRE]],LEN(Tableau47[[#This Row],[COMMENTAIRE]])-2)))</f>
        <v>1 RBRB B 1.06393 M1</v>
      </c>
      <c r="AY71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1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1" s="9">
        <f>IF(Tableau47[[#This Row],[INDEX]]&lt;3,"",IF(Tableau47[[#This Row],[COMMAND]]="","",IFERROR(Tableau47[[#This Row],[DIS_BUY]]*$AX$30,"")))</f>
        <v>0</v>
      </c>
      <c r="BB71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1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1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1" s="9">
        <f>IF(AND(Tableau47[[#This Row],[GO]]="GO",ISNUMBER(SEARCH("BUY",Tableau47[[#This Row],[COMMAND]]))),1,"")</f>
        <v>1</v>
      </c>
      <c r="BH71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1" s="9" t="str">
        <f>IF(OR(Tableau47[[#This Row],[GLOBAL BUY]]=1),Tableau47[[#This Row],[COMMENTAIRE]],"")</f>
        <v>1 RBRB B 1.06393 M1M1</v>
      </c>
      <c r="BJ71" s="9" t="str">
        <f>IF(OR(Tableau47[[#This Row],[GLOBAL SELL]]=1),Tableau47[[#This Row],[COMMENTAIRE]],"")</f>
        <v/>
      </c>
      <c r="BK71" s="9">
        <f>IF(Tableau47[[#This Row],[INDEX]]&lt;3,"",IF(Tableau47[[#This Row],[COMMAND]]="","",SUMIFS(Tableau47[COMMENTAIRE],Tableau47[COMMENTAIRE],Tableau47[[#This Row],[COMMENTAIRE]])))</f>
        <v>0</v>
      </c>
      <c r="BL71" s="9" t="str">
        <f>IF(IFERROR(_xlfn.XLOOKUP(Tableau47[[#This Row],[COMMENTAIRE]],'[1]Tickets (2)'!$J$6:$J$805,'[1]Tickets (2)'!$J$6:$J$805),"")&lt;&gt;"",1,"")</f>
        <v/>
      </c>
      <c r="BM71" s="9">
        <f>IF(Tableau47[[#This Row],[INDEX]]&lt;3,"",IF(Tableau47[[#This Row],[COMMAND]]="","",IF('[1]Bar history'!$AA$33=1,1,"")))</f>
        <v>1</v>
      </c>
      <c r="BN71" s="9">
        <f>IFERROR(IFERROR(_xlfn.XLOOKUP(Tableau47[[#This Row],[COMMENTAIRE]],[1]!Tableau4849[IDENTITE],[1]!Tableau4849[0,5]),0),"")</f>
        <v>0</v>
      </c>
      <c r="BO71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1" s="9" t="str">
        <f>IF(IFERROR(_xlfn.XLOOKUP(Tableau47[[#This Row],[COMMENTAIRE]],'[1]Tickets (2)'!$J$6:$J$805,'[1]Tickets (2)'!$U$6:$U$805)," ")="","OK","")</f>
        <v/>
      </c>
      <c r="BQ71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1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1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1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1" s="9" t="str">
        <f>IF(IFERROR(_xlfn.XLOOKUP(Tableau47[[#This Row],[COMMENTAIRE]],'[1]Tickets (2)'!$J$6:$J$805,'[1]Tickets (2)'!$U$6:$U$805)," ")="","OK","")</f>
        <v/>
      </c>
      <c r="BV71" s="9" t="str">
        <f>IF(IFERROR(_xlfn.XLOOKUP(Tableau47[[#This Row],[COMMENTAIRE]],'[1]Tickets (2)'!$J$6:$J$805,'[1]Tickets (2)'!$V$6:$V$805)," ")="","OK","")</f>
        <v/>
      </c>
      <c r="BW71" s="9" t="e">
        <f>IF(Tableau47[[#This Row],[INDEX]]&lt;3,"",IF(Tableau47[[#This Row],[COMMAND]]="","",([1]FSI_TB!$F$12/10)*(Tableau47[[#This Row],[LOT]]/$BW$30)))</f>
        <v>#DIV/0!</v>
      </c>
      <c r="BX71" s="9" t="e">
        <f>IF(Tableau47[[#This Row],[INDEX]]&lt;3,"",IF(Tableau47[[#This Row],[COMMAND]]="","",-([1]FSI_TB!$D$12/10)*(Tableau47[[#This Row],[LOT]]/$BW$30)))</f>
        <v>#DIV/0!</v>
      </c>
      <c r="BY71" s="9" t="s">
        <v>97</v>
      </c>
      <c r="BZ71" s="9" t="str">
        <f>IF(AND(Tableau47[[#This Row],[CLOTURE]]="REPOSITIONNER"),"OK",IF(AND(Tableau47[[#This Row],[CLOTURE]]="GAGNANT"),"KO",IF(Tableau47[[#This Row],[NON]]="NON","NON","")))</f>
        <v>NON</v>
      </c>
      <c r="CA71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71" s="9" t="str">
        <f>IFERROR(_xlfn.XLOOKUP(Tableau47[[#This Row],[COMMENTAIRE]],'[1]Tickets (2)'!$J$6:$J$805,'[1]Tickets (2)'!$F$6:$F$805),"")</f>
        <v/>
      </c>
      <c r="CC71" s="9">
        <f>IF(Tableau47[[#This Row],[INDEX]]&lt;3,"",IF(Tableau47[[#This Row],[COMMAND]]="","",Tableau47[[#This Row],[LOT]]))</f>
        <v>3000</v>
      </c>
      <c r="CD71" s="9">
        <f>IF(Tableau47[[#This Row],[INDEX]]&lt;3,"",IF(Tableau47[[#This Row],[COMMAND]]="","",IFERROR(_xlfn.XLOOKUP(Tableau47[[#This Row],[COMMENTAIRE]],[1]!Tableau4849[IDENTITE],[1]!Tableau4849[0,5]),0)))</f>
        <v>0</v>
      </c>
      <c r="CE7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1" s="9" t="str" cm="1">
        <f t="array" ref="CG7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1" s="9"/>
      <c r="CI71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1" s="9"/>
      <c r="CK71" s="21"/>
      <c r="CL71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1" s="9"/>
      <c r="CN71" s="9" t="str">
        <f>IF(Tableau47[[#This Row],[INDEX]]&lt;3,"",IF(Tableau47[[#This Row],[COMMAND]]="","",IF(AND(Tableau47[[#This Row],[EN ATTENTES]]="NON",Tableau47[[#This Row],[EN COURS]]&lt;&gt;""),"OK","STOP")))</f>
        <v>STOP</v>
      </c>
      <c r="CO71" s="19">
        <f>Tableau47[[#This Row],[Cst TIME]]</f>
        <v>44923.37135173611</v>
      </c>
      <c r="CP71" s="9">
        <f>[1]analos!$Q$237</f>
        <v>926507</v>
      </c>
      <c r="CQ71" s="9" t="str">
        <f>[1]FSI_TB!$F$3</f>
        <v>EURUSD</v>
      </c>
      <c r="CR71" s="9" t="str">
        <f>Tableau47[[#This Row],[GO1]]</f>
        <v>BUY</v>
      </c>
      <c r="CS71" s="9" t="str">
        <f>Tableau47[[#This Row],[PRICE]]</f>
        <v>1.06542</v>
      </c>
      <c r="CT71" s="9">
        <f>Tableau47[[#This Row],[LOT]]</f>
        <v>3000</v>
      </c>
      <c r="CU71" s="9" t="str">
        <f>Tableau47[[#This Row],[COMMENTAIRE]]</f>
        <v>1 RBRB B 1.06393 M1M1</v>
      </c>
      <c r="CV71" s="9"/>
      <c r="CW71" s="9">
        <v>1</v>
      </c>
      <c r="CX71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1" s="9">
        <f t="shared" ca="1" si="0"/>
        <v>44929.316958449075</v>
      </c>
    </row>
    <row r="72" spans="3:103" ht="15.75" x14ac:dyDescent="0.25">
      <c r="C72" s="8"/>
      <c r="D72" s="9"/>
      <c r="L72" s="9">
        <v>40</v>
      </c>
      <c r="M72" s="9" t="s">
        <v>123</v>
      </c>
      <c r="N72" s="9" t="s">
        <v>178</v>
      </c>
      <c r="O72" s="8" t="s">
        <v>179</v>
      </c>
      <c r="P72" s="9" t="s">
        <v>0</v>
      </c>
      <c r="Q72" s="9">
        <v>52000</v>
      </c>
      <c r="R7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72" s="9" t="str">
        <f>IF(AND(ISNUMBER(SEARCH("BUY",Tableau47[[#This Row],[COMMAND]]))),"BUY",IF(AND(ISNUMBER(SEARCH("SELL",Tableau47[[#This Row],[COMMAND]]))),"SELL",""))</f>
        <v>BUY</v>
      </c>
      <c r="T72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72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72" s="9">
        <v>925832</v>
      </c>
      <c r="W72" s="22">
        <v>44923.370652662037</v>
      </c>
      <c r="X72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72" s="9">
        <f>IFERROR(VALUE(SUBSTITUTE(Tableau47[[#This Row],[PRICE]],".",",")),"")</f>
        <v>1.06551</v>
      </c>
      <c r="Z72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72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2" s="9" t="str">
        <f>IF(IFERROR(_xlfn.XLOOKUP(Tableau47[[#This Row],[COMMENTAIRE]],'[1]Tickets (2)'!$J$6:$J$805,'[1]Tickets (2)'!$J$6:$J$805),"")&lt;&gt;"",1,"")</f>
        <v/>
      </c>
      <c r="AC72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2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2" s="9" t="str">
        <f>IFERROR(_xlfn.XLOOKUP(Tableau47[[#This Row],[INDEX]],Tableau47[COMPTE],Tableau47[COMPTE]),"")</f>
        <v/>
      </c>
      <c r="AF72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2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2" s="17">
        <f>IF(Tableau47[[#This Row],[COMMAND]]="BUYSTOP",IFERROR(ABS(Tableau47[[#This Row],[GO7]]-'[1]Deal ticket'!$B$15),""),"")</f>
        <v>7.0000000000014495E-5</v>
      </c>
      <c r="AI72" s="9" t="str">
        <f>IF(Tableau47[[#This Row],[COMMAND]]="SELLSTOP",IFERROR(ABS(Tableau47[[#This Row],[GO7]]-'[1]Deal ticket'!$B$16),""),"")</f>
        <v/>
      </c>
      <c r="AJ72" s="9" t="str">
        <f>IF(IFERROR(_xlfn.XLOOKUP(Tableau47[[#This Row],[COMMENTAIRE]],'[1]Tickets (2)'!$J$6:$J$805,'[1]Tickets (2)'!$J$6:$J$805),"")&lt;&gt;"",1,"")</f>
        <v/>
      </c>
      <c r="AK72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2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2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2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1.06551</v>
      </c>
      <c r="AO72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2" s="9" t="s">
        <v>97</v>
      </c>
      <c r="AQ72" s="9" t="str">
        <f>IFERROR(_xlfn.XLOOKUP(Tableau47[[#This Row],[COMMENTAIRE]],'[1]Tickets (2)'!$J$6:$J$805,'[1]Tickets (2)'!$C$6:$C$805),"")</f>
        <v/>
      </c>
      <c r="AR72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2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2" s="9" t="str">
        <f>IF(Tableau47[[#This Row],[GOUBLOP]]=1,Tableau47[[#This Row],[COMMENTAIRE]],"")</f>
        <v/>
      </c>
      <c r="AU72" s="9"/>
      <c r="AV72" s="9" t="str">
        <f>IFERROR(IF(_xlfn.XLOOKUP(Tableau47[[#This Row],[GOUBLOP2]],[1]!Tableau4849[ATTEINT],[1]!Tableau4849[ATTEINT])&lt;&gt;"",1,""),"")</f>
        <v/>
      </c>
      <c r="AW72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2" s="9" t="str">
        <f>IF(Tableau47[[#This Row],[COMMAND]]="","",IF(Tableau47[[#This Row],[INDEX]]&lt;3,"",LEFT(Tableau47[[#This Row],[COMMENTAIRE]],LEN(Tableau47[[#This Row],[COMMENTAIRE]])-2)))</f>
        <v>1 RBRB B 1.06398 M1</v>
      </c>
      <c r="AY72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2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2" s="9">
        <f>IF(Tableau47[[#This Row],[INDEX]]&lt;3,"",IF(Tableau47[[#This Row],[COMMAND]]="","",IFERROR(Tableau47[[#This Row],[DIS_BUY]]*$AX$30,"")))</f>
        <v>0</v>
      </c>
      <c r="BB72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2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2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2" s="9" t="str">
        <f>IF(AND(Tableau47[[#This Row],[GO]]="GO",ISNUMBER(SEARCH("BUY",Tableau47[[#This Row],[COMMAND]]))),1,"")</f>
        <v/>
      </c>
      <c r="BH72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2" s="9" t="str">
        <f>IF(OR(Tableau47[[#This Row],[GLOBAL BUY]]=1),Tableau47[[#This Row],[COMMENTAIRE]],"")</f>
        <v/>
      </c>
      <c r="BJ72" s="9" t="str">
        <f>IF(OR(Tableau47[[#This Row],[GLOBAL SELL]]=1),Tableau47[[#This Row],[COMMENTAIRE]],"")</f>
        <v/>
      </c>
      <c r="BK72" s="9">
        <f>IF(Tableau47[[#This Row],[INDEX]]&lt;3,"",IF(Tableau47[[#This Row],[COMMAND]]="","",SUMIFS(Tableau47[COMMENTAIRE],Tableau47[COMMENTAIRE],Tableau47[[#This Row],[COMMENTAIRE]])))</f>
        <v>0</v>
      </c>
      <c r="BL72" s="9" t="str">
        <f>IF(IFERROR(_xlfn.XLOOKUP(Tableau47[[#This Row],[COMMENTAIRE]],'[1]Tickets (2)'!$J$6:$J$805,'[1]Tickets (2)'!$J$6:$J$805),"")&lt;&gt;"",1,"")</f>
        <v/>
      </c>
      <c r="BM72" s="9">
        <f>IF(Tableau47[[#This Row],[INDEX]]&lt;3,"",IF(Tableau47[[#This Row],[COMMAND]]="","",IF('[1]Bar history'!$AA$33=1,1,"")))</f>
        <v>1</v>
      </c>
      <c r="BN72" s="9">
        <f>IFERROR(IFERROR(_xlfn.XLOOKUP(Tableau47[[#This Row],[COMMENTAIRE]],[1]!Tableau4849[IDENTITE],[1]!Tableau4849[0,5]),0),"")</f>
        <v>0</v>
      </c>
      <c r="BO72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2" s="9" t="str">
        <f>IF(IFERROR(_xlfn.XLOOKUP(Tableau47[[#This Row],[COMMENTAIRE]],'[1]Tickets (2)'!$J$6:$J$805,'[1]Tickets (2)'!$U$6:$U$805)," ")="","OK","")</f>
        <v/>
      </c>
      <c r="BQ72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2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2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2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2" s="9" t="str">
        <f>IF(IFERROR(_xlfn.XLOOKUP(Tableau47[[#This Row],[COMMENTAIRE]],'[1]Tickets (2)'!$J$6:$J$805,'[1]Tickets (2)'!$U$6:$U$805)," ")="","OK","")</f>
        <v/>
      </c>
      <c r="BV72" s="9" t="str">
        <f>IF(IFERROR(_xlfn.XLOOKUP(Tableau47[[#This Row],[COMMENTAIRE]],'[1]Tickets (2)'!$J$6:$J$805,'[1]Tickets (2)'!$V$6:$V$805)," ")="","OK","")</f>
        <v/>
      </c>
      <c r="BW72" s="9" t="e">
        <f>IF(Tableau47[[#This Row],[INDEX]]&lt;3,"",IF(Tableau47[[#This Row],[COMMAND]]="","",([1]FSI_TB!$F$12/10)*(Tableau47[[#This Row],[LOT]]/$BW$30)))</f>
        <v>#DIV/0!</v>
      </c>
      <c r="BX72" s="9" t="e">
        <f>IF(Tableau47[[#This Row],[INDEX]]&lt;3,"",IF(Tableau47[[#This Row],[COMMAND]]="","",-([1]FSI_TB!$D$12/10)*(Tableau47[[#This Row],[LOT]]/$BW$30)))</f>
        <v>#DIV/0!</v>
      </c>
      <c r="BY72" s="9" t="s">
        <v>97</v>
      </c>
      <c r="BZ72" s="9" t="str">
        <f>IF(AND(Tableau47[[#This Row],[CLOTURE]]="REPOSITIONNER"),"OK",IF(AND(Tableau47[[#This Row],[CLOTURE]]="GAGNANT"),"KO",IF(Tableau47[[#This Row],[NON]]="NON","NON","")))</f>
        <v>NON</v>
      </c>
      <c r="CA72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52000</v>
      </c>
      <c r="CB72" s="9" t="str">
        <f>IFERROR(_xlfn.XLOOKUP(Tableau47[[#This Row],[COMMENTAIRE]],'[1]Tickets (2)'!$J$6:$J$805,'[1]Tickets (2)'!$F$6:$F$805),"")</f>
        <v/>
      </c>
      <c r="CC72" s="9">
        <f>IF(Tableau47[[#This Row],[INDEX]]&lt;3,"",IF(Tableau47[[#This Row],[COMMAND]]="","",Tableau47[[#This Row],[LOT]]))</f>
        <v>52000</v>
      </c>
      <c r="CD72" s="9">
        <f>IF(Tableau47[[#This Row],[INDEX]]&lt;3,"",IF(Tableau47[[#This Row],[COMMAND]]="","",IFERROR(_xlfn.XLOOKUP(Tableau47[[#This Row],[COMMENTAIRE]],[1]!Tableau4849[IDENTITE],[1]!Tableau4849[0,5]),0)))</f>
        <v>0</v>
      </c>
      <c r="CE7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2" s="9" t="str" cm="1">
        <f t="array" ref="CG72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2" s="9"/>
      <c r="CI72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2" s="9"/>
      <c r="CK72" s="21"/>
      <c r="CL72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2" s="9"/>
      <c r="CN72" s="9" t="str">
        <f>IF(Tableau47[[#This Row],[INDEX]]&lt;3,"",IF(Tableau47[[#This Row],[COMMAND]]="","",IF(AND(Tableau47[[#This Row],[EN ATTENTES]]="NON",Tableau47[[#This Row],[EN COURS]]&lt;&gt;""),"OK","STOP")))</f>
        <v>STOP</v>
      </c>
      <c r="CO72" s="19">
        <f>Tableau47[[#This Row],[Cst TIME]]</f>
        <v>44923.370652662037</v>
      </c>
      <c r="CP72" s="9">
        <f>[1]analos!$Q$237</f>
        <v>926507</v>
      </c>
      <c r="CQ72" s="9" t="str">
        <f>[1]FSI_TB!$F$3</f>
        <v>EURUSD</v>
      </c>
      <c r="CR72" s="9" t="str">
        <f>Tableau47[[#This Row],[GO1]]</f>
        <v>BUY</v>
      </c>
      <c r="CS72" s="9" t="str">
        <f>Tableau47[[#This Row],[PRICE]]</f>
        <v>1.06551</v>
      </c>
      <c r="CT72" s="9">
        <f>Tableau47[[#This Row],[LOT]]</f>
        <v>52000</v>
      </c>
      <c r="CU72" s="9" t="str">
        <f>Tableau47[[#This Row],[COMMENTAIRE]]</f>
        <v>1 RBRB B 1.06398 M1M1</v>
      </c>
      <c r="CV72" s="9"/>
      <c r="CW72" s="9">
        <v>1</v>
      </c>
      <c r="CX72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2" s="9">
        <f t="shared" ca="1" si="0"/>
        <v>44929.316958449075</v>
      </c>
    </row>
    <row r="73" spans="3:103" ht="15.75" x14ac:dyDescent="0.25">
      <c r="C73" s="8"/>
      <c r="D73" s="9"/>
      <c r="L73" s="9">
        <v>41</v>
      </c>
      <c r="M73" s="9" t="s">
        <v>123</v>
      </c>
      <c r="N73" s="9" t="s">
        <v>180</v>
      </c>
      <c r="O73" s="8" t="s">
        <v>181</v>
      </c>
      <c r="P73" s="9" t="s">
        <v>0</v>
      </c>
      <c r="Q73" s="9">
        <v>37000</v>
      </c>
      <c r="R7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73" s="9" t="str">
        <f>IF(AND(ISNUMBER(SEARCH("BUY",Tableau47[[#This Row],[COMMAND]]))),"BUY",IF(AND(ISNUMBER(SEARCH("SELL",Tableau47[[#This Row],[COMMAND]]))),"SELL",""))</f>
        <v>BUY</v>
      </c>
      <c r="T73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73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73" s="9">
        <v>925832</v>
      </c>
      <c r="W73" s="22">
        <v>44923.370299074071</v>
      </c>
      <c r="X73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73" s="9">
        <f>IFERROR(VALUE(SUBSTITUTE(Tableau47[[#This Row],[PRICE]],".",",")),"")</f>
        <v>1.06545</v>
      </c>
      <c r="Z73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73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3" s="9" t="str">
        <f>IF(IFERROR(_xlfn.XLOOKUP(Tableau47[[#This Row],[COMMENTAIRE]],'[1]Tickets (2)'!$J$6:$J$805,'[1]Tickets (2)'!$J$6:$J$805),"")&lt;&gt;"",1,"")</f>
        <v/>
      </c>
      <c r="AC73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3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3" s="9" t="str">
        <f>IFERROR(_xlfn.XLOOKUP(Tableau47[[#This Row],[INDEX]],Tableau47[COMPTE],Tableau47[COMPTE]),"")</f>
        <v/>
      </c>
      <c r="AF73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3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3" s="17">
        <f>IF(Tableau47[[#This Row],[COMMAND]]="BUYSTOP",IFERROR(ABS(Tableau47[[#This Row],[GO7]]-'[1]Deal ticket'!$B$15),""),"")</f>
        <v>1.0000000000065512E-5</v>
      </c>
      <c r="AI73" s="9" t="str">
        <f>IF(Tableau47[[#This Row],[COMMAND]]="SELLSTOP",IFERROR(ABS(Tableau47[[#This Row],[GO7]]-'[1]Deal ticket'!$B$16),""),"")</f>
        <v/>
      </c>
      <c r="AJ73" s="9" t="str">
        <f>IF(IFERROR(_xlfn.XLOOKUP(Tableau47[[#This Row],[COMMENTAIRE]],'[1]Tickets (2)'!$J$6:$J$805,'[1]Tickets (2)'!$J$6:$J$805),"")&lt;&gt;"",1,"")</f>
        <v/>
      </c>
      <c r="AK73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3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3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3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1.06545</v>
      </c>
      <c r="AO73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3" s="9" t="s">
        <v>97</v>
      </c>
      <c r="AQ73" s="9" t="str">
        <f>IFERROR(_xlfn.XLOOKUP(Tableau47[[#This Row],[COMMENTAIRE]],'[1]Tickets (2)'!$J$6:$J$805,'[1]Tickets (2)'!$C$6:$C$805),"")</f>
        <v/>
      </c>
      <c r="AR73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3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3" s="9" t="str">
        <f>IF(Tableau47[[#This Row],[GOUBLOP]]=1,Tableau47[[#This Row],[COMMENTAIRE]],"")</f>
        <v/>
      </c>
      <c r="AU73" s="9"/>
      <c r="AV73" s="9" t="str">
        <f>IFERROR(IF(_xlfn.XLOOKUP(Tableau47[[#This Row],[GOUBLOP2]],[1]!Tableau4849[ATTEINT],[1]!Tableau4849[ATTEINT])&lt;&gt;"",1,""),"")</f>
        <v/>
      </c>
      <c r="AW73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3" s="9" t="str">
        <f>IF(Tableau47[[#This Row],[COMMAND]]="","",IF(Tableau47[[#This Row],[INDEX]]&lt;3,"",LEFT(Tableau47[[#This Row],[COMMENTAIRE]],LEN(Tableau47[[#This Row],[COMMENTAIRE]])-2)))</f>
        <v>1 RBRB B 1.20282 M1</v>
      </c>
      <c r="AY73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3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3" s="9">
        <f>IF(Tableau47[[#This Row],[INDEX]]&lt;3,"",IF(Tableau47[[#This Row],[COMMAND]]="","",IFERROR(Tableau47[[#This Row],[DIS_BUY]]*$AX$30,"")))</f>
        <v>0</v>
      </c>
      <c r="BB73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3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3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3" s="9" t="str">
        <f>IF(AND(Tableau47[[#This Row],[GO]]="GO",ISNUMBER(SEARCH("BUY",Tableau47[[#This Row],[COMMAND]]))),1,"")</f>
        <v/>
      </c>
      <c r="BH73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3" s="9" t="str">
        <f>IF(OR(Tableau47[[#This Row],[GLOBAL BUY]]=1),Tableau47[[#This Row],[COMMENTAIRE]],"")</f>
        <v/>
      </c>
      <c r="BJ73" s="9" t="str">
        <f>IF(OR(Tableau47[[#This Row],[GLOBAL SELL]]=1),Tableau47[[#This Row],[COMMENTAIRE]],"")</f>
        <v/>
      </c>
      <c r="BK73" s="9">
        <f>IF(Tableau47[[#This Row],[INDEX]]&lt;3,"",IF(Tableau47[[#This Row],[COMMAND]]="","",SUMIFS(Tableau47[COMMENTAIRE],Tableau47[COMMENTAIRE],Tableau47[[#This Row],[COMMENTAIRE]])))</f>
        <v>0</v>
      </c>
      <c r="BL73" s="9" t="str">
        <f>IF(IFERROR(_xlfn.XLOOKUP(Tableau47[[#This Row],[COMMENTAIRE]],'[1]Tickets (2)'!$J$6:$J$805,'[1]Tickets (2)'!$J$6:$J$805),"")&lt;&gt;"",1,"")</f>
        <v/>
      </c>
      <c r="BM73" s="9">
        <f>IF(Tableau47[[#This Row],[INDEX]]&lt;3,"",IF(Tableau47[[#This Row],[COMMAND]]="","",IF('[1]Bar history'!$AA$33=1,1,"")))</f>
        <v>1</v>
      </c>
      <c r="BN73" s="9">
        <f>IFERROR(IFERROR(_xlfn.XLOOKUP(Tableau47[[#This Row],[COMMENTAIRE]],[1]!Tableau4849[IDENTITE],[1]!Tableau4849[0,5]),0),"")</f>
        <v>0</v>
      </c>
      <c r="BO73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3" s="9" t="str">
        <f>IF(IFERROR(_xlfn.XLOOKUP(Tableau47[[#This Row],[COMMENTAIRE]],'[1]Tickets (2)'!$J$6:$J$805,'[1]Tickets (2)'!$U$6:$U$805)," ")="","OK","")</f>
        <v/>
      </c>
      <c r="BQ73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3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3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3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3" s="9" t="str">
        <f>IF(IFERROR(_xlfn.XLOOKUP(Tableau47[[#This Row],[COMMENTAIRE]],'[1]Tickets (2)'!$J$6:$J$805,'[1]Tickets (2)'!$U$6:$U$805)," ")="","OK","")</f>
        <v/>
      </c>
      <c r="BV73" s="9" t="str">
        <f>IF(IFERROR(_xlfn.XLOOKUP(Tableau47[[#This Row],[COMMENTAIRE]],'[1]Tickets (2)'!$J$6:$J$805,'[1]Tickets (2)'!$V$6:$V$805)," ")="","OK","")</f>
        <v/>
      </c>
      <c r="BW73" s="9" t="e">
        <f>IF(Tableau47[[#This Row],[INDEX]]&lt;3,"",IF(Tableau47[[#This Row],[COMMAND]]="","",([1]FSI_TB!$F$12/10)*(Tableau47[[#This Row],[LOT]]/$BW$30)))</f>
        <v>#DIV/0!</v>
      </c>
      <c r="BX73" s="9" t="e">
        <f>IF(Tableau47[[#This Row],[INDEX]]&lt;3,"",IF(Tableau47[[#This Row],[COMMAND]]="","",-([1]FSI_TB!$D$12/10)*(Tableau47[[#This Row],[LOT]]/$BW$30)))</f>
        <v>#DIV/0!</v>
      </c>
      <c r="BY73" s="9" t="s">
        <v>97</v>
      </c>
      <c r="BZ73" s="9" t="str">
        <f>IF(AND(Tableau47[[#This Row],[CLOTURE]]="REPOSITIONNER"),"OK",IF(AND(Tableau47[[#This Row],[CLOTURE]]="GAGNANT"),"KO",IF(Tableau47[[#This Row],[NON]]="NON","NON","")))</f>
        <v>NON</v>
      </c>
      <c r="CA73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37000</v>
      </c>
      <c r="CB73" s="9" t="str">
        <f>IFERROR(_xlfn.XLOOKUP(Tableau47[[#This Row],[COMMENTAIRE]],'[1]Tickets (2)'!$J$6:$J$805,'[1]Tickets (2)'!$F$6:$F$805),"")</f>
        <v/>
      </c>
      <c r="CC73" s="9">
        <f>IF(Tableau47[[#This Row],[INDEX]]&lt;3,"",IF(Tableau47[[#This Row],[COMMAND]]="","",Tableau47[[#This Row],[LOT]]))</f>
        <v>37000</v>
      </c>
      <c r="CD73" s="9">
        <f>IF(Tableau47[[#This Row],[INDEX]]&lt;3,"",IF(Tableau47[[#This Row],[COMMAND]]="","",IFERROR(_xlfn.XLOOKUP(Tableau47[[#This Row],[COMMENTAIRE]],[1]!Tableau4849[IDENTITE],[1]!Tableau4849[0,5]),0)))</f>
        <v>0</v>
      </c>
      <c r="CE7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3" s="9" t="str" cm="1">
        <f t="array" ref="CG73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3" s="9"/>
      <c r="CI73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3" s="9"/>
      <c r="CK73" s="21"/>
      <c r="CL73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3" s="9"/>
      <c r="CN73" s="9" t="str">
        <f>IF(Tableau47[[#This Row],[INDEX]]&lt;3,"",IF(Tableau47[[#This Row],[COMMAND]]="","",IF(AND(Tableau47[[#This Row],[EN ATTENTES]]="NON",Tableau47[[#This Row],[EN COURS]]&lt;&gt;""),"OK","STOP")))</f>
        <v>STOP</v>
      </c>
      <c r="CO73" s="19">
        <f>Tableau47[[#This Row],[Cst TIME]]</f>
        <v>44923.370299074071</v>
      </c>
      <c r="CP73" s="9">
        <f>[1]analos!$Q$237</f>
        <v>926507</v>
      </c>
      <c r="CQ73" s="9" t="str">
        <f>[1]FSI_TB!$F$3</f>
        <v>EURUSD</v>
      </c>
      <c r="CR73" s="9" t="str">
        <f>Tableau47[[#This Row],[GO1]]</f>
        <v>BUY</v>
      </c>
      <c r="CS73" s="9" t="str">
        <f>Tableau47[[#This Row],[PRICE]]</f>
        <v>1.06545</v>
      </c>
      <c r="CT73" s="9">
        <f>Tableau47[[#This Row],[LOT]]</f>
        <v>37000</v>
      </c>
      <c r="CU73" s="9" t="str">
        <f>Tableau47[[#This Row],[COMMENTAIRE]]</f>
        <v>1 RBRB B 1.20282 M1M1</v>
      </c>
      <c r="CV73" s="9"/>
      <c r="CW73" s="9">
        <v>1</v>
      </c>
      <c r="CX73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3" s="9">
        <f t="shared" ca="1" si="0"/>
        <v>44929.316958449075</v>
      </c>
    </row>
    <row r="74" spans="3:103" ht="15.75" x14ac:dyDescent="0.25">
      <c r="C74" s="8"/>
      <c r="D74" s="9"/>
      <c r="L74" s="9">
        <v>42</v>
      </c>
      <c r="M74" s="9" t="s">
        <v>123</v>
      </c>
      <c r="N74" s="9" t="s">
        <v>182</v>
      </c>
      <c r="O74" s="8" t="s">
        <v>183</v>
      </c>
      <c r="P74" s="9" t="s">
        <v>0</v>
      </c>
      <c r="Q74" s="9">
        <v>24000</v>
      </c>
      <c r="R7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74" s="9" t="str">
        <f>IF(AND(ISNUMBER(SEARCH("BUY",Tableau47[[#This Row],[COMMAND]]))),"BUY",IF(AND(ISNUMBER(SEARCH("SELL",Tableau47[[#This Row],[COMMAND]]))),"SELL",""))</f>
        <v>BUY</v>
      </c>
      <c r="T74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74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74" s="9">
        <v>925832</v>
      </c>
      <c r="W74" s="22">
        <v>44923.370026851851</v>
      </c>
      <c r="X74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74" s="9">
        <f>IFERROR(VALUE(SUBSTITUTE(Tableau47[[#This Row],[PRICE]],".",",")),"")</f>
        <v>1.0654399999999999</v>
      </c>
      <c r="Z74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74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4" s="9" t="str">
        <f>IF(IFERROR(_xlfn.XLOOKUP(Tableau47[[#This Row],[COMMENTAIRE]],'[1]Tickets (2)'!$J$6:$J$805,'[1]Tickets (2)'!$J$6:$J$805),"")&lt;&gt;"",1,"")</f>
        <v/>
      </c>
      <c r="AC74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4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4" s="9" t="str">
        <f>IFERROR(_xlfn.XLOOKUP(Tableau47[[#This Row],[INDEX]],Tableau47[COMPTE],Tableau47[COMPTE]),"")</f>
        <v/>
      </c>
      <c r="AF74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4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4" s="17">
        <f>IF(Tableau47[[#This Row],[COMMAND]]="BUYSTOP",IFERROR(ABS(Tableau47[[#This Row],[GO7]]-'[1]Deal ticket'!$B$15),""),"")</f>
        <v>0</v>
      </c>
      <c r="AI74" s="9" t="str">
        <f>IF(Tableau47[[#This Row],[COMMAND]]="SELLSTOP",IFERROR(ABS(Tableau47[[#This Row],[GO7]]-'[1]Deal ticket'!$B$16),""),"")</f>
        <v/>
      </c>
      <c r="AJ74" s="9" t="str">
        <f>IF(IFERROR(_xlfn.XLOOKUP(Tableau47[[#This Row],[COMMENTAIRE]],'[1]Tickets (2)'!$J$6:$J$805,'[1]Tickets (2)'!$J$6:$J$805),"")&lt;&gt;"",1,"")</f>
        <v/>
      </c>
      <c r="AK74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4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4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4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1.0654399999999999</v>
      </c>
      <c r="AO74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4" s="9" t="s">
        <v>97</v>
      </c>
      <c r="AQ74" s="9" t="str">
        <f>IFERROR(_xlfn.XLOOKUP(Tableau47[[#This Row],[COMMENTAIRE]],'[1]Tickets (2)'!$J$6:$J$805,'[1]Tickets (2)'!$C$6:$C$805),"")</f>
        <v/>
      </c>
      <c r="AR74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4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4" s="9" t="str">
        <f>IF(Tableau47[[#This Row],[GOUBLOP]]=1,Tableau47[[#This Row],[COMMENTAIRE]],"")</f>
        <v/>
      </c>
      <c r="AU74" s="9"/>
      <c r="AV74" s="9" t="str">
        <f>IFERROR(IF(_xlfn.XLOOKUP(Tableau47[[#This Row],[GOUBLOP2]],[1]!Tableau4849[ATTEINT],[1]!Tableau4849[ATTEINT])&lt;&gt;"",1,""),"")</f>
        <v/>
      </c>
      <c r="AW74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4" s="9" t="str">
        <f>IF(Tableau47[[#This Row],[COMMAND]]="","",IF(Tableau47[[#This Row],[INDEX]]&lt;3,"",LEFT(Tableau47[[#This Row],[COMMENTAIRE]],LEN(Tableau47[[#This Row],[COMMENTAIRE]])-2)))</f>
        <v>1 RBRB B 1.20257 M1</v>
      </c>
      <c r="AY74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4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4" s="9">
        <f>IF(Tableau47[[#This Row],[INDEX]]&lt;3,"",IF(Tableau47[[#This Row],[COMMAND]]="","",IFERROR(Tableau47[[#This Row],[DIS_BUY]]*$AX$30,"")))</f>
        <v>0</v>
      </c>
      <c r="BB74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4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4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4" s="9" t="str">
        <f>IF(AND(Tableau47[[#This Row],[GO]]="GO",ISNUMBER(SEARCH("BUY",Tableau47[[#This Row],[COMMAND]]))),1,"")</f>
        <v/>
      </c>
      <c r="BH74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4" s="9" t="str">
        <f>IF(OR(Tableau47[[#This Row],[GLOBAL BUY]]=1),Tableau47[[#This Row],[COMMENTAIRE]],"")</f>
        <v/>
      </c>
      <c r="BJ74" s="9" t="str">
        <f>IF(OR(Tableau47[[#This Row],[GLOBAL SELL]]=1),Tableau47[[#This Row],[COMMENTAIRE]],"")</f>
        <v/>
      </c>
      <c r="BK74" s="9">
        <f>IF(Tableau47[[#This Row],[INDEX]]&lt;3,"",IF(Tableau47[[#This Row],[COMMAND]]="","",SUMIFS(Tableau47[COMMENTAIRE],Tableau47[COMMENTAIRE],Tableau47[[#This Row],[COMMENTAIRE]])))</f>
        <v>0</v>
      </c>
      <c r="BL74" s="9" t="str">
        <f>IF(IFERROR(_xlfn.XLOOKUP(Tableau47[[#This Row],[COMMENTAIRE]],'[1]Tickets (2)'!$J$6:$J$805,'[1]Tickets (2)'!$J$6:$J$805),"")&lt;&gt;"",1,"")</f>
        <v/>
      </c>
      <c r="BM74" s="9">
        <f>IF(Tableau47[[#This Row],[INDEX]]&lt;3,"",IF(Tableau47[[#This Row],[COMMAND]]="","",IF('[1]Bar history'!$AA$33=1,1,"")))</f>
        <v>1</v>
      </c>
      <c r="BN74" s="9">
        <f>IFERROR(IFERROR(_xlfn.XLOOKUP(Tableau47[[#This Row],[COMMENTAIRE]],[1]!Tableau4849[IDENTITE],[1]!Tableau4849[0,5]),0),"")</f>
        <v>0</v>
      </c>
      <c r="BO74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4" s="9" t="str">
        <f>IF(IFERROR(_xlfn.XLOOKUP(Tableau47[[#This Row],[COMMENTAIRE]],'[1]Tickets (2)'!$J$6:$J$805,'[1]Tickets (2)'!$U$6:$U$805)," ")="","OK","")</f>
        <v/>
      </c>
      <c r="BQ74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4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4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4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4" s="9" t="str">
        <f>IF(IFERROR(_xlfn.XLOOKUP(Tableau47[[#This Row],[COMMENTAIRE]],'[1]Tickets (2)'!$J$6:$J$805,'[1]Tickets (2)'!$U$6:$U$805)," ")="","OK","")</f>
        <v/>
      </c>
      <c r="BV74" s="9" t="str">
        <f>IF(IFERROR(_xlfn.XLOOKUP(Tableau47[[#This Row],[COMMENTAIRE]],'[1]Tickets (2)'!$J$6:$J$805,'[1]Tickets (2)'!$V$6:$V$805)," ")="","OK","")</f>
        <v/>
      </c>
      <c r="BW74" s="9" t="e">
        <f>IF(Tableau47[[#This Row],[INDEX]]&lt;3,"",IF(Tableau47[[#This Row],[COMMAND]]="","",([1]FSI_TB!$F$12/10)*(Tableau47[[#This Row],[LOT]]/$BW$30)))</f>
        <v>#DIV/0!</v>
      </c>
      <c r="BX74" s="9" t="e">
        <f>IF(Tableau47[[#This Row],[INDEX]]&lt;3,"",IF(Tableau47[[#This Row],[COMMAND]]="","",-([1]FSI_TB!$D$12/10)*(Tableau47[[#This Row],[LOT]]/$BW$30)))</f>
        <v>#DIV/0!</v>
      </c>
      <c r="BY74" s="9" t="s">
        <v>97</v>
      </c>
      <c r="BZ74" s="9" t="str">
        <f>IF(AND(Tableau47[[#This Row],[CLOTURE]]="REPOSITIONNER"),"OK",IF(AND(Tableau47[[#This Row],[CLOTURE]]="GAGNANT"),"KO",IF(Tableau47[[#This Row],[NON]]="NON","NON","")))</f>
        <v>NON</v>
      </c>
      <c r="CA74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24000</v>
      </c>
      <c r="CB74" s="9" t="str">
        <f>IFERROR(_xlfn.XLOOKUP(Tableau47[[#This Row],[COMMENTAIRE]],'[1]Tickets (2)'!$J$6:$J$805,'[1]Tickets (2)'!$F$6:$F$805),"")</f>
        <v/>
      </c>
      <c r="CC74" s="9">
        <f>IF(Tableau47[[#This Row],[INDEX]]&lt;3,"",IF(Tableau47[[#This Row],[COMMAND]]="","",Tableau47[[#This Row],[LOT]]))</f>
        <v>24000</v>
      </c>
      <c r="CD74" s="9">
        <f>IF(Tableau47[[#This Row],[INDEX]]&lt;3,"",IF(Tableau47[[#This Row],[COMMAND]]="","",IFERROR(_xlfn.XLOOKUP(Tableau47[[#This Row],[COMMENTAIRE]],[1]!Tableau4849[IDENTITE],[1]!Tableau4849[0,5]),0)))</f>
        <v>0</v>
      </c>
      <c r="CE7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4" s="9" t="str" cm="1">
        <f t="array" ref="CG74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4" s="9"/>
      <c r="CI74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4" s="9"/>
      <c r="CK74" s="21"/>
      <c r="CL74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4" s="9"/>
      <c r="CN74" s="9" t="str">
        <f>IF(Tableau47[[#This Row],[INDEX]]&lt;3,"",IF(Tableau47[[#This Row],[COMMAND]]="","",IF(AND(Tableau47[[#This Row],[EN ATTENTES]]="NON",Tableau47[[#This Row],[EN COURS]]&lt;&gt;""),"OK","STOP")))</f>
        <v>STOP</v>
      </c>
      <c r="CO74" s="19">
        <f>Tableau47[[#This Row],[Cst TIME]]</f>
        <v>44923.370026851851</v>
      </c>
      <c r="CP74" s="9">
        <f>[1]analos!$Q$237</f>
        <v>926507</v>
      </c>
      <c r="CQ74" s="9" t="str">
        <f>[1]FSI_TB!$F$3</f>
        <v>EURUSD</v>
      </c>
      <c r="CR74" s="9" t="str">
        <f>Tableau47[[#This Row],[GO1]]</f>
        <v>BUY</v>
      </c>
      <c r="CS74" s="9" t="str">
        <f>Tableau47[[#This Row],[PRICE]]</f>
        <v>1.06544</v>
      </c>
      <c r="CT74" s="9">
        <f>Tableau47[[#This Row],[LOT]]</f>
        <v>24000</v>
      </c>
      <c r="CU74" s="9" t="str">
        <f>Tableau47[[#This Row],[COMMENTAIRE]]</f>
        <v>1 RBRB B 1.20257 M1M1</v>
      </c>
      <c r="CV74" s="9"/>
      <c r="CW74" s="9">
        <v>1</v>
      </c>
      <c r="CX74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4" s="9">
        <f t="shared" ca="1" si="0"/>
        <v>44929.316958449075</v>
      </c>
    </row>
    <row r="75" spans="3:103" ht="15.75" x14ac:dyDescent="0.25">
      <c r="C75" s="8"/>
      <c r="D75" s="9"/>
      <c r="L75" s="9">
        <v>43</v>
      </c>
      <c r="M75" s="9" t="s">
        <v>123</v>
      </c>
      <c r="N75" s="9" t="s">
        <v>180</v>
      </c>
      <c r="O75" s="8" t="s">
        <v>184</v>
      </c>
      <c r="P75" s="9" t="s">
        <v>0</v>
      </c>
      <c r="Q75" s="9">
        <v>24000</v>
      </c>
      <c r="R7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75" s="9" t="str">
        <f>IF(AND(ISNUMBER(SEARCH("BUY",Tableau47[[#This Row],[COMMAND]]))),"BUY",IF(AND(ISNUMBER(SEARCH("SELL",Tableau47[[#This Row],[COMMAND]]))),"SELL",""))</f>
        <v>BUY</v>
      </c>
      <c r="T75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75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75" s="9">
        <v>925832</v>
      </c>
      <c r="W75" s="22">
        <v>44923.369786342591</v>
      </c>
      <c r="X75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75" s="9">
        <f>IFERROR(VALUE(SUBSTITUTE(Tableau47[[#This Row],[PRICE]],".",",")),"")</f>
        <v>1.06545</v>
      </c>
      <c r="Z75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75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5" s="9" t="str">
        <f>IF(IFERROR(_xlfn.XLOOKUP(Tableau47[[#This Row],[COMMENTAIRE]],'[1]Tickets (2)'!$J$6:$J$805,'[1]Tickets (2)'!$J$6:$J$805),"")&lt;&gt;"",1,"")</f>
        <v/>
      </c>
      <c r="AC75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5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5" s="9" t="str">
        <f>IFERROR(_xlfn.XLOOKUP(Tableau47[[#This Row],[INDEX]],Tableau47[COMPTE],Tableau47[COMPTE]),"")</f>
        <v/>
      </c>
      <c r="AF75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5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5" s="17">
        <f>IF(Tableau47[[#This Row],[COMMAND]]="BUYSTOP",IFERROR(ABS(Tableau47[[#This Row],[GO7]]-'[1]Deal ticket'!$B$15),""),"")</f>
        <v>1.0000000000065512E-5</v>
      </c>
      <c r="AI75" s="9" t="str">
        <f>IF(Tableau47[[#This Row],[COMMAND]]="SELLSTOP",IFERROR(ABS(Tableau47[[#This Row],[GO7]]-'[1]Deal ticket'!$B$16),""),"")</f>
        <v/>
      </c>
      <c r="AJ75" s="9" t="str">
        <f>IF(IFERROR(_xlfn.XLOOKUP(Tableau47[[#This Row],[COMMENTAIRE]],'[1]Tickets (2)'!$J$6:$J$805,'[1]Tickets (2)'!$J$6:$J$805),"")&lt;&gt;"",1,"")</f>
        <v/>
      </c>
      <c r="AK75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5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5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5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1.06545</v>
      </c>
      <c r="AO75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5" s="9" t="s">
        <v>97</v>
      </c>
      <c r="AQ75" s="9" t="str">
        <f>IFERROR(_xlfn.XLOOKUP(Tableau47[[#This Row],[COMMENTAIRE]],'[1]Tickets (2)'!$J$6:$J$805,'[1]Tickets (2)'!$C$6:$C$805),"")</f>
        <v/>
      </c>
      <c r="AR75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5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5" s="9" t="str">
        <f>IF(Tableau47[[#This Row],[GOUBLOP]]=1,Tableau47[[#This Row],[COMMENTAIRE]],"")</f>
        <v/>
      </c>
      <c r="AU75" s="9"/>
      <c r="AV75" s="9" t="str">
        <f>IFERROR(IF(_xlfn.XLOOKUP(Tableau47[[#This Row],[GOUBLOP2]],[1]!Tableau4849[ATTEINT],[1]!Tableau4849[ATTEINT])&lt;&gt;"",1,""),"")</f>
        <v/>
      </c>
      <c r="AW75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5" s="9" t="str">
        <f>IF(Tableau47[[#This Row],[COMMAND]]="","",IF(Tableau47[[#This Row],[INDEX]]&lt;3,"",LEFT(Tableau47[[#This Row],[COMMENTAIRE]],LEN(Tableau47[[#This Row],[COMMENTAIRE]])-2)))</f>
        <v>1 RBRB B 1.20245 M1</v>
      </c>
      <c r="AY75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5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5" s="9">
        <f>IF(Tableau47[[#This Row],[INDEX]]&lt;3,"",IF(Tableau47[[#This Row],[COMMAND]]="","",IFERROR(Tableau47[[#This Row],[DIS_BUY]]*$AX$30,"")))</f>
        <v>0</v>
      </c>
      <c r="BB75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5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5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5" s="9" t="str">
        <f>IF(AND(Tableau47[[#This Row],[GO]]="GO",ISNUMBER(SEARCH("BUY",Tableau47[[#This Row],[COMMAND]]))),1,"")</f>
        <v/>
      </c>
      <c r="BH75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5" s="9" t="str">
        <f>IF(OR(Tableau47[[#This Row],[GLOBAL BUY]]=1),Tableau47[[#This Row],[COMMENTAIRE]],"")</f>
        <v/>
      </c>
      <c r="BJ75" s="9" t="str">
        <f>IF(OR(Tableau47[[#This Row],[GLOBAL SELL]]=1),Tableau47[[#This Row],[COMMENTAIRE]],"")</f>
        <v/>
      </c>
      <c r="BK75" s="9">
        <f>IF(Tableau47[[#This Row],[INDEX]]&lt;3,"",IF(Tableau47[[#This Row],[COMMAND]]="","",SUMIFS(Tableau47[COMMENTAIRE],Tableau47[COMMENTAIRE],Tableau47[[#This Row],[COMMENTAIRE]])))</f>
        <v>0</v>
      </c>
      <c r="BL75" s="9" t="str">
        <f>IF(IFERROR(_xlfn.XLOOKUP(Tableau47[[#This Row],[COMMENTAIRE]],'[1]Tickets (2)'!$J$6:$J$805,'[1]Tickets (2)'!$J$6:$J$805),"")&lt;&gt;"",1,"")</f>
        <v/>
      </c>
      <c r="BM75" s="9">
        <f>IF(Tableau47[[#This Row],[INDEX]]&lt;3,"",IF(Tableau47[[#This Row],[COMMAND]]="","",IF('[1]Bar history'!$AA$33=1,1,"")))</f>
        <v>1</v>
      </c>
      <c r="BN75" s="9">
        <f>IFERROR(IFERROR(_xlfn.XLOOKUP(Tableau47[[#This Row],[COMMENTAIRE]],[1]!Tableau4849[IDENTITE],[1]!Tableau4849[0,5]),0),"")</f>
        <v>0</v>
      </c>
      <c r="BO75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5" s="9" t="str">
        <f>IF(IFERROR(_xlfn.XLOOKUP(Tableau47[[#This Row],[COMMENTAIRE]],'[1]Tickets (2)'!$J$6:$J$805,'[1]Tickets (2)'!$U$6:$U$805)," ")="","OK","")</f>
        <v/>
      </c>
      <c r="BQ75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5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5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5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5" s="9" t="str">
        <f>IF(IFERROR(_xlfn.XLOOKUP(Tableau47[[#This Row],[COMMENTAIRE]],'[1]Tickets (2)'!$J$6:$J$805,'[1]Tickets (2)'!$U$6:$U$805)," ")="","OK","")</f>
        <v/>
      </c>
      <c r="BV75" s="9" t="str">
        <f>IF(IFERROR(_xlfn.XLOOKUP(Tableau47[[#This Row],[COMMENTAIRE]],'[1]Tickets (2)'!$J$6:$J$805,'[1]Tickets (2)'!$V$6:$V$805)," ")="","OK","")</f>
        <v/>
      </c>
      <c r="BW75" s="9" t="e">
        <f>IF(Tableau47[[#This Row],[INDEX]]&lt;3,"",IF(Tableau47[[#This Row],[COMMAND]]="","",([1]FSI_TB!$F$12/10)*(Tableau47[[#This Row],[LOT]]/$BW$30)))</f>
        <v>#DIV/0!</v>
      </c>
      <c r="BX75" s="9" t="e">
        <f>IF(Tableau47[[#This Row],[INDEX]]&lt;3,"",IF(Tableau47[[#This Row],[COMMAND]]="","",-([1]FSI_TB!$D$12/10)*(Tableau47[[#This Row],[LOT]]/$BW$30)))</f>
        <v>#DIV/0!</v>
      </c>
      <c r="BY75" s="9" t="s">
        <v>97</v>
      </c>
      <c r="BZ75" s="9" t="str">
        <f>IF(AND(Tableau47[[#This Row],[CLOTURE]]="REPOSITIONNER"),"OK",IF(AND(Tableau47[[#This Row],[CLOTURE]]="GAGNANT"),"KO",IF(Tableau47[[#This Row],[NON]]="NON","NON","")))</f>
        <v>NON</v>
      </c>
      <c r="CA75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24000</v>
      </c>
      <c r="CB75" s="9" t="str">
        <f>IFERROR(_xlfn.XLOOKUP(Tableau47[[#This Row],[COMMENTAIRE]],'[1]Tickets (2)'!$J$6:$J$805,'[1]Tickets (2)'!$F$6:$F$805),"")</f>
        <v/>
      </c>
      <c r="CC75" s="9">
        <f>IF(Tableau47[[#This Row],[INDEX]]&lt;3,"",IF(Tableau47[[#This Row],[COMMAND]]="","",Tableau47[[#This Row],[LOT]]))</f>
        <v>24000</v>
      </c>
      <c r="CD75" s="9">
        <f>IF(Tableau47[[#This Row],[INDEX]]&lt;3,"",IF(Tableau47[[#This Row],[COMMAND]]="","",IFERROR(_xlfn.XLOOKUP(Tableau47[[#This Row],[COMMENTAIRE]],[1]!Tableau4849[IDENTITE],[1]!Tableau4849[0,5]),0)))</f>
        <v>0</v>
      </c>
      <c r="CE7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5" s="9" t="str" cm="1">
        <f t="array" ref="CG75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5" s="9"/>
      <c r="CI75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5" s="9"/>
      <c r="CK75" s="21"/>
      <c r="CL75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5" s="9"/>
      <c r="CN75" s="9" t="str">
        <f>IF(Tableau47[[#This Row],[INDEX]]&lt;3,"",IF(Tableau47[[#This Row],[COMMAND]]="","",IF(AND(Tableau47[[#This Row],[EN ATTENTES]]="NON",Tableau47[[#This Row],[EN COURS]]&lt;&gt;""),"OK","STOP")))</f>
        <v>STOP</v>
      </c>
      <c r="CO75" s="19">
        <f>Tableau47[[#This Row],[Cst TIME]]</f>
        <v>44923.369786342591</v>
      </c>
      <c r="CP75" s="9">
        <f>[1]analos!$Q$237</f>
        <v>926507</v>
      </c>
      <c r="CQ75" s="9" t="str">
        <f>[1]FSI_TB!$F$3</f>
        <v>EURUSD</v>
      </c>
      <c r="CR75" s="9" t="str">
        <f>Tableau47[[#This Row],[GO1]]</f>
        <v>BUY</v>
      </c>
      <c r="CS75" s="9" t="str">
        <f>Tableau47[[#This Row],[PRICE]]</f>
        <v>1.06545</v>
      </c>
      <c r="CT75" s="9">
        <f>Tableau47[[#This Row],[LOT]]</f>
        <v>24000</v>
      </c>
      <c r="CU75" s="9" t="str">
        <f>Tableau47[[#This Row],[COMMENTAIRE]]</f>
        <v>1 RBRB B 1.20245 M1M1</v>
      </c>
      <c r="CV75" s="9"/>
      <c r="CW75" s="9">
        <v>1</v>
      </c>
      <c r="CX75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5" s="9">
        <f t="shared" ca="1" si="0"/>
        <v>44929.316958449075</v>
      </c>
    </row>
    <row r="76" spans="3:103" ht="15.75" x14ac:dyDescent="0.25">
      <c r="C76" s="8"/>
      <c r="D76" s="9"/>
      <c r="L76" s="9">
        <v>44</v>
      </c>
      <c r="M76" s="9" t="s">
        <v>123</v>
      </c>
      <c r="N76" s="9" t="s">
        <v>185</v>
      </c>
      <c r="O76" s="8" t="s">
        <v>186</v>
      </c>
      <c r="P76" s="9" t="s">
        <v>0</v>
      </c>
      <c r="Q76" s="9">
        <v>8000</v>
      </c>
      <c r="R7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GO</v>
      </c>
      <c r="S76" s="9" t="str">
        <f>IF(AND(ISNUMBER(SEARCH("BUY",Tableau47[[#This Row],[COMMAND]]))),"BUY",IF(AND(ISNUMBER(SEARCH("SELL",Tableau47[[#This Row],[COMMAND]]))),"SELL",""))</f>
        <v>BUY</v>
      </c>
      <c r="T76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GO</v>
      </c>
      <c r="U76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>BUY</v>
      </c>
      <c r="V76" s="9">
        <v>925832</v>
      </c>
      <c r="W76" s="22">
        <v>44923.369531944445</v>
      </c>
      <c r="X76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GO</v>
      </c>
      <c r="Y76" s="9">
        <f>IFERROR(VALUE(SUBSTITUTE(Tableau47[[#This Row],[PRICE]],".",",")),"")</f>
        <v>1.0654300000000001</v>
      </c>
      <c r="Z76" s="9" t="str">
        <f>IFERROR(IF(Tableau47[[#This Row],[DÉJÀ]]=1,"",IF(AND(Tableau47[[#This Row],[GO]]="GO",Tableau47[[#This Row],[GO1]]="SELL"),"S",IF(AND(Tableau47[[#This Row],[GO]]="GO",Tableau47[[#This Row],[GO1]]="BUY"),"B",""))),"")</f>
        <v>B</v>
      </c>
      <c r="AA76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6" s="9" t="str">
        <f>IF(IFERROR(_xlfn.XLOOKUP(Tableau47[[#This Row],[COMMENTAIRE]],'[1]Tickets (2)'!$J$6:$J$805,'[1]Tickets (2)'!$J$6:$J$805),"")&lt;&gt;"",1,"")</f>
        <v/>
      </c>
      <c r="AC76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6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6" s="9" t="str">
        <f>IFERROR(_xlfn.XLOOKUP(Tableau47[[#This Row],[INDEX]],Tableau47[COMPTE],Tableau47[COMPTE]),"")</f>
        <v/>
      </c>
      <c r="AF76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6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6" s="17">
        <f>IF(Tableau47[[#This Row],[COMMAND]]="BUYSTOP",IFERROR(ABS(Tableau47[[#This Row],[GO7]]-'[1]Deal ticket'!$B$15),""),"")</f>
        <v>9.9999999998434674E-6</v>
      </c>
      <c r="AI76" s="9" t="str">
        <f>IF(Tableau47[[#This Row],[COMMAND]]="SELLSTOP",IFERROR(ABS(Tableau47[[#This Row],[GO7]]-'[1]Deal ticket'!$B$16),""),"")</f>
        <v/>
      </c>
      <c r="AJ76" s="9" t="str">
        <f>IF(IFERROR(_xlfn.XLOOKUP(Tableau47[[#This Row],[COMMENTAIRE]],'[1]Tickets (2)'!$J$6:$J$805,'[1]Tickets (2)'!$J$6:$J$805),"")&lt;&gt;"",1,"")</f>
        <v/>
      </c>
      <c r="AK76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6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6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6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1.0654300000000001</v>
      </c>
      <c r="AO76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6" s="9" t="s">
        <v>97</v>
      </c>
      <c r="AQ76" s="9" t="str">
        <f>IFERROR(_xlfn.XLOOKUP(Tableau47[[#This Row],[COMMENTAIRE]],'[1]Tickets (2)'!$J$6:$J$805,'[1]Tickets (2)'!$C$6:$C$805),"")</f>
        <v/>
      </c>
      <c r="AR76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6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6" s="9" t="str">
        <f>IF(Tableau47[[#This Row],[GOUBLOP]]=1,Tableau47[[#This Row],[COMMENTAIRE]],"")</f>
        <v/>
      </c>
      <c r="AU76" s="9"/>
      <c r="AV76" s="9" t="str">
        <f>IFERROR(IF(_xlfn.XLOOKUP(Tableau47[[#This Row],[GOUBLOP2]],[1]!Tableau4849[ATTEINT],[1]!Tableau4849[ATTEINT])&lt;&gt;"",1,""),"")</f>
        <v/>
      </c>
      <c r="AW76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6" s="9" t="str">
        <f>IF(Tableau47[[#This Row],[COMMAND]]="","",IF(Tableau47[[#This Row],[INDEX]]&lt;3,"",LEFT(Tableau47[[#This Row],[COMMENTAIRE]],LEN(Tableau47[[#This Row],[COMMENTAIRE]])-2)))</f>
        <v>1 RBRB B 1.20313 M1</v>
      </c>
      <c r="AY76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6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6" s="9">
        <f>IF(Tableau47[[#This Row],[INDEX]]&lt;3,"",IF(Tableau47[[#This Row],[COMMAND]]="","",IFERROR(Tableau47[[#This Row],[DIS_BUY]]*$AX$30,"")))</f>
        <v>0</v>
      </c>
      <c r="BB76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6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6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6" s="9">
        <f>IF(AND(Tableau47[[#This Row],[GO]]="GO",ISNUMBER(SEARCH("BUY",Tableau47[[#This Row],[COMMAND]]))),1,"")</f>
        <v>1</v>
      </c>
      <c r="BH76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6" s="9" t="str">
        <f>IF(OR(Tableau47[[#This Row],[GLOBAL BUY]]=1),Tableau47[[#This Row],[COMMENTAIRE]],"")</f>
        <v>1 RBRB B 1.20313 M1M1</v>
      </c>
      <c r="BJ76" s="9" t="str">
        <f>IF(OR(Tableau47[[#This Row],[GLOBAL SELL]]=1),Tableau47[[#This Row],[COMMENTAIRE]],"")</f>
        <v/>
      </c>
      <c r="BK76" s="9">
        <f>IF(Tableau47[[#This Row],[INDEX]]&lt;3,"",IF(Tableau47[[#This Row],[COMMAND]]="","",SUMIFS(Tableau47[COMMENTAIRE],Tableau47[COMMENTAIRE],Tableau47[[#This Row],[COMMENTAIRE]])))</f>
        <v>0</v>
      </c>
      <c r="BL76" s="9" t="str">
        <f>IF(IFERROR(_xlfn.XLOOKUP(Tableau47[[#This Row],[COMMENTAIRE]],'[1]Tickets (2)'!$J$6:$J$805,'[1]Tickets (2)'!$J$6:$J$805),"")&lt;&gt;"",1,"")</f>
        <v/>
      </c>
      <c r="BM76" s="9">
        <f>IF(Tableau47[[#This Row],[INDEX]]&lt;3,"",IF(Tableau47[[#This Row],[COMMAND]]="","",IF('[1]Bar history'!$AA$33=1,1,"")))</f>
        <v>1</v>
      </c>
      <c r="BN76" s="9">
        <f>IFERROR(IFERROR(_xlfn.XLOOKUP(Tableau47[[#This Row],[COMMENTAIRE]],[1]!Tableau4849[IDENTITE],[1]!Tableau4849[0,5]),0),"")</f>
        <v>0</v>
      </c>
      <c r="BO76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6" s="9" t="str">
        <f>IF(IFERROR(_xlfn.XLOOKUP(Tableau47[[#This Row],[COMMENTAIRE]],'[1]Tickets (2)'!$J$6:$J$805,'[1]Tickets (2)'!$U$6:$U$805)," ")="","OK","")</f>
        <v/>
      </c>
      <c r="BQ76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6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6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6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6" s="9" t="str">
        <f>IF(IFERROR(_xlfn.XLOOKUP(Tableau47[[#This Row],[COMMENTAIRE]],'[1]Tickets (2)'!$J$6:$J$805,'[1]Tickets (2)'!$U$6:$U$805)," ")="","OK","")</f>
        <v/>
      </c>
      <c r="BV76" s="9" t="str">
        <f>IF(IFERROR(_xlfn.XLOOKUP(Tableau47[[#This Row],[COMMENTAIRE]],'[1]Tickets (2)'!$J$6:$J$805,'[1]Tickets (2)'!$V$6:$V$805)," ")="","OK","")</f>
        <v/>
      </c>
      <c r="BW76" s="9" t="e">
        <f>IF(Tableau47[[#This Row],[INDEX]]&lt;3,"",IF(Tableau47[[#This Row],[COMMAND]]="","",([1]FSI_TB!$F$12/10)*(Tableau47[[#This Row],[LOT]]/$BW$30)))</f>
        <v>#DIV/0!</v>
      </c>
      <c r="BX76" s="9" t="e">
        <f>IF(Tableau47[[#This Row],[INDEX]]&lt;3,"",IF(Tableau47[[#This Row],[COMMAND]]="","",-([1]FSI_TB!$D$12/10)*(Tableau47[[#This Row],[LOT]]/$BW$30)))</f>
        <v>#DIV/0!</v>
      </c>
      <c r="BY76" s="9" t="s">
        <v>97</v>
      </c>
      <c r="BZ76" s="9" t="str">
        <f>IF(AND(Tableau47[[#This Row],[CLOTURE]]="REPOSITIONNER"),"OK",IF(AND(Tableau47[[#This Row],[CLOTURE]]="GAGNANT"),"KO",IF(Tableau47[[#This Row],[NON]]="NON","NON","")))</f>
        <v>NON</v>
      </c>
      <c r="CA76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8000</v>
      </c>
      <c r="CB76" s="9" t="str">
        <f>IFERROR(_xlfn.XLOOKUP(Tableau47[[#This Row],[COMMENTAIRE]],'[1]Tickets (2)'!$J$6:$J$805,'[1]Tickets (2)'!$F$6:$F$805),"")</f>
        <v/>
      </c>
      <c r="CC76" s="9">
        <f>IF(Tableau47[[#This Row],[INDEX]]&lt;3,"",IF(Tableau47[[#This Row],[COMMAND]]="","",Tableau47[[#This Row],[LOT]]))</f>
        <v>8000</v>
      </c>
      <c r="CD76" s="9">
        <f>IF(Tableau47[[#This Row],[INDEX]]&lt;3,"",IF(Tableau47[[#This Row],[COMMAND]]="","",IFERROR(_xlfn.XLOOKUP(Tableau47[[#This Row],[COMMENTAIRE]],[1]!Tableau4849[IDENTITE],[1]!Tableau4849[0,5]),0)))</f>
        <v>0</v>
      </c>
      <c r="CE7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6" s="9" t="str" cm="1">
        <f t="array" ref="CG76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6" s="9"/>
      <c r="CI76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6" s="9"/>
      <c r="CK76" s="21"/>
      <c r="CL76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6" s="9"/>
      <c r="CN76" s="9" t="str">
        <f>IF(Tableau47[[#This Row],[INDEX]]&lt;3,"",IF(Tableau47[[#This Row],[COMMAND]]="","",IF(AND(Tableau47[[#This Row],[EN ATTENTES]]="NON",Tableau47[[#This Row],[EN COURS]]&lt;&gt;""),"OK","STOP")))</f>
        <v>STOP</v>
      </c>
      <c r="CO76" s="19">
        <f>Tableau47[[#This Row],[Cst TIME]]</f>
        <v>44923.369531944445</v>
      </c>
      <c r="CP76" s="9">
        <f>[1]analos!$Q$237</f>
        <v>926507</v>
      </c>
      <c r="CQ76" s="9" t="str">
        <f>[1]FSI_TB!$F$3</f>
        <v>EURUSD</v>
      </c>
      <c r="CR76" s="9" t="str">
        <f>Tableau47[[#This Row],[GO1]]</f>
        <v>BUY</v>
      </c>
      <c r="CS76" s="9" t="str">
        <f>Tableau47[[#This Row],[PRICE]]</f>
        <v>1.06543</v>
      </c>
      <c r="CT76" s="9">
        <f>Tableau47[[#This Row],[LOT]]</f>
        <v>8000</v>
      </c>
      <c r="CU76" s="9" t="str">
        <f>Tableau47[[#This Row],[COMMENTAIRE]]</f>
        <v>1 RBRB B 1.20313 M1M1</v>
      </c>
      <c r="CV76" s="9"/>
      <c r="CW76" s="9">
        <v>1</v>
      </c>
      <c r="CX76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6" s="9">
        <f t="shared" ca="1" si="0"/>
        <v>44929.316958449075</v>
      </c>
    </row>
    <row r="77" spans="3:103" ht="15.75" x14ac:dyDescent="0.25">
      <c r="C77" s="8"/>
      <c r="D77" s="9"/>
      <c r="L77" s="9">
        <v>45</v>
      </c>
      <c r="M77" s="9" t="s">
        <v>123</v>
      </c>
      <c r="N77" s="9" t="s">
        <v>187</v>
      </c>
      <c r="O77" s="8" t="s">
        <v>188</v>
      </c>
      <c r="P77" s="9" t="s">
        <v>0</v>
      </c>
      <c r="Q77" s="9">
        <v>65000</v>
      </c>
      <c r="R7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77" s="9" t="str">
        <f>IF(AND(ISNUMBER(SEARCH("BUY",Tableau47[[#This Row],[COMMAND]]))),"BUY",IF(AND(ISNUMBER(SEARCH("SELL",Tableau47[[#This Row],[COMMAND]]))),"SELL",""))</f>
        <v>BUY</v>
      </c>
      <c r="T77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77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77" s="9">
        <v>925832</v>
      </c>
      <c r="W77" s="22">
        <v>44923.368896990738</v>
      </c>
      <c r="X77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77" s="9">
        <f>IFERROR(VALUE(SUBSTITUTE(Tableau47[[#This Row],[PRICE]],".",",")),"")</f>
        <v>1.0655300000000001</v>
      </c>
      <c r="Z77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77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7" s="9" t="str">
        <f>IF(IFERROR(_xlfn.XLOOKUP(Tableau47[[#This Row],[COMMENTAIRE]],'[1]Tickets (2)'!$J$6:$J$805,'[1]Tickets (2)'!$J$6:$J$805),"")&lt;&gt;"",1,"")</f>
        <v/>
      </c>
      <c r="AC77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7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7" s="9" t="str">
        <f>IFERROR(_xlfn.XLOOKUP(Tableau47[[#This Row],[INDEX]],Tableau47[COMPTE],Tableau47[COMPTE]),"")</f>
        <v/>
      </c>
      <c r="AF77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7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7" s="17">
        <f>IF(Tableau47[[#This Row],[COMMAND]]="BUYSTOP",IFERROR(ABS(Tableau47[[#This Row],[GO7]]-'[1]Deal ticket'!$B$15),""),"")</f>
        <v>9.0000000000145519E-5</v>
      </c>
      <c r="AI77" s="9" t="str">
        <f>IF(Tableau47[[#This Row],[COMMAND]]="SELLSTOP",IFERROR(ABS(Tableau47[[#This Row],[GO7]]-'[1]Deal ticket'!$B$16),""),"")</f>
        <v/>
      </c>
      <c r="AJ77" s="9" t="str">
        <f>IF(IFERROR(_xlfn.XLOOKUP(Tableau47[[#This Row],[COMMENTAIRE]],'[1]Tickets (2)'!$J$6:$J$805,'[1]Tickets (2)'!$J$6:$J$805),"")&lt;&gt;"",1,"")</f>
        <v/>
      </c>
      <c r="AK77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7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7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7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1.0655300000000001</v>
      </c>
      <c r="AO77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7" s="9" t="s">
        <v>97</v>
      </c>
      <c r="AQ77" s="9" t="str">
        <f>IFERROR(_xlfn.XLOOKUP(Tableau47[[#This Row],[COMMENTAIRE]],'[1]Tickets (2)'!$J$6:$J$805,'[1]Tickets (2)'!$C$6:$C$805),"")</f>
        <v/>
      </c>
      <c r="AR77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7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7" s="9" t="str">
        <f>IF(Tableau47[[#This Row],[GOUBLOP]]=1,Tableau47[[#This Row],[COMMENTAIRE]],"")</f>
        <v/>
      </c>
      <c r="AU77" s="9"/>
      <c r="AV77" s="9" t="str">
        <f>IFERROR(IF(_xlfn.XLOOKUP(Tableau47[[#This Row],[GOUBLOP2]],[1]!Tableau4849[ATTEINT],[1]!Tableau4849[ATTEINT])&lt;&gt;"",1,""),"")</f>
        <v/>
      </c>
      <c r="AW77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7" s="9" t="str">
        <f>IF(Tableau47[[#This Row],[COMMAND]]="","",IF(Tableau47[[#This Row],[INDEX]]&lt;3,"",LEFT(Tableau47[[#This Row],[COMMENTAIRE]],LEN(Tableau47[[#This Row],[COMMENTAIRE]])-2)))</f>
        <v>1 RBRB B 1.06403 M1</v>
      </c>
      <c r="AY77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7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7" s="9">
        <f>IF(Tableau47[[#This Row],[INDEX]]&lt;3,"",IF(Tableau47[[#This Row],[COMMAND]]="","",IFERROR(Tableau47[[#This Row],[DIS_BUY]]*$AX$30,"")))</f>
        <v>0</v>
      </c>
      <c r="BB77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7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7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7" s="9" t="str">
        <f>IF(AND(Tableau47[[#This Row],[GO]]="GO",ISNUMBER(SEARCH("BUY",Tableau47[[#This Row],[COMMAND]]))),1,"")</f>
        <v/>
      </c>
      <c r="BH77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7" s="9" t="str">
        <f>IF(OR(Tableau47[[#This Row],[GLOBAL BUY]]=1),Tableau47[[#This Row],[COMMENTAIRE]],"")</f>
        <v/>
      </c>
      <c r="BJ77" s="9" t="str">
        <f>IF(OR(Tableau47[[#This Row],[GLOBAL SELL]]=1),Tableau47[[#This Row],[COMMENTAIRE]],"")</f>
        <v/>
      </c>
      <c r="BK77" s="9">
        <f>IF(Tableau47[[#This Row],[INDEX]]&lt;3,"",IF(Tableau47[[#This Row],[COMMAND]]="","",SUMIFS(Tableau47[COMMENTAIRE],Tableau47[COMMENTAIRE],Tableau47[[#This Row],[COMMENTAIRE]])))</f>
        <v>0</v>
      </c>
      <c r="BL77" s="9" t="str">
        <f>IF(IFERROR(_xlfn.XLOOKUP(Tableau47[[#This Row],[COMMENTAIRE]],'[1]Tickets (2)'!$J$6:$J$805,'[1]Tickets (2)'!$J$6:$J$805),"")&lt;&gt;"",1,"")</f>
        <v/>
      </c>
      <c r="BM77" s="9">
        <f>IF(Tableau47[[#This Row],[INDEX]]&lt;3,"",IF(Tableau47[[#This Row],[COMMAND]]="","",IF('[1]Bar history'!$AA$33=1,1,"")))</f>
        <v>1</v>
      </c>
      <c r="BN77" s="9">
        <f>IFERROR(IFERROR(_xlfn.XLOOKUP(Tableau47[[#This Row],[COMMENTAIRE]],[1]!Tableau4849[IDENTITE],[1]!Tableau4849[0,5]),0),"")</f>
        <v>0</v>
      </c>
      <c r="BO77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7" s="9" t="str">
        <f>IF(IFERROR(_xlfn.XLOOKUP(Tableau47[[#This Row],[COMMENTAIRE]],'[1]Tickets (2)'!$J$6:$J$805,'[1]Tickets (2)'!$U$6:$U$805)," ")="","OK","")</f>
        <v/>
      </c>
      <c r="BQ77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7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7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7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7" s="9" t="str">
        <f>IF(IFERROR(_xlfn.XLOOKUP(Tableau47[[#This Row],[COMMENTAIRE]],'[1]Tickets (2)'!$J$6:$J$805,'[1]Tickets (2)'!$U$6:$U$805)," ")="","OK","")</f>
        <v/>
      </c>
      <c r="BV77" s="9" t="str">
        <f>IF(IFERROR(_xlfn.XLOOKUP(Tableau47[[#This Row],[COMMENTAIRE]],'[1]Tickets (2)'!$J$6:$J$805,'[1]Tickets (2)'!$V$6:$V$805)," ")="","OK","")</f>
        <v/>
      </c>
      <c r="BW77" s="9" t="e">
        <f>IF(Tableau47[[#This Row],[INDEX]]&lt;3,"",IF(Tableau47[[#This Row],[COMMAND]]="","",([1]FSI_TB!$F$12/10)*(Tableau47[[#This Row],[LOT]]/$BW$30)))</f>
        <v>#DIV/0!</v>
      </c>
      <c r="BX77" s="9" t="e">
        <f>IF(Tableau47[[#This Row],[INDEX]]&lt;3,"",IF(Tableau47[[#This Row],[COMMAND]]="","",-([1]FSI_TB!$D$12/10)*(Tableau47[[#This Row],[LOT]]/$BW$30)))</f>
        <v>#DIV/0!</v>
      </c>
      <c r="BY77" s="9" t="s">
        <v>97</v>
      </c>
      <c r="BZ77" s="9" t="str">
        <f>IF(AND(Tableau47[[#This Row],[CLOTURE]]="REPOSITIONNER"),"OK",IF(AND(Tableau47[[#This Row],[CLOTURE]]="GAGNANT"),"KO",IF(Tableau47[[#This Row],[NON]]="NON","NON","")))</f>
        <v>NON</v>
      </c>
      <c r="CA77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65000</v>
      </c>
      <c r="CB77" s="9" t="str">
        <f>IFERROR(_xlfn.XLOOKUP(Tableau47[[#This Row],[COMMENTAIRE]],'[1]Tickets (2)'!$J$6:$J$805,'[1]Tickets (2)'!$F$6:$F$805),"")</f>
        <v/>
      </c>
      <c r="CC77" s="9">
        <f>IF(Tableau47[[#This Row],[INDEX]]&lt;3,"",IF(Tableau47[[#This Row],[COMMAND]]="","",Tableau47[[#This Row],[LOT]]))</f>
        <v>65000</v>
      </c>
      <c r="CD77" s="9">
        <f>IF(Tableau47[[#This Row],[INDEX]]&lt;3,"",IF(Tableau47[[#This Row],[COMMAND]]="","",IFERROR(_xlfn.XLOOKUP(Tableau47[[#This Row],[COMMENTAIRE]],[1]!Tableau4849[IDENTITE],[1]!Tableau4849[0,5]),0)))</f>
        <v>0</v>
      </c>
      <c r="CE7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7" s="9" t="str" cm="1">
        <f t="array" ref="CG77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7" s="9"/>
      <c r="CI77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7" s="9"/>
      <c r="CK77" s="21"/>
      <c r="CL77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7" s="9"/>
      <c r="CN77" s="9" t="str">
        <f>IF(Tableau47[[#This Row],[INDEX]]&lt;3,"",IF(Tableau47[[#This Row],[COMMAND]]="","",IF(AND(Tableau47[[#This Row],[EN ATTENTES]]="NON",Tableau47[[#This Row],[EN COURS]]&lt;&gt;""),"OK","STOP")))</f>
        <v>STOP</v>
      </c>
      <c r="CO77" s="19">
        <f>Tableau47[[#This Row],[Cst TIME]]</f>
        <v>44923.368896990738</v>
      </c>
      <c r="CP77" s="9">
        <f>[1]analos!$Q$237</f>
        <v>926507</v>
      </c>
      <c r="CQ77" s="9" t="str">
        <f>[1]FSI_TB!$F$3</f>
        <v>EURUSD</v>
      </c>
      <c r="CR77" s="9" t="str">
        <f>Tableau47[[#This Row],[GO1]]</f>
        <v>BUY</v>
      </c>
      <c r="CS77" s="9" t="str">
        <f>Tableau47[[#This Row],[PRICE]]</f>
        <v>1.06553</v>
      </c>
      <c r="CT77" s="9">
        <f>Tableau47[[#This Row],[LOT]]</f>
        <v>65000</v>
      </c>
      <c r="CU77" s="9" t="str">
        <f>Tableau47[[#This Row],[COMMENTAIRE]]</f>
        <v>1 RBRB B 1.06403 M1M1</v>
      </c>
      <c r="CV77" s="9"/>
      <c r="CW77" s="9">
        <v>1</v>
      </c>
      <c r="CX77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7" s="9">
        <f t="shared" ca="1" si="0"/>
        <v>44929.316958449075</v>
      </c>
    </row>
    <row r="78" spans="3:103" ht="15.75" x14ac:dyDescent="0.25">
      <c r="C78" s="8"/>
      <c r="D78" s="9"/>
      <c r="L78" s="9">
        <v>46</v>
      </c>
      <c r="M78" s="9" t="s">
        <v>132</v>
      </c>
      <c r="N78" s="9" t="s">
        <v>189</v>
      </c>
      <c r="O78" s="8" t="s">
        <v>190</v>
      </c>
      <c r="P78" s="9" t="s">
        <v>0</v>
      </c>
      <c r="Q78" s="9">
        <v>4000</v>
      </c>
      <c r="R7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78" s="9" t="str">
        <f>IF(AND(ISNUMBER(SEARCH("BUY",Tableau47[[#This Row],[COMMAND]]))),"BUY",IF(AND(ISNUMBER(SEARCH("SELL",Tableau47[[#This Row],[COMMAND]]))),"SELL",""))</f>
        <v>SELL</v>
      </c>
      <c r="T78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78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78" s="9">
        <v>925832</v>
      </c>
      <c r="W78" s="22">
        <v>44923.338701967594</v>
      </c>
      <c r="X78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78" s="9">
        <f>IFERROR(VALUE(SUBSTITUTE(Tableau47[[#This Row],[PRICE]],".",",")),"")</f>
        <v>1.0629500000000001</v>
      </c>
      <c r="Z78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78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8" s="9" t="str">
        <f>IF(IFERROR(_xlfn.XLOOKUP(Tableau47[[#This Row],[COMMENTAIRE]],'[1]Tickets (2)'!$J$6:$J$805,'[1]Tickets (2)'!$J$6:$J$805),"")&lt;&gt;"",1,"")</f>
        <v/>
      </c>
      <c r="AC78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8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8" s="9" t="str">
        <f>IFERROR(_xlfn.XLOOKUP(Tableau47[[#This Row],[INDEX]],Tableau47[COMPTE],Tableau47[COMPTE]),"")</f>
        <v/>
      </c>
      <c r="AF78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8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8" s="17" t="str">
        <f>IF(Tableau47[[#This Row],[COMMAND]]="BUYSTOP",IFERROR(ABS(Tableau47[[#This Row],[GO7]]-'[1]Deal ticket'!$B$15),""),"")</f>
        <v/>
      </c>
      <c r="AI78" s="9">
        <f>IF(Tableau47[[#This Row],[COMMAND]]="SELLSTOP",IFERROR(ABS(Tableau47[[#This Row],[GO7]]-'[1]Deal ticket'!$B$16),""),"")</f>
        <v>2.6299999999999102E-3</v>
      </c>
      <c r="AJ78" s="9" t="str">
        <f>IF(IFERROR(_xlfn.XLOOKUP(Tableau47[[#This Row],[COMMENTAIRE]],'[1]Tickets (2)'!$J$6:$J$805,'[1]Tickets (2)'!$J$6:$J$805),"")&lt;&gt;"",1,"")</f>
        <v/>
      </c>
      <c r="AK78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8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8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8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1.0629500000000001</v>
      </c>
      <c r="AO78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8" s="9" t="s">
        <v>97</v>
      </c>
      <c r="AQ78" s="9" t="str">
        <f>IFERROR(_xlfn.XLOOKUP(Tableau47[[#This Row],[COMMENTAIRE]],'[1]Tickets (2)'!$J$6:$J$805,'[1]Tickets (2)'!$C$6:$C$805),"")</f>
        <v/>
      </c>
      <c r="AR78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8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8" s="9" t="str">
        <f>IF(Tableau47[[#This Row],[GOUBLOP]]=1,Tableau47[[#This Row],[COMMENTAIRE]],"")</f>
        <v/>
      </c>
      <c r="AU78" s="9"/>
      <c r="AV78" s="9" t="str">
        <f>IFERROR(IF(_xlfn.XLOOKUP(Tableau47[[#This Row],[GOUBLOP2]],[1]!Tableau4849[ATTEINT],[1]!Tableau4849[ATTEINT])&lt;&gt;"",1,""),"")</f>
        <v/>
      </c>
      <c r="AW78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8" s="9" t="str">
        <f>IF(Tableau47[[#This Row],[COMMAND]]="","",IF(Tableau47[[#This Row],[INDEX]]&lt;3,"",LEFT(Tableau47[[#This Row],[COMMENTAIRE]],LEN(Tableau47[[#This Row],[COMMENTAIRE]])-2)))</f>
        <v>1 RSRS S 1.063 M1</v>
      </c>
      <c r="AY78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8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8" s="9" t="str">
        <f>IF(Tableau47[[#This Row],[INDEX]]&lt;3,"",IF(Tableau47[[#This Row],[COMMAND]]="","",IFERROR(Tableau47[[#This Row],[DIS_BUY]]*$AX$30,"")))</f>
        <v/>
      </c>
      <c r="BB78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8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8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8" s="9" t="str">
        <f>IF(AND(Tableau47[[#This Row],[GO]]="GO",ISNUMBER(SEARCH("BUY",Tableau47[[#This Row],[COMMAND]]))),1,"")</f>
        <v/>
      </c>
      <c r="BH78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8" s="9" t="str">
        <f>IF(OR(Tableau47[[#This Row],[GLOBAL BUY]]=1),Tableau47[[#This Row],[COMMENTAIRE]],"")</f>
        <v/>
      </c>
      <c r="BJ78" s="9" t="str">
        <f>IF(OR(Tableau47[[#This Row],[GLOBAL SELL]]=1),Tableau47[[#This Row],[COMMENTAIRE]],"")</f>
        <v/>
      </c>
      <c r="BK78" s="9">
        <f>IF(Tableau47[[#This Row],[INDEX]]&lt;3,"",IF(Tableau47[[#This Row],[COMMAND]]="","",SUMIFS(Tableau47[COMMENTAIRE],Tableau47[COMMENTAIRE],Tableau47[[#This Row],[COMMENTAIRE]])))</f>
        <v>0</v>
      </c>
      <c r="BL78" s="9" t="str">
        <f>IF(IFERROR(_xlfn.XLOOKUP(Tableau47[[#This Row],[COMMENTAIRE]],'[1]Tickets (2)'!$J$6:$J$805,'[1]Tickets (2)'!$J$6:$J$805),"")&lt;&gt;"",1,"")</f>
        <v/>
      </c>
      <c r="BM78" s="9">
        <f>IF(Tableau47[[#This Row],[INDEX]]&lt;3,"",IF(Tableau47[[#This Row],[COMMAND]]="","",IF('[1]Bar history'!$AA$33=1,1,"")))</f>
        <v>1</v>
      </c>
      <c r="BN78" s="9">
        <f>IFERROR(IFERROR(_xlfn.XLOOKUP(Tableau47[[#This Row],[COMMENTAIRE]],[1]!Tableau4849[IDENTITE],[1]!Tableau4849[0,5]),0),"")</f>
        <v>0</v>
      </c>
      <c r="BO78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8" s="9" t="str">
        <f>IF(IFERROR(_xlfn.XLOOKUP(Tableau47[[#This Row],[COMMENTAIRE]],'[1]Tickets (2)'!$J$6:$J$805,'[1]Tickets (2)'!$U$6:$U$805)," ")="","OK","")</f>
        <v/>
      </c>
      <c r="BQ78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8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8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8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8" s="9" t="str">
        <f>IF(IFERROR(_xlfn.XLOOKUP(Tableau47[[#This Row],[COMMENTAIRE]],'[1]Tickets (2)'!$J$6:$J$805,'[1]Tickets (2)'!$U$6:$U$805)," ")="","OK","")</f>
        <v/>
      </c>
      <c r="BV78" s="9" t="str">
        <f>IF(IFERROR(_xlfn.XLOOKUP(Tableau47[[#This Row],[COMMENTAIRE]],'[1]Tickets (2)'!$J$6:$J$805,'[1]Tickets (2)'!$V$6:$V$805)," ")="","OK","")</f>
        <v/>
      </c>
      <c r="BW78" s="9" t="e">
        <f>IF(Tableau47[[#This Row],[INDEX]]&lt;3,"",IF(Tableau47[[#This Row],[COMMAND]]="","",([1]FSI_TB!$F$12/10)*(Tableau47[[#This Row],[LOT]]/$BW$30)))</f>
        <v>#DIV/0!</v>
      </c>
      <c r="BX78" s="9" t="e">
        <f>IF(Tableau47[[#This Row],[INDEX]]&lt;3,"",IF(Tableau47[[#This Row],[COMMAND]]="","",-([1]FSI_TB!$D$12/10)*(Tableau47[[#This Row],[LOT]]/$BW$30)))</f>
        <v>#DIV/0!</v>
      </c>
      <c r="BY78" s="9" t="s">
        <v>97</v>
      </c>
      <c r="BZ78" s="9" t="str">
        <f>IF(AND(Tableau47[[#This Row],[CLOTURE]]="REPOSITIONNER"),"OK",IF(AND(Tableau47[[#This Row],[CLOTURE]]="GAGNANT"),"KO",IF(Tableau47[[#This Row],[NON]]="NON","NON","")))</f>
        <v>NON</v>
      </c>
      <c r="CA78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78" s="9" t="str">
        <f>IFERROR(_xlfn.XLOOKUP(Tableau47[[#This Row],[COMMENTAIRE]],'[1]Tickets (2)'!$J$6:$J$805,'[1]Tickets (2)'!$F$6:$F$805),"")</f>
        <v/>
      </c>
      <c r="CC78" s="9">
        <f>IF(Tableau47[[#This Row],[INDEX]]&lt;3,"",IF(Tableau47[[#This Row],[COMMAND]]="","",Tableau47[[#This Row],[LOT]]))</f>
        <v>4000</v>
      </c>
      <c r="CD78" s="9">
        <f>IF(Tableau47[[#This Row],[INDEX]]&lt;3,"",IF(Tableau47[[#This Row],[COMMAND]]="","",IFERROR(_xlfn.XLOOKUP(Tableau47[[#This Row],[COMMENTAIRE]],[1]!Tableau4849[IDENTITE],[1]!Tableau4849[0,5]),0)))</f>
        <v>0</v>
      </c>
      <c r="CE7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8" s="9" t="str" cm="1">
        <f t="array" ref="CG78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8" s="9"/>
      <c r="CI78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8" s="9"/>
      <c r="CK78" s="21"/>
      <c r="CL78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8" s="9"/>
      <c r="CN78" s="9" t="str">
        <f>IF(Tableau47[[#This Row],[INDEX]]&lt;3,"",IF(Tableau47[[#This Row],[COMMAND]]="","",IF(AND(Tableau47[[#This Row],[EN ATTENTES]]="NON",Tableau47[[#This Row],[EN COURS]]&lt;&gt;""),"OK","STOP")))</f>
        <v>STOP</v>
      </c>
      <c r="CO78" s="19">
        <f>Tableau47[[#This Row],[Cst TIME]]</f>
        <v>44923.338701967594</v>
      </c>
      <c r="CP78" s="9">
        <f>[1]analos!$Q$237</f>
        <v>926507</v>
      </c>
      <c r="CQ78" s="9" t="str">
        <f>[1]FSI_TB!$F$3</f>
        <v>EURUSD</v>
      </c>
      <c r="CR78" s="9" t="str">
        <f>Tableau47[[#This Row],[GO1]]</f>
        <v>SELL</v>
      </c>
      <c r="CS78" s="9" t="str">
        <f>Tableau47[[#This Row],[PRICE]]</f>
        <v>1.06295</v>
      </c>
      <c r="CT78" s="9">
        <f>Tableau47[[#This Row],[LOT]]</f>
        <v>4000</v>
      </c>
      <c r="CU78" s="9" t="str">
        <f>Tableau47[[#This Row],[COMMENTAIRE]]</f>
        <v>1 RSRS S 1.063 M1M1</v>
      </c>
      <c r="CV78" s="9"/>
      <c r="CW78" s="9">
        <v>1</v>
      </c>
      <c r="CX78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8" s="9">
        <f t="shared" ca="1" si="0"/>
        <v>44929.316958449075</v>
      </c>
    </row>
    <row r="79" spans="3:103" ht="15.75" x14ac:dyDescent="0.25">
      <c r="C79" s="8"/>
      <c r="D79" s="9"/>
      <c r="L79" s="9">
        <v>47</v>
      </c>
      <c r="M79" s="9" t="s">
        <v>132</v>
      </c>
      <c r="N79" s="9" t="s">
        <v>17</v>
      </c>
      <c r="O79" s="8" t="s">
        <v>191</v>
      </c>
      <c r="P79" s="9" t="s">
        <v>0</v>
      </c>
      <c r="Q79" s="9">
        <v>4000</v>
      </c>
      <c r="R7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79" s="9" t="str">
        <f>IF(AND(ISNUMBER(SEARCH("BUY",Tableau47[[#This Row],[COMMAND]]))),"BUY",IF(AND(ISNUMBER(SEARCH("SELL",Tableau47[[#This Row],[COMMAND]]))),"SELL",""))</f>
        <v>SELL</v>
      </c>
      <c r="T79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79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79" s="9">
        <v>925832</v>
      </c>
      <c r="W79" s="22">
        <v>44923.338479513892</v>
      </c>
      <c r="X79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79" s="9">
        <f>IFERROR(VALUE(SUBSTITUTE(Tableau47[[#This Row],[PRICE]],".",",")),"")</f>
        <v>1.06308</v>
      </c>
      <c r="Z79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79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79" s="9" t="str">
        <f>IF(IFERROR(_xlfn.XLOOKUP(Tableau47[[#This Row],[COMMENTAIRE]],'[1]Tickets (2)'!$J$6:$J$805,'[1]Tickets (2)'!$J$6:$J$805),"")&lt;&gt;"",1,"")</f>
        <v/>
      </c>
      <c r="AC79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79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79" s="9" t="str">
        <f>IFERROR(_xlfn.XLOOKUP(Tableau47[[#This Row],[INDEX]],Tableau47[COMPTE],Tableau47[COMPTE]),"")</f>
        <v/>
      </c>
      <c r="AF79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79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79" s="17" t="str">
        <f>IF(Tableau47[[#This Row],[COMMAND]]="BUYSTOP",IFERROR(ABS(Tableau47[[#This Row],[GO7]]-'[1]Deal ticket'!$B$15),""),"")</f>
        <v/>
      </c>
      <c r="AI79" s="9">
        <f>IF(Tableau47[[#This Row],[COMMAND]]="SELLSTOP",IFERROR(ABS(Tableau47[[#This Row],[GO7]]-'[1]Deal ticket'!$B$16),""),"")</f>
        <v>2.4999999999999467E-3</v>
      </c>
      <c r="AJ79" s="9" t="str">
        <f>IF(IFERROR(_xlfn.XLOOKUP(Tableau47[[#This Row],[COMMENTAIRE]],'[1]Tickets (2)'!$J$6:$J$805,'[1]Tickets (2)'!$J$6:$J$805),"")&lt;&gt;"",1,"")</f>
        <v/>
      </c>
      <c r="AK79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79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79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79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1.06308</v>
      </c>
      <c r="AO79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79" s="9" t="s">
        <v>97</v>
      </c>
      <c r="AQ79" s="9" t="str">
        <f>IFERROR(_xlfn.XLOOKUP(Tableau47[[#This Row],[COMMENTAIRE]],'[1]Tickets (2)'!$J$6:$J$805,'[1]Tickets (2)'!$C$6:$C$805),"")</f>
        <v/>
      </c>
      <c r="AR79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79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79" s="9" t="str">
        <f>IF(Tableau47[[#This Row],[GOUBLOP]]=1,Tableau47[[#This Row],[COMMENTAIRE]],"")</f>
        <v/>
      </c>
      <c r="AU79" s="9"/>
      <c r="AV79" s="9" t="str">
        <f>IFERROR(IF(_xlfn.XLOOKUP(Tableau47[[#This Row],[GOUBLOP2]],[1]!Tableau4849[ATTEINT],[1]!Tableau4849[ATTEINT])&lt;&gt;"",1,""),"")</f>
        <v/>
      </c>
      <c r="AW79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79" s="9" t="str">
        <f>IF(Tableau47[[#This Row],[COMMAND]]="","",IF(Tableau47[[#This Row],[INDEX]]&lt;3,"",LEFT(Tableau47[[#This Row],[COMMENTAIRE]],LEN(Tableau47[[#This Row],[COMMENTAIRE]])-2)))</f>
        <v>1 RSRS S 1.06308 M1</v>
      </c>
      <c r="AY79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79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79" s="9" t="str">
        <f>IF(Tableau47[[#This Row],[INDEX]]&lt;3,"",IF(Tableau47[[#This Row],[COMMAND]]="","",IFERROR(Tableau47[[#This Row],[DIS_BUY]]*$AX$30,"")))</f>
        <v/>
      </c>
      <c r="BB79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79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7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79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7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79" s="9" t="str">
        <f>IF(AND(Tableau47[[#This Row],[GO]]="GO",ISNUMBER(SEARCH("BUY",Tableau47[[#This Row],[COMMAND]]))),1,"")</f>
        <v/>
      </c>
      <c r="BH79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79" s="9" t="str">
        <f>IF(OR(Tableau47[[#This Row],[GLOBAL BUY]]=1),Tableau47[[#This Row],[COMMENTAIRE]],"")</f>
        <v/>
      </c>
      <c r="BJ79" s="9" t="str">
        <f>IF(OR(Tableau47[[#This Row],[GLOBAL SELL]]=1),Tableau47[[#This Row],[COMMENTAIRE]],"")</f>
        <v/>
      </c>
      <c r="BK79" s="9">
        <f>IF(Tableau47[[#This Row],[INDEX]]&lt;3,"",IF(Tableau47[[#This Row],[COMMAND]]="","",SUMIFS(Tableau47[COMMENTAIRE],Tableau47[COMMENTAIRE],Tableau47[[#This Row],[COMMENTAIRE]])))</f>
        <v>0</v>
      </c>
      <c r="BL79" s="9" t="str">
        <f>IF(IFERROR(_xlfn.XLOOKUP(Tableau47[[#This Row],[COMMENTAIRE]],'[1]Tickets (2)'!$J$6:$J$805,'[1]Tickets (2)'!$J$6:$J$805),"")&lt;&gt;"",1,"")</f>
        <v/>
      </c>
      <c r="BM79" s="9">
        <f>IF(Tableau47[[#This Row],[INDEX]]&lt;3,"",IF(Tableau47[[#This Row],[COMMAND]]="","",IF('[1]Bar history'!$AA$33=1,1,"")))</f>
        <v>1</v>
      </c>
      <c r="BN79" s="9">
        <f>IFERROR(IFERROR(_xlfn.XLOOKUP(Tableau47[[#This Row],[COMMENTAIRE]],[1]!Tableau4849[IDENTITE],[1]!Tableau4849[0,5]),0),"")</f>
        <v>0</v>
      </c>
      <c r="BO79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79" s="9" t="str">
        <f>IF(IFERROR(_xlfn.XLOOKUP(Tableau47[[#This Row],[COMMENTAIRE]],'[1]Tickets (2)'!$J$6:$J$805,'[1]Tickets (2)'!$U$6:$U$805)," ")="","OK","")</f>
        <v/>
      </c>
      <c r="BQ79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79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79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79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79" s="9" t="str">
        <f>IF(IFERROR(_xlfn.XLOOKUP(Tableau47[[#This Row],[COMMENTAIRE]],'[1]Tickets (2)'!$J$6:$J$805,'[1]Tickets (2)'!$U$6:$U$805)," ")="","OK","")</f>
        <v/>
      </c>
      <c r="BV79" s="9" t="str">
        <f>IF(IFERROR(_xlfn.XLOOKUP(Tableau47[[#This Row],[COMMENTAIRE]],'[1]Tickets (2)'!$J$6:$J$805,'[1]Tickets (2)'!$V$6:$V$805)," ")="","OK","")</f>
        <v/>
      </c>
      <c r="BW79" s="9" t="e">
        <f>IF(Tableau47[[#This Row],[INDEX]]&lt;3,"",IF(Tableau47[[#This Row],[COMMAND]]="","",([1]FSI_TB!$F$12/10)*(Tableau47[[#This Row],[LOT]]/$BW$30)))</f>
        <v>#DIV/0!</v>
      </c>
      <c r="BX79" s="9" t="e">
        <f>IF(Tableau47[[#This Row],[INDEX]]&lt;3,"",IF(Tableau47[[#This Row],[COMMAND]]="","",-([1]FSI_TB!$D$12/10)*(Tableau47[[#This Row],[LOT]]/$BW$30)))</f>
        <v>#DIV/0!</v>
      </c>
      <c r="BY79" s="9" t="s">
        <v>97</v>
      </c>
      <c r="BZ79" s="9" t="str">
        <f>IF(AND(Tableau47[[#This Row],[CLOTURE]]="REPOSITIONNER"),"OK",IF(AND(Tableau47[[#This Row],[CLOTURE]]="GAGNANT"),"KO",IF(Tableau47[[#This Row],[NON]]="NON","NON","")))</f>
        <v>NON</v>
      </c>
      <c r="CA79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79" s="9" t="str">
        <f>IFERROR(_xlfn.XLOOKUP(Tableau47[[#This Row],[COMMENTAIRE]],'[1]Tickets (2)'!$J$6:$J$805,'[1]Tickets (2)'!$F$6:$F$805),"")</f>
        <v/>
      </c>
      <c r="CC79" s="9">
        <f>IF(Tableau47[[#This Row],[INDEX]]&lt;3,"",IF(Tableau47[[#This Row],[COMMAND]]="","",Tableau47[[#This Row],[LOT]]))</f>
        <v>4000</v>
      </c>
      <c r="CD79" s="9">
        <f>IF(Tableau47[[#This Row],[INDEX]]&lt;3,"",IF(Tableau47[[#This Row],[COMMAND]]="","",IFERROR(_xlfn.XLOOKUP(Tableau47[[#This Row],[COMMENTAIRE]],[1]!Tableau4849[IDENTITE],[1]!Tableau4849[0,5]),0)))</f>
        <v>0</v>
      </c>
      <c r="CE7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7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79" s="9" t="str" cm="1">
        <f t="array" ref="CG79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79" s="9"/>
      <c r="CI79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79" s="9"/>
      <c r="CK79" s="21"/>
      <c r="CL79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79" s="9"/>
      <c r="CN79" s="9" t="str">
        <f>IF(Tableau47[[#This Row],[INDEX]]&lt;3,"",IF(Tableau47[[#This Row],[COMMAND]]="","",IF(AND(Tableau47[[#This Row],[EN ATTENTES]]="NON",Tableau47[[#This Row],[EN COURS]]&lt;&gt;""),"OK","STOP")))</f>
        <v>STOP</v>
      </c>
      <c r="CO79" s="19">
        <f>Tableau47[[#This Row],[Cst TIME]]</f>
        <v>44923.338479513892</v>
      </c>
      <c r="CP79" s="9">
        <f>[1]analos!$Q$237</f>
        <v>926507</v>
      </c>
      <c r="CQ79" s="9" t="str">
        <f>[1]FSI_TB!$F$3</f>
        <v>EURUSD</v>
      </c>
      <c r="CR79" s="9" t="str">
        <f>Tableau47[[#This Row],[GO1]]</f>
        <v>SELL</v>
      </c>
      <c r="CS79" s="9" t="str">
        <f>Tableau47[[#This Row],[PRICE]]</f>
        <v>1.06308</v>
      </c>
      <c r="CT79" s="9">
        <f>Tableau47[[#This Row],[LOT]]</f>
        <v>4000</v>
      </c>
      <c r="CU79" s="9" t="str">
        <f>Tableau47[[#This Row],[COMMENTAIRE]]</f>
        <v>1 RSRS S 1.06308 M1M1</v>
      </c>
      <c r="CV79" s="9"/>
      <c r="CW79" s="9">
        <v>1</v>
      </c>
      <c r="CX79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79" s="9">
        <f t="shared" ca="1" si="0"/>
        <v>44929.316958449075</v>
      </c>
    </row>
    <row r="80" spans="3:103" ht="15.75" x14ac:dyDescent="0.25">
      <c r="C80" s="8"/>
      <c r="D80" s="9"/>
      <c r="L80" s="9">
        <v>48</v>
      </c>
      <c r="M80" s="9" t="s">
        <v>132</v>
      </c>
      <c r="N80" s="9" t="s">
        <v>192</v>
      </c>
      <c r="O80" s="8" t="s">
        <v>193</v>
      </c>
      <c r="P80" s="9" t="s">
        <v>0</v>
      </c>
      <c r="Q80" s="9">
        <v>4000</v>
      </c>
      <c r="R8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0" s="9" t="str">
        <f>IF(AND(ISNUMBER(SEARCH("BUY",Tableau47[[#This Row],[COMMAND]]))),"BUY",IF(AND(ISNUMBER(SEARCH("SELL",Tableau47[[#This Row],[COMMAND]]))),"SELL",""))</f>
        <v>SELL</v>
      </c>
      <c r="T80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0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0" s="9">
        <v>925832</v>
      </c>
      <c r="W80" s="22">
        <v>44923.338348263889</v>
      </c>
      <c r="X80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0" s="9">
        <f>IFERROR(VALUE(SUBSTITUTE(Tableau47[[#This Row],[PRICE]],".",",")),"")</f>
        <v>1.0630200000000001</v>
      </c>
      <c r="Z80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0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0" s="9" t="str">
        <f>IF(IFERROR(_xlfn.XLOOKUP(Tableau47[[#This Row],[COMMENTAIRE]],'[1]Tickets (2)'!$J$6:$J$805,'[1]Tickets (2)'!$J$6:$J$805),"")&lt;&gt;"",1,"")</f>
        <v/>
      </c>
      <c r="AC80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0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0" s="9" t="str">
        <f>IFERROR(_xlfn.XLOOKUP(Tableau47[[#This Row],[INDEX]],Tableau47[COMPTE],Tableau47[COMPTE]),"")</f>
        <v/>
      </c>
      <c r="AF80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0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0" s="17" t="str">
        <f>IF(Tableau47[[#This Row],[COMMAND]]="BUYSTOP",IFERROR(ABS(Tableau47[[#This Row],[GO7]]-'[1]Deal ticket'!$B$15),""),"")</f>
        <v/>
      </c>
      <c r="AI80" s="9">
        <f>IF(Tableau47[[#This Row],[COMMAND]]="SELLSTOP",IFERROR(ABS(Tableau47[[#This Row],[GO7]]-'[1]Deal ticket'!$B$16),""),"")</f>
        <v>2.5599999999998957E-3</v>
      </c>
      <c r="AJ80" s="9" t="str">
        <f>IF(IFERROR(_xlfn.XLOOKUP(Tableau47[[#This Row],[COMMENTAIRE]],'[1]Tickets (2)'!$J$6:$J$805,'[1]Tickets (2)'!$J$6:$J$805),"")&lt;&gt;"",1,"")</f>
        <v/>
      </c>
      <c r="AK80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0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0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0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1.0630200000000001</v>
      </c>
      <c r="AO80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0" s="9" t="s">
        <v>97</v>
      </c>
      <c r="AQ80" s="9" t="str">
        <f>IFERROR(_xlfn.XLOOKUP(Tableau47[[#This Row],[COMMENTAIRE]],'[1]Tickets (2)'!$J$6:$J$805,'[1]Tickets (2)'!$C$6:$C$805),"")</f>
        <v/>
      </c>
      <c r="AR80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0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0" s="9" t="str">
        <f>IF(Tableau47[[#This Row],[GOUBLOP]]=1,Tableau47[[#This Row],[COMMENTAIRE]],"")</f>
        <v/>
      </c>
      <c r="AU80" s="9"/>
      <c r="AV80" s="9" t="str">
        <f>IFERROR(IF(_xlfn.XLOOKUP(Tableau47[[#This Row],[GOUBLOP2]],[1]!Tableau4849[ATTEINT],[1]!Tableau4849[ATTEINT])&lt;&gt;"",1,""),"")</f>
        <v/>
      </c>
      <c r="AW80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0" s="9" t="str">
        <f>IF(Tableau47[[#This Row],[COMMAND]]="","",IF(Tableau47[[#This Row],[INDEX]]&lt;3,"",LEFT(Tableau47[[#This Row],[COMMENTAIRE]],LEN(Tableau47[[#This Row],[COMMENTAIRE]])-2)))</f>
        <v>1 RSRS S 1.06302 M1</v>
      </c>
      <c r="AY80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0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0" s="9" t="str">
        <f>IF(Tableau47[[#This Row],[INDEX]]&lt;3,"",IF(Tableau47[[#This Row],[COMMAND]]="","",IFERROR(Tableau47[[#This Row],[DIS_BUY]]*$AX$30,"")))</f>
        <v/>
      </c>
      <c r="BB80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0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0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0" s="9" t="str">
        <f>IF(AND(Tableau47[[#This Row],[GO]]="GO",ISNUMBER(SEARCH("BUY",Tableau47[[#This Row],[COMMAND]]))),1,"")</f>
        <v/>
      </c>
      <c r="BH80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0" s="9" t="str">
        <f>IF(OR(Tableau47[[#This Row],[GLOBAL BUY]]=1),Tableau47[[#This Row],[COMMENTAIRE]],"")</f>
        <v/>
      </c>
      <c r="BJ80" s="9" t="str">
        <f>IF(OR(Tableau47[[#This Row],[GLOBAL SELL]]=1),Tableau47[[#This Row],[COMMENTAIRE]],"")</f>
        <v/>
      </c>
      <c r="BK80" s="9">
        <f>IF(Tableau47[[#This Row],[INDEX]]&lt;3,"",IF(Tableau47[[#This Row],[COMMAND]]="","",SUMIFS(Tableau47[COMMENTAIRE],Tableau47[COMMENTAIRE],Tableau47[[#This Row],[COMMENTAIRE]])))</f>
        <v>0</v>
      </c>
      <c r="BL80" s="9" t="str">
        <f>IF(IFERROR(_xlfn.XLOOKUP(Tableau47[[#This Row],[COMMENTAIRE]],'[1]Tickets (2)'!$J$6:$J$805,'[1]Tickets (2)'!$J$6:$J$805),"")&lt;&gt;"",1,"")</f>
        <v/>
      </c>
      <c r="BM80" s="9">
        <f>IF(Tableau47[[#This Row],[INDEX]]&lt;3,"",IF(Tableau47[[#This Row],[COMMAND]]="","",IF('[1]Bar history'!$AA$33=1,1,"")))</f>
        <v>1</v>
      </c>
      <c r="BN80" s="9">
        <f>IFERROR(IFERROR(_xlfn.XLOOKUP(Tableau47[[#This Row],[COMMENTAIRE]],[1]!Tableau4849[IDENTITE],[1]!Tableau4849[0,5]),0),"")</f>
        <v>0</v>
      </c>
      <c r="BO80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0" s="9" t="str">
        <f>IF(IFERROR(_xlfn.XLOOKUP(Tableau47[[#This Row],[COMMENTAIRE]],'[1]Tickets (2)'!$J$6:$J$805,'[1]Tickets (2)'!$U$6:$U$805)," ")="","OK","")</f>
        <v/>
      </c>
      <c r="BQ80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0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0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0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0" s="9" t="str">
        <f>IF(IFERROR(_xlfn.XLOOKUP(Tableau47[[#This Row],[COMMENTAIRE]],'[1]Tickets (2)'!$J$6:$J$805,'[1]Tickets (2)'!$U$6:$U$805)," ")="","OK","")</f>
        <v/>
      </c>
      <c r="BV80" s="9" t="str">
        <f>IF(IFERROR(_xlfn.XLOOKUP(Tableau47[[#This Row],[COMMENTAIRE]],'[1]Tickets (2)'!$J$6:$J$805,'[1]Tickets (2)'!$V$6:$V$805)," ")="","OK","")</f>
        <v/>
      </c>
      <c r="BW80" s="9" t="e">
        <f>IF(Tableau47[[#This Row],[INDEX]]&lt;3,"",IF(Tableau47[[#This Row],[COMMAND]]="","",([1]FSI_TB!$F$12/10)*(Tableau47[[#This Row],[LOT]]/$BW$30)))</f>
        <v>#DIV/0!</v>
      </c>
      <c r="BX80" s="9" t="e">
        <f>IF(Tableau47[[#This Row],[INDEX]]&lt;3,"",IF(Tableau47[[#This Row],[COMMAND]]="","",-([1]FSI_TB!$D$12/10)*(Tableau47[[#This Row],[LOT]]/$BW$30)))</f>
        <v>#DIV/0!</v>
      </c>
      <c r="BY80" s="9" t="s">
        <v>97</v>
      </c>
      <c r="BZ80" s="9" t="str">
        <f>IF(AND(Tableau47[[#This Row],[CLOTURE]]="REPOSITIONNER"),"OK",IF(AND(Tableau47[[#This Row],[CLOTURE]]="GAGNANT"),"KO",IF(Tableau47[[#This Row],[NON]]="NON","NON","")))</f>
        <v>NON</v>
      </c>
      <c r="CA80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80" s="9" t="str">
        <f>IFERROR(_xlfn.XLOOKUP(Tableau47[[#This Row],[COMMENTAIRE]],'[1]Tickets (2)'!$J$6:$J$805,'[1]Tickets (2)'!$F$6:$F$805),"")</f>
        <v/>
      </c>
      <c r="CC80" s="9">
        <f>IF(Tableau47[[#This Row],[INDEX]]&lt;3,"",IF(Tableau47[[#This Row],[COMMAND]]="","",Tableau47[[#This Row],[LOT]]))</f>
        <v>4000</v>
      </c>
      <c r="CD80" s="9">
        <f>IF(Tableau47[[#This Row],[INDEX]]&lt;3,"",IF(Tableau47[[#This Row],[COMMAND]]="","",IFERROR(_xlfn.XLOOKUP(Tableau47[[#This Row],[COMMENTAIRE]],[1]!Tableau4849[IDENTITE],[1]!Tableau4849[0,5]),0)))</f>
        <v>0</v>
      </c>
      <c r="CE8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0" s="9" t="str" cm="1">
        <f t="array" ref="CG80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0" s="9"/>
      <c r="CI80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0" s="9"/>
      <c r="CK80" s="21"/>
      <c r="CL80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0" s="9"/>
      <c r="CN80" s="9" t="str">
        <f>IF(Tableau47[[#This Row],[INDEX]]&lt;3,"",IF(Tableau47[[#This Row],[COMMAND]]="","",IF(AND(Tableau47[[#This Row],[EN ATTENTES]]="NON",Tableau47[[#This Row],[EN COURS]]&lt;&gt;""),"OK","STOP")))</f>
        <v>STOP</v>
      </c>
      <c r="CO80" s="19">
        <f>Tableau47[[#This Row],[Cst TIME]]</f>
        <v>44923.338348263889</v>
      </c>
      <c r="CP80" s="9">
        <f>[1]analos!$Q$237</f>
        <v>926507</v>
      </c>
      <c r="CQ80" s="9" t="str">
        <f>[1]FSI_TB!$F$3</f>
        <v>EURUSD</v>
      </c>
      <c r="CR80" s="9" t="str">
        <f>Tableau47[[#This Row],[GO1]]</f>
        <v>SELL</v>
      </c>
      <c r="CS80" s="9" t="str">
        <f>Tableau47[[#This Row],[PRICE]]</f>
        <v>1.06302</v>
      </c>
      <c r="CT80" s="9">
        <f>Tableau47[[#This Row],[LOT]]</f>
        <v>4000</v>
      </c>
      <c r="CU80" s="9" t="str">
        <f>Tableau47[[#This Row],[COMMENTAIRE]]</f>
        <v>1 RSRS S 1.06302 M1M1</v>
      </c>
      <c r="CV80" s="9"/>
      <c r="CW80" s="9">
        <v>1</v>
      </c>
      <c r="CX80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0" s="9">
        <f t="shared" ca="1" si="0"/>
        <v>44929.316958449075</v>
      </c>
    </row>
    <row r="81" spans="3:103" ht="15.75" x14ac:dyDescent="0.25">
      <c r="C81" s="8"/>
      <c r="D81" s="9"/>
      <c r="L81" s="9">
        <v>49</v>
      </c>
      <c r="M81" s="9" t="s">
        <v>132</v>
      </c>
      <c r="N81" s="9" t="s">
        <v>7</v>
      </c>
      <c r="O81" s="8" t="s">
        <v>194</v>
      </c>
      <c r="P81" s="9" t="s">
        <v>0</v>
      </c>
      <c r="Q81" s="9">
        <v>4000</v>
      </c>
      <c r="R8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1" s="9" t="str">
        <f>IF(AND(ISNUMBER(SEARCH("BUY",Tableau47[[#This Row],[COMMAND]]))),"BUY",IF(AND(ISNUMBER(SEARCH("SELL",Tableau47[[#This Row],[COMMAND]]))),"SELL",""))</f>
        <v>SELL</v>
      </c>
      <c r="T81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1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1" s="9">
        <v>925832</v>
      </c>
      <c r="W81" s="22">
        <v>44923.338140046297</v>
      </c>
      <c r="X81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1" s="9">
        <f>IFERROR(VALUE(SUBSTITUTE(Tableau47[[#This Row],[PRICE]],".",",")),"")</f>
        <v>1.06291</v>
      </c>
      <c r="Z81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1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1" s="9" t="str">
        <f>IF(IFERROR(_xlfn.XLOOKUP(Tableau47[[#This Row],[COMMENTAIRE]],'[1]Tickets (2)'!$J$6:$J$805,'[1]Tickets (2)'!$J$6:$J$805),"")&lt;&gt;"",1,"")</f>
        <v/>
      </c>
      <c r="AC81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1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1" s="9" t="str">
        <f>IFERROR(_xlfn.XLOOKUP(Tableau47[[#This Row],[INDEX]],Tableau47[COMPTE],Tableau47[COMPTE]),"")</f>
        <v/>
      </c>
      <c r="AF81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1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1" s="17" t="str">
        <f>IF(Tableau47[[#This Row],[COMMAND]]="BUYSTOP",IFERROR(ABS(Tableau47[[#This Row],[GO7]]-'[1]Deal ticket'!$B$15),""),"")</f>
        <v/>
      </c>
      <c r="AI81" s="9">
        <f>IF(Tableau47[[#This Row],[COMMAND]]="SELLSTOP",IFERROR(ABS(Tableau47[[#This Row],[GO7]]-'[1]Deal ticket'!$B$16),""),"")</f>
        <v>2.6699999999999502E-3</v>
      </c>
      <c r="AJ81" s="9" t="str">
        <f>IF(IFERROR(_xlfn.XLOOKUP(Tableau47[[#This Row],[COMMENTAIRE]],'[1]Tickets (2)'!$J$6:$J$805,'[1]Tickets (2)'!$J$6:$J$805),"")&lt;&gt;"",1,"")</f>
        <v/>
      </c>
      <c r="AK81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1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1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1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1.06291</v>
      </c>
      <c r="AO81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1" s="9" t="s">
        <v>97</v>
      </c>
      <c r="AQ81" s="9" t="str">
        <f>IFERROR(_xlfn.XLOOKUP(Tableau47[[#This Row],[COMMENTAIRE]],'[1]Tickets (2)'!$J$6:$J$805,'[1]Tickets (2)'!$C$6:$C$805),"")</f>
        <v/>
      </c>
      <c r="AR81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1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1" s="9" t="str">
        <f>IF(Tableau47[[#This Row],[GOUBLOP]]=1,Tableau47[[#This Row],[COMMENTAIRE]],"")</f>
        <v/>
      </c>
      <c r="AU81" s="9"/>
      <c r="AV81" s="9" t="str">
        <f>IFERROR(IF(_xlfn.XLOOKUP(Tableau47[[#This Row],[GOUBLOP2]],[1]!Tableau4849[ATTEINT],[1]!Tableau4849[ATTEINT])&lt;&gt;"",1,""),"")</f>
        <v/>
      </c>
      <c r="AW81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1" s="9" t="str">
        <f>IF(Tableau47[[#This Row],[COMMAND]]="","",IF(Tableau47[[#This Row],[INDEX]]&lt;3,"",LEFT(Tableau47[[#This Row],[COMMENTAIRE]],LEN(Tableau47[[#This Row],[COMMENTAIRE]])-2)))</f>
        <v>1 RSRS S 1.06291 M1</v>
      </c>
      <c r="AY81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1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1" s="9" t="str">
        <f>IF(Tableau47[[#This Row],[INDEX]]&lt;3,"",IF(Tableau47[[#This Row],[COMMAND]]="","",IFERROR(Tableau47[[#This Row],[DIS_BUY]]*$AX$30,"")))</f>
        <v/>
      </c>
      <c r="BB81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1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1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1" s="9" t="str">
        <f>IF(AND(Tableau47[[#This Row],[GO]]="GO",ISNUMBER(SEARCH("BUY",Tableau47[[#This Row],[COMMAND]]))),1,"")</f>
        <v/>
      </c>
      <c r="BH81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1" s="9" t="str">
        <f>IF(OR(Tableau47[[#This Row],[GLOBAL BUY]]=1),Tableau47[[#This Row],[COMMENTAIRE]],"")</f>
        <v/>
      </c>
      <c r="BJ81" s="9" t="str">
        <f>IF(OR(Tableau47[[#This Row],[GLOBAL SELL]]=1),Tableau47[[#This Row],[COMMENTAIRE]],"")</f>
        <v/>
      </c>
      <c r="BK81" s="9">
        <f>IF(Tableau47[[#This Row],[INDEX]]&lt;3,"",IF(Tableau47[[#This Row],[COMMAND]]="","",SUMIFS(Tableau47[COMMENTAIRE],Tableau47[COMMENTAIRE],Tableau47[[#This Row],[COMMENTAIRE]])))</f>
        <v>0</v>
      </c>
      <c r="BL81" s="9" t="str">
        <f>IF(IFERROR(_xlfn.XLOOKUP(Tableau47[[#This Row],[COMMENTAIRE]],'[1]Tickets (2)'!$J$6:$J$805,'[1]Tickets (2)'!$J$6:$J$805),"")&lt;&gt;"",1,"")</f>
        <v/>
      </c>
      <c r="BM81" s="9">
        <f>IF(Tableau47[[#This Row],[INDEX]]&lt;3,"",IF(Tableau47[[#This Row],[COMMAND]]="","",IF('[1]Bar history'!$AA$33=1,1,"")))</f>
        <v>1</v>
      </c>
      <c r="BN81" s="9">
        <f>IFERROR(IFERROR(_xlfn.XLOOKUP(Tableau47[[#This Row],[COMMENTAIRE]],[1]!Tableau4849[IDENTITE],[1]!Tableau4849[0,5]),0),"")</f>
        <v>0</v>
      </c>
      <c r="BO81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1" s="9" t="str">
        <f>IF(IFERROR(_xlfn.XLOOKUP(Tableau47[[#This Row],[COMMENTAIRE]],'[1]Tickets (2)'!$J$6:$J$805,'[1]Tickets (2)'!$U$6:$U$805)," ")="","OK","")</f>
        <v/>
      </c>
      <c r="BQ81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1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1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1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1" s="9" t="str">
        <f>IF(IFERROR(_xlfn.XLOOKUP(Tableau47[[#This Row],[COMMENTAIRE]],'[1]Tickets (2)'!$J$6:$J$805,'[1]Tickets (2)'!$U$6:$U$805)," ")="","OK","")</f>
        <v/>
      </c>
      <c r="BV81" s="9" t="str">
        <f>IF(IFERROR(_xlfn.XLOOKUP(Tableau47[[#This Row],[COMMENTAIRE]],'[1]Tickets (2)'!$J$6:$J$805,'[1]Tickets (2)'!$V$6:$V$805)," ")="","OK","")</f>
        <v/>
      </c>
      <c r="BW81" s="9" t="e">
        <f>IF(Tableau47[[#This Row],[INDEX]]&lt;3,"",IF(Tableau47[[#This Row],[COMMAND]]="","",([1]FSI_TB!$F$12/10)*(Tableau47[[#This Row],[LOT]]/$BW$30)))</f>
        <v>#DIV/0!</v>
      </c>
      <c r="BX81" s="9" t="e">
        <f>IF(Tableau47[[#This Row],[INDEX]]&lt;3,"",IF(Tableau47[[#This Row],[COMMAND]]="","",-([1]FSI_TB!$D$12/10)*(Tableau47[[#This Row],[LOT]]/$BW$30)))</f>
        <v>#DIV/0!</v>
      </c>
      <c r="BY81" s="9" t="s">
        <v>97</v>
      </c>
      <c r="BZ81" s="9" t="str">
        <f>IF(AND(Tableau47[[#This Row],[CLOTURE]]="REPOSITIONNER"),"OK",IF(AND(Tableau47[[#This Row],[CLOTURE]]="GAGNANT"),"KO",IF(Tableau47[[#This Row],[NON]]="NON","NON","")))</f>
        <v>NON</v>
      </c>
      <c r="CA81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81" s="9" t="str">
        <f>IFERROR(_xlfn.XLOOKUP(Tableau47[[#This Row],[COMMENTAIRE]],'[1]Tickets (2)'!$J$6:$J$805,'[1]Tickets (2)'!$F$6:$F$805),"")</f>
        <v/>
      </c>
      <c r="CC81" s="9">
        <f>IF(Tableau47[[#This Row],[INDEX]]&lt;3,"",IF(Tableau47[[#This Row],[COMMAND]]="","",Tableau47[[#This Row],[LOT]]))</f>
        <v>4000</v>
      </c>
      <c r="CD81" s="9">
        <f>IF(Tableau47[[#This Row],[INDEX]]&lt;3,"",IF(Tableau47[[#This Row],[COMMAND]]="","",IFERROR(_xlfn.XLOOKUP(Tableau47[[#This Row],[COMMENTAIRE]],[1]!Tableau4849[IDENTITE],[1]!Tableau4849[0,5]),0)))</f>
        <v>0</v>
      </c>
      <c r="CE8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1" s="9" t="str" cm="1">
        <f t="array" ref="CG8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1" s="9"/>
      <c r="CI81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1" s="9"/>
      <c r="CK81" s="21"/>
      <c r="CL81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1" s="9"/>
      <c r="CN81" s="9" t="str">
        <f>IF(Tableau47[[#This Row],[INDEX]]&lt;3,"",IF(Tableau47[[#This Row],[COMMAND]]="","",IF(AND(Tableau47[[#This Row],[EN ATTENTES]]="NON",Tableau47[[#This Row],[EN COURS]]&lt;&gt;""),"OK","STOP")))</f>
        <v>STOP</v>
      </c>
      <c r="CO81" s="19">
        <f>Tableau47[[#This Row],[Cst TIME]]</f>
        <v>44923.338140046297</v>
      </c>
      <c r="CP81" s="9">
        <f>[1]analos!$Q$237</f>
        <v>926507</v>
      </c>
      <c r="CQ81" s="9" t="str">
        <f>[1]FSI_TB!$F$3</f>
        <v>EURUSD</v>
      </c>
      <c r="CR81" s="9" t="str">
        <f>Tableau47[[#This Row],[GO1]]</f>
        <v>SELL</v>
      </c>
      <c r="CS81" s="9" t="str">
        <f>Tableau47[[#This Row],[PRICE]]</f>
        <v>1.06291</v>
      </c>
      <c r="CT81" s="9">
        <f>Tableau47[[#This Row],[LOT]]</f>
        <v>4000</v>
      </c>
      <c r="CU81" s="9" t="str">
        <f>Tableau47[[#This Row],[COMMENTAIRE]]</f>
        <v>1 RSRS S 1.06291 M1M1</v>
      </c>
      <c r="CV81" s="9"/>
      <c r="CW81" s="9">
        <v>1</v>
      </c>
      <c r="CX81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1" s="9">
        <f t="shared" ca="1" si="0"/>
        <v>44929.316958449075</v>
      </c>
    </row>
    <row r="82" spans="3:103" ht="15.75" x14ac:dyDescent="0.25">
      <c r="C82" s="8"/>
      <c r="D82" s="9"/>
      <c r="L82" s="9">
        <v>50</v>
      </c>
      <c r="M82" s="9" t="s">
        <v>132</v>
      </c>
      <c r="N82" s="9" t="s">
        <v>195</v>
      </c>
      <c r="O82" s="8" t="s">
        <v>196</v>
      </c>
      <c r="P82" s="9" t="s">
        <v>0</v>
      </c>
      <c r="Q82" s="9">
        <v>17000</v>
      </c>
      <c r="R8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2" s="9" t="str">
        <f>IF(AND(ISNUMBER(SEARCH("BUY",Tableau47[[#This Row],[COMMAND]]))),"BUY",IF(AND(ISNUMBER(SEARCH("SELL",Tableau47[[#This Row],[COMMAND]]))),"SELL",""))</f>
        <v>SELL</v>
      </c>
      <c r="T82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2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2" s="9">
        <v>925832</v>
      </c>
      <c r="W82" s="22">
        <v>44923.337886226851</v>
      </c>
      <c r="X82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2" s="9">
        <f>IFERROR(VALUE(SUBSTITUTE(Tableau47[[#This Row],[PRICE]],".",",")),"")</f>
        <v>1.06284</v>
      </c>
      <c r="Z82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2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2" s="9" t="str">
        <f>IF(IFERROR(_xlfn.XLOOKUP(Tableau47[[#This Row],[COMMENTAIRE]],'[1]Tickets (2)'!$J$6:$J$805,'[1]Tickets (2)'!$J$6:$J$805),"")&lt;&gt;"",1,"")</f>
        <v/>
      </c>
      <c r="AC82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2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2" s="9" t="str">
        <f>IFERROR(_xlfn.XLOOKUP(Tableau47[[#This Row],[INDEX]],Tableau47[COMPTE],Tableau47[COMPTE]),"")</f>
        <v/>
      </c>
      <c r="AF82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2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2" s="17" t="str">
        <f>IF(Tableau47[[#This Row],[COMMAND]]="BUYSTOP",IFERROR(ABS(Tableau47[[#This Row],[GO7]]-'[1]Deal ticket'!$B$15),""),"")</f>
        <v/>
      </c>
      <c r="AI82" s="9">
        <f>IF(Tableau47[[#This Row],[COMMAND]]="SELLSTOP",IFERROR(ABS(Tableau47[[#This Row],[GO7]]-'[1]Deal ticket'!$B$16),""),"")</f>
        <v>2.7399999999999647E-3</v>
      </c>
      <c r="AJ82" s="9" t="str">
        <f>IF(IFERROR(_xlfn.XLOOKUP(Tableau47[[#This Row],[COMMENTAIRE]],'[1]Tickets (2)'!$J$6:$J$805,'[1]Tickets (2)'!$J$6:$J$805),"")&lt;&gt;"",1,"")</f>
        <v/>
      </c>
      <c r="AK82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2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2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2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1.06284</v>
      </c>
      <c r="AO82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2" s="9" t="s">
        <v>97</v>
      </c>
      <c r="AQ82" s="9" t="str">
        <f>IFERROR(_xlfn.XLOOKUP(Tableau47[[#This Row],[COMMENTAIRE]],'[1]Tickets (2)'!$J$6:$J$805,'[1]Tickets (2)'!$C$6:$C$805),"")</f>
        <v/>
      </c>
      <c r="AR82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2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2" s="9" t="str">
        <f>IF(Tableau47[[#This Row],[GOUBLOP]]=1,Tableau47[[#This Row],[COMMENTAIRE]],"")</f>
        <v/>
      </c>
      <c r="AU82" s="9"/>
      <c r="AV82" s="9" t="str">
        <f>IFERROR(IF(_xlfn.XLOOKUP(Tableau47[[#This Row],[GOUBLOP2]],[1]!Tableau4849[ATTEINT],[1]!Tableau4849[ATTEINT])&lt;&gt;"",1,""),"")</f>
        <v/>
      </c>
      <c r="AW82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2" s="9" t="str">
        <f>IF(Tableau47[[#This Row],[COMMAND]]="","",IF(Tableau47[[#This Row],[INDEX]]&lt;3,"",LEFT(Tableau47[[#This Row],[COMMENTAIRE]],LEN(Tableau47[[#This Row],[COMMENTAIRE]])-2)))</f>
        <v>1 RSRS S 1.06284 M1</v>
      </c>
      <c r="AY82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2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2" s="9" t="str">
        <f>IF(Tableau47[[#This Row],[INDEX]]&lt;3,"",IF(Tableau47[[#This Row],[COMMAND]]="","",IFERROR(Tableau47[[#This Row],[DIS_BUY]]*$AX$30,"")))</f>
        <v/>
      </c>
      <c r="BB82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2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2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2" s="9" t="str">
        <f>IF(AND(Tableau47[[#This Row],[GO]]="GO",ISNUMBER(SEARCH("BUY",Tableau47[[#This Row],[COMMAND]]))),1,"")</f>
        <v/>
      </c>
      <c r="BH82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2" s="9" t="str">
        <f>IF(OR(Tableau47[[#This Row],[GLOBAL BUY]]=1),Tableau47[[#This Row],[COMMENTAIRE]],"")</f>
        <v/>
      </c>
      <c r="BJ82" s="9" t="str">
        <f>IF(OR(Tableau47[[#This Row],[GLOBAL SELL]]=1),Tableau47[[#This Row],[COMMENTAIRE]],"")</f>
        <v/>
      </c>
      <c r="BK82" s="9">
        <f>IF(Tableau47[[#This Row],[INDEX]]&lt;3,"",IF(Tableau47[[#This Row],[COMMAND]]="","",SUMIFS(Tableau47[COMMENTAIRE],Tableau47[COMMENTAIRE],Tableau47[[#This Row],[COMMENTAIRE]])))</f>
        <v>0</v>
      </c>
      <c r="BL82" s="9" t="str">
        <f>IF(IFERROR(_xlfn.XLOOKUP(Tableau47[[#This Row],[COMMENTAIRE]],'[1]Tickets (2)'!$J$6:$J$805,'[1]Tickets (2)'!$J$6:$J$805),"")&lt;&gt;"",1,"")</f>
        <v/>
      </c>
      <c r="BM82" s="9">
        <f>IF(Tableau47[[#This Row],[INDEX]]&lt;3,"",IF(Tableau47[[#This Row],[COMMAND]]="","",IF('[1]Bar history'!$AA$33=1,1,"")))</f>
        <v>1</v>
      </c>
      <c r="BN82" s="9">
        <f>IFERROR(IFERROR(_xlfn.XLOOKUP(Tableau47[[#This Row],[COMMENTAIRE]],[1]!Tableau4849[IDENTITE],[1]!Tableau4849[0,5]),0),"")</f>
        <v>0</v>
      </c>
      <c r="BO82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2" s="9" t="str">
        <f>IF(IFERROR(_xlfn.XLOOKUP(Tableau47[[#This Row],[COMMENTAIRE]],'[1]Tickets (2)'!$J$6:$J$805,'[1]Tickets (2)'!$U$6:$U$805)," ")="","OK","")</f>
        <v/>
      </c>
      <c r="BQ82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2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2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2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2" s="9" t="str">
        <f>IF(IFERROR(_xlfn.XLOOKUP(Tableau47[[#This Row],[COMMENTAIRE]],'[1]Tickets (2)'!$J$6:$J$805,'[1]Tickets (2)'!$U$6:$U$805)," ")="","OK","")</f>
        <v/>
      </c>
      <c r="BV82" s="9" t="str">
        <f>IF(IFERROR(_xlfn.XLOOKUP(Tableau47[[#This Row],[COMMENTAIRE]],'[1]Tickets (2)'!$J$6:$J$805,'[1]Tickets (2)'!$V$6:$V$805)," ")="","OK","")</f>
        <v/>
      </c>
      <c r="BW82" s="9" t="e">
        <f>IF(Tableau47[[#This Row],[INDEX]]&lt;3,"",IF(Tableau47[[#This Row],[COMMAND]]="","",([1]FSI_TB!$F$12/10)*(Tableau47[[#This Row],[LOT]]/$BW$30)))</f>
        <v>#DIV/0!</v>
      </c>
      <c r="BX82" s="9" t="e">
        <f>IF(Tableau47[[#This Row],[INDEX]]&lt;3,"",IF(Tableau47[[#This Row],[COMMAND]]="","",-([1]FSI_TB!$D$12/10)*(Tableau47[[#This Row],[LOT]]/$BW$30)))</f>
        <v>#DIV/0!</v>
      </c>
      <c r="BY82" s="9" t="s">
        <v>97</v>
      </c>
      <c r="BZ82" s="9" t="str">
        <f>IF(AND(Tableau47[[#This Row],[CLOTURE]]="REPOSITIONNER"),"OK",IF(AND(Tableau47[[#This Row],[CLOTURE]]="GAGNANT"),"KO",IF(Tableau47[[#This Row],[NON]]="NON","NON","")))</f>
        <v>NON</v>
      </c>
      <c r="CA82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17000</v>
      </c>
      <c r="CB82" s="9" t="str">
        <f>IFERROR(_xlfn.XLOOKUP(Tableau47[[#This Row],[COMMENTAIRE]],'[1]Tickets (2)'!$J$6:$J$805,'[1]Tickets (2)'!$F$6:$F$805),"")</f>
        <v/>
      </c>
      <c r="CC82" s="9">
        <f>IF(Tableau47[[#This Row],[INDEX]]&lt;3,"",IF(Tableau47[[#This Row],[COMMAND]]="","",Tableau47[[#This Row],[LOT]]))</f>
        <v>17000</v>
      </c>
      <c r="CD82" s="9">
        <f>IF(Tableau47[[#This Row],[INDEX]]&lt;3,"",IF(Tableau47[[#This Row],[COMMAND]]="","",IFERROR(_xlfn.XLOOKUP(Tableau47[[#This Row],[COMMENTAIRE]],[1]!Tableau4849[IDENTITE],[1]!Tableau4849[0,5]),0)))</f>
        <v>0</v>
      </c>
      <c r="CE8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2" s="9" t="str" cm="1">
        <f t="array" ref="CG82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2" s="9"/>
      <c r="CI82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2" s="9"/>
      <c r="CK82" s="21"/>
      <c r="CL82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2" s="9"/>
      <c r="CN82" s="9" t="str">
        <f>IF(Tableau47[[#This Row],[INDEX]]&lt;3,"",IF(Tableau47[[#This Row],[COMMAND]]="","",IF(AND(Tableau47[[#This Row],[EN ATTENTES]]="NON",Tableau47[[#This Row],[EN COURS]]&lt;&gt;""),"OK","STOP")))</f>
        <v>STOP</v>
      </c>
      <c r="CO82" s="19">
        <f>Tableau47[[#This Row],[Cst TIME]]</f>
        <v>44923.337886226851</v>
      </c>
      <c r="CP82" s="9">
        <f>[1]analos!$Q$237</f>
        <v>926507</v>
      </c>
      <c r="CQ82" s="9" t="str">
        <f>[1]FSI_TB!$F$3</f>
        <v>EURUSD</v>
      </c>
      <c r="CR82" s="9" t="str">
        <f>Tableau47[[#This Row],[GO1]]</f>
        <v>SELL</v>
      </c>
      <c r="CS82" s="9" t="str">
        <f>Tableau47[[#This Row],[PRICE]]</f>
        <v>1.06284</v>
      </c>
      <c r="CT82" s="9">
        <f>Tableau47[[#This Row],[LOT]]</f>
        <v>17000</v>
      </c>
      <c r="CU82" s="9" t="str">
        <f>Tableau47[[#This Row],[COMMENTAIRE]]</f>
        <v>1 RSRS S 1.06284 M1M1</v>
      </c>
      <c r="CV82" s="9"/>
      <c r="CW82" s="9">
        <v>1</v>
      </c>
      <c r="CX82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2" s="9">
        <f t="shared" ca="1" si="0"/>
        <v>44929.316958449075</v>
      </c>
    </row>
    <row r="83" spans="3:103" ht="15.75" x14ac:dyDescent="0.25">
      <c r="C83" s="8"/>
      <c r="D83" s="9"/>
      <c r="L83" s="9">
        <v>51</v>
      </c>
      <c r="M83" s="9" t="s">
        <v>132</v>
      </c>
      <c r="N83" s="9" t="s">
        <v>197</v>
      </c>
      <c r="O83" s="8" t="s">
        <v>198</v>
      </c>
      <c r="P83" s="9" t="s">
        <v>0</v>
      </c>
      <c r="Q83" s="9">
        <v>19000</v>
      </c>
      <c r="R8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3" s="9" t="str">
        <f>IF(AND(ISNUMBER(SEARCH("BUY",Tableau47[[#This Row],[COMMAND]]))),"BUY",IF(AND(ISNUMBER(SEARCH("SELL",Tableau47[[#This Row],[COMMAND]]))),"SELL",""))</f>
        <v>SELL</v>
      </c>
      <c r="T83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3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3" s="9">
        <v>925832</v>
      </c>
      <c r="W83" s="22">
        <v>44923.337608564812</v>
      </c>
      <c r="X83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3" s="9">
        <f>IFERROR(VALUE(SUBSTITUTE(Tableau47[[#This Row],[PRICE]],".",",")),"")</f>
        <v>1.06277</v>
      </c>
      <c r="Z83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3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3" s="9" t="str">
        <f>IF(IFERROR(_xlfn.XLOOKUP(Tableau47[[#This Row],[COMMENTAIRE]],'[1]Tickets (2)'!$J$6:$J$805,'[1]Tickets (2)'!$J$6:$J$805),"")&lt;&gt;"",1,"")</f>
        <v/>
      </c>
      <c r="AC83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3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3" s="9" t="str">
        <f>IFERROR(_xlfn.XLOOKUP(Tableau47[[#This Row],[INDEX]],Tableau47[COMPTE],Tableau47[COMPTE]),"")</f>
        <v/>
      </c>
      <c r="AF83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3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3" s="17" t="str">
        <f>IF(Tableau47[[#This Row],[COMMAND]]="BUYSTOP",IFERROR(ABS(Tableau47[[#This Row],[GO7]]-'[1]Deal ticket'!$B$15),""),"")</f>
        <v/>
      </c>
      <c r="AI83" s="9">
        <f>IF(Tableau47[[#This Row],[COMMAND]]="SELLSTOP",IFERROR(ABS(Tableau47[[#This Row],[GO7]]-'[1]Deal ticket'!$B$16),""),"")</f>
        <v>2.8099999999999792E-3</v>
      </c>
      <c r="AJ83" s="9" t="str">
        <f>IF(IFERROR(_xlfn.XLOOKUP(Tableau47[[#This Row],[COMMENTAIRE]],'[1]Tickets (2)'!$J$6:$J$805,'[1]Tickets (2)'!$J$6:$J$805),"")&lt;&gt;"",1,"")</f>
        <v/>
      </c>
      <c r="AK83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3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3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3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1.06277</v>
      </c>
      <c r="AO83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3" s="9" t="s">
        <v>97</v>
      </c>
      <c r="AQ83" s="9" t="str">
        <f>IFERROR(_xlfn.XLOOKUP(Tableau47[[#This Row],[COMMENTAIRE]],'[1]Tickets (2)'!$J$6:$J$805,'[1]Tickets (2)'!$C$6:$C$805),"")</f>
        <v/>
      </c>
      <c r="AR83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3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3" s="9" t="str">
        <f>IF(Tableau47[[#This Row],[GOUBLOP]]=1,Tableau47[[#This Row],[COMMENTAIRE]],"")</f>
        <v/>
      </c>
      <c r="AU83" s="9"/>
      <c r="AV83" s="9" t="str">
        <f>IFERROR(IF(_xlfn.XLOOKUP(Tableau47[[#This Row],[GOUBLOP2]],[1]!Tableau4849[ATTEINT],[1]!Tableau4849[ATTEINT])&lt;&gt;"",1,""),"")</f>
        <v/>
      </c>
      <c r="AW83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3" s="9" t="str">
        <f>IF(Tableau47[[#This Row],[COMMAND]]="","",IF(Tableau47[[#This Row],[INDEX]]&lt;3,"",LEFT(Tableau47[[#This Row],[COMMENTAIRE]],LEN(Tableau47[[#This Row],[COMMENTAIRE]])-2)))</f>
        <v>1 RSRS S 1.06277 M1</v>
      </c>
      <c r="AY83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3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3" s="9" t="str">
        <f>IF(Tableau47[[#This Row],[INDEX]]&lt;3,"",IF(Tableau47[[#This Row],[COMMAND]]="","",IFERROR(Tableau47[[#This Row],[DIS_BUY]]*$AX$30,"")))</f>
        <v/>
      </c>
      <c r="BB83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3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3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3" s="9" t="str">
        <f>IF(AND(Tableau47[[#This Row],[GO]]="GO",ISNUMBER(SEARCH("BUY",Tableau47[[#This Row],[COMMAND]]))),1,"")</f>
        <v/>
      </c>
      <c r="BH83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3" s="9" t="str">
        <f>IF(OR(Tableau47[[#This Row],[GLOBAL BUY]]=1),Tableau47[[#This Row],[COMMENTAIRE]],"")</f>
        <v/>
      </c>
      <c r="BJ83" s="9" t="str">
        <f>IF(OR(Tableau47[[#This Row],[GLOBAL SELL]]=1),Tableau47[[#This Row],[COMMENTAIRE]],"")</f>
        <v/>
      </c>
      <c r="BK83" s="9">
        <f>IF(Tableau47[[#This Row],[INDEX]]&lt;3,"",IF(Tableau47[[#This Row],[COMMAND]]="","",SUMIFS(Tableau47[COMMENTAIRE],Tableau47[COMMENTAIRE],Tableau47[[#This Row],[COMMENTAIRE]])))</f>
        <v>0</v>
      </c>
      <c r="BL83" s="9" t="str">
        <f>IF(IFERROR(_xlfn.XLOOKUP(Tableau47[[#This Row],[COMMENTAIRE]],'[1]Tickets (2)'!$J$6:$J$805,'[1]Tickets (2)'!$J$6:$J$805),"")&lt;&gt;"",1,"")</f>
        <v/>
      </c>
      <c r="BM83" s="9">
        <f>IF(Tableau47[[#This Row],[INDEX]]&lt;3,"",IF(Tableau47[[#This Row],[COMMAND]]="","",IF('[1]Bar history'!$AA$33=1,1,"")))</f>
        <v>1</v>
      </c>
      <c r="BN83" s="9">
        <f>IFERROR(IFERROR(_xlfn.XLOOKUP(Tableau47[[#This Row],[COMMENTAIRE]],[1]!Tableau4849[IDENTITE],[1]!Tableau4849[0,5]),0),"")</f>
        <v>0</v>
      </c>
      <c r="BO83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3" s="9" t="str">
        <f>IF(IFERROR(_xlfn.XLOOKUP(Tableau47[[#This Row],[COMMENTAIRE]],'[1]Tickets (2)'!$J$6:$J$805,'[1]Tickets (2)'!$U$6:$U$805)," ")="","OK","")</f>
        <v/>
      </c>
      <c r="BQ83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3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3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3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3" s="9" t="str">
        <f>IF(IFERROR(_xlfn.XLOOKUP(Tableau47[[#This Row],[COMMENTAIRE]],'[1]Tickets (2)'!$J$6:$J$805,'[1]Tickets (2)'!$U$6:$U$805)," ")="","OK","")</f>
        <v/>
      </c>
      <c r="BV83" s="9" t="str">
        <f>IF(IFERROR(_xlfn.XLOOKUP(Tableau47[[#This Row],[COMMENTAIRE]],'[1]Tickets (2)'!$J$6:$J$805,'[1]Tickets (2)'!$V$6:$V$805)," ")="","OK","")</f>
        <v/>
      </c>
      <c r="BW83" s="9" t="e">
        <f>IF(Tableau47[[#This Row],[INDEX]]&lt;3,"",IF(Tableau47[[#This Row],[COMMAND]]="","",([1]FSI_TB!$F$12/10)*(Tableau47[[#This Row],[LOT]]/$BW$30)))</f>
        <v>#DIV/0!</v>
      </c>
      <c r="BX83" s="9" t="e">
        <f>IF(Tableau47[[#This Row],[INDEX]]&lt;3,"",IF(Tableau47[[#This Row],[COMMAND]]="","",-([1]FSI_TB!$D$12/10)*(Tableau47[[#This Row],[LOT]]/$BW$30)))</f>
        <v>#DIV/0!</v>
      </c>
      <c r="BY83" s="9" t="s">
        <v>97</v>
      </c>
      <c r="BZ83" s="9" t="str">
        <f>IF(AND(Tableau47[[#This Row],[CLOTURE]]="REPOSITIONNER"),"OK",IF(AND(Tableau47[[#This Row],[CLOTURE]]="GAGNANT"),"KO",IF(Tableau47[[#This Row],[NON]]="NON","NON","")))</f>
        <v>NON</v>
      </c>
      <c r="CA83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19000</v>
      </c>
      <c r="CB83" s="9" t="str">
        <f>IFERROR(_xlfn.XLOOKUP(Tableau47[[#This Row],[COMMENTAIRE]],'[1]Tickets (2)'!$J$6:$J$805,'[1]Tickets (2)'!$F$6:$F$805),"")</f>
        <v/>
      </c>
      <c r="CC83" s="9">
        <f>IF(Tableau47[[#This Row],[INDEX]]&lt;3,"",IF(Tableau47[[#This Row],[COMMAND]]="","",Tableau47[[#This Row],[LOT]]))</f>
        <v>19000</v>
      </c>
      <c r="CD83" s="9">
        <f>IF(Tableau47[[#This Row],[INDEX]]&lt;3,"",IF(Tableau47[[#This Row],[COMMAND]]="","",IFERROR(_xlfn.XLOOKUP(Tableau47[[#This Row],[COMMENTAIRE]],[1]!Tableau4849[IDENTITE],[1]!Tableau4849[0,5]),0)))</f>
        <v>0</v>
      </c>
      <c r="CE8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3" s="9" t="str" cm="1">
        <f t="array" ref="CG83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3" s="9"/>
      <c r="CI83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3" s="9"/>
      <c r="CK83" s="21"/>
      <c r="CL83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3" s="9"/>
      <c r="CN83" s="9" t="str">
        <f>IF(Tableau47[[#This Row],[INDEX]]&lt;3,"",IF(Tableau47[[#This Row],[COMMAND]]="","",IF(AND(Tableau47[[#This Row],[EN ATTENTES]]="NON",Tableau47[[#This Row],[EN COURS]]&lt;&gt;""),"OK","STOP")))</f>
        <v>STOP</v>
      </c>
      <c r="CO83" s="19">
        <f>Tableau47[[#This Row],[Cst TIME]]</f>
        <v>44923.337608564812</v>
      </c>
      <c r="CP83" s="9">
        <f>[1]analos!$Q$237</f>
        <v>926507</v>
      </c>
      <c r="CQ83" s="9" t="str">
        <f>[1]FSI_TB!$F$3</f>
        <v>EURUSD</v>
      </c>
      <c r="CR83" s="9" t="str">
        <f>Tableau47[[#This Row],[GO1]]</f>
        <v>SELL</v>
      </c>
      <c r="CS83" s="9" t="str">
        <f>Tableau47[[#This Row],[PRICE]]</f>
        <v>1.06277</v>
      </c>
      <c r="CT83" s="9">
        <f>Tableau47[[#This Row],[LOT]]</f>
        <v>19000</v>
      </c>
      <c r="CU83" s="9" t="str">
        <f>Tableau47[[#This Row],[COMMENTAIRE]]</f>
        <v>1 RSRS S 1.06277 M1M1</v>
      </c>
      <c r="CV83" s="9"/>
      <c r="CW83" s="9">
        <v>1</v>
      </c>
      <c r="CX83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3" s="9">
        <f t="shared" ca="1" si="0"/>
        <v>44929.316958449075</v>
      </c>
    </row>
    <row r="84" spans="3:103" ht="15.75" x14ac:dyDescent="0.25">
      <c r="C84" s="8"/>
      <c r="D84" s="9"/>
      <c r="L84" s="9">
        <v>52</v>
      </c>
      <c r="M84" s="9" t="s">
        <v>132</v>
      </c>
      <c r="N84" s="9" t="s">
        <v>199</v>
      </c>
      <c r="O84" s="8" t="s">
        <v>200</v>
      </c>
      <c r="P84" s="9" t="s">
        <v>0</v>
      </c>
      <c r="Q84" s="9">
        <v>4000</v>
      </c>
      <c r="R8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4" s="9" t="str">
        <f>IF(AND(ISNUMBER(SEARCH("BUY",Tableau47[[#This Row],[COMMAND]]))),"BUY",IF(AND(ISNUMBER(SEARCH("SELL",Tableau47[[#This Row],[COMMAND]]))),"SELL",""))</f>
        <v>SELL</v>
      </c>
      <c r="T84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4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4" s="9">
        <v>925832</v>
      </c>
      <c r="W84" s="22">
        <v>44923.331432175924</v>
      </c>
      <c r="X84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4" s="9">
        <f>IFERROR(VALUE(SUBSTITUTE(Tableau47[[#This Row],[PRICE]],".",",")),"")</f>
        <v>1.06281</v>
      </c>
      <c r="Z84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4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4" s="9" t="str">
        <f>IF(IFERROR(_xlfn.XLOOKUP(Tableau47[[#This Row],[COMMENTAIRE]],'[1]Tickets (2)'!$J$6:$J$805,'[1]Tickets (2)'!$J$6:$J$805),"")&lt;&gt;"",1,"")</f>
        <v/>
      </c>
      <c r="AC84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4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4" s="9" t="str">
        <f>IFERROR(_xlfn.XLOOKUP(Tableau47[[#This Row],[INDEX]],Tableau47[COMPTE],Tableau47[COMPTE]),"")</f>
        <v/>
      </c>
      <c r="AF84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4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4" s="17" t="str">
        <f>IF(Tableau47[[#This Row],[COMMAND]]="BUYSTOP",IFERROR(ABS(Tableau47[[#This Row],[GO7]]-'[1]Deal ticket'!$B$15),""),"")</f>
        <v/>
      </c>
      <c r="AI84" s="9">
        <f>IF(Tableau47[[#This Row],[COMMAND]]="SELLSTOP",IFERROR(ABS(Tableau47[[#This Row],[GO7]]-'[1]Deal ticket'!$B$16),""),"")</f>
        <v>2.7699999999999392E-3</v>
      </c>
      <c r="AJ84" s="9" t="str">
        <f>IF(IFERROR(_xlfn.XLOOKUP(Tableau47[[#This Row],[COMMENTAIRE]],'[1]Tickets (2)'!$J$6:$J$805,'[1]Tickets (2)'!$J$6:$J$805),"")&lt;&gt;"",1,"")</f>
        <v/>
      </c>
      <c r="AK84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4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4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4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1.06281</v>
      </c>
      <c r="AO84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4" s="9" t="s">
        <v>97</v>
      </c>
      <c r="AQ84" s="9" t="str">
        <f>IFERROR(_xlfn.XLOOKUP(Tableau47[[#This Row],[COMMENTAIRE]],'[1]Tickets (2)'!$J$6:$J$805,'[1]Tickets (2)'!$C$6:$C$805),"")</f>
        <v/>
      </c>
      <c r="AR84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4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4" s="9" t="str">
        <f>IF(Tableau47[[#This Row],[GOUBLOP]]=1,Tableau47[[#This Row],[COMMENTAIRE]],"")</f>
        <v/>
      </c>
      <c r="AU84" s="9"/>
      <c r="AV84" s="9" t="str">
        <f>IFERROR(IF(_xlfn.XLOOKUP(Tableau47[[#This Row],[GOUBLOP2]],[1]!Tableau4849[ATTEINT],[1]!Tableau4849[ATTEINT])&lt;&gt;"",1,""),"")</f>
        <v/>
      </c>
      <c r="AW84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4" s="9" t="str">
        <f>IF(Tableau47[[#This Row],[COMMAND]]="","",IF(Tableau47[[#This Row],[INDEX]]&lt;3,"",LEFT(Tableau47[[#This Row],[COMMENTAIRE]],LEN(Tableau47[[#This Row],[COMMENTAIRE]])-2)))</f>
        <v>1 RSRS S 1.06273 M1</v>
      </c>
      <c r="AY84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4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4" s="9" t="str">
        <f>IF(Tableau47[[#This Row],[INDEX]]&lt;3,"",IF(Tableau47[[#This Row],[COMMAND]]="","",IFERROR(Tableau47[[#This Row],[DIS_BUY]]*$AX$30,"")))</f>
        <v/>
      </c>
      <c r="BB84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4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4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4" s="9" t="str">
        <f>IF(AND(Tableau47[[#This Row],[GO]]="GO",ISNUMBER(SEARCH("BUY",Tableau47[[#This Row],[COMMAND]]))),1,"")</f>
        <v/>
      </c>
      <c r="BH84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4" s="9" t="str">
        <f>IF(OR(Tableau47[[#This Row],[GLOBAL BUY]]=1),Tableau47[[#This Row],[COMMENTAIRE]],"")</f>
        <v/>
      </c>
      <c r="BJ84" s="9" t="str">
        <f>IF(OR(Tableau47[[#This Row],[GLOBAL SELL]]=1),Tableau47[[#This Row],[COMMENTAIRE]],"")</f>
        <v/>
      </c>
      <c r="BK84" s="9">
        <f>IF(Tableau47[[#This Row],[INDEX]]&lt;3,"",IF(Tableau47[[#This Row],[COMMAND]]="","",SUMIFS(Tableau47[COMMENTAIRE],Tableau47[COMMENTAIRE],Tableau47[[#This Row],[COMMENTAIRE]])))</f>
        <v>0</v>
      </c>
      <c r="BL84" s="9" t="str">
        <f>IF(IFERROR(_xlfn.XLOOKUP(Tableau47[[#This Row],[COMMENTAIRE]],'[1]Tickets (2)'!$J$6:$J$805,'[1]Tickets (2)'!$J$6:$J$805),"")&lt;&gt;"",1,"")</f>
        <v/>
      </c>
      <c r="BM84" s="9">
        <f>IF(Tableau47[[#This Row],[INDEX]]&lt;3,"",IF(Tableau47[[#This Row],[COMMAND]]="","",IF('[1]Bar history'!$AA$33=1,1,"")))</f>
        <v>1</v>
      </c>
      <c r="BN84" s="9">
        <f>IFERROR(IFERROR(_xlfn.XLOOKUP(Tableau47[[#This Row],[COMMENTAIRE]],[1]!Tableau4849[IDENTITE],[1]!Tableau4849[0,5]),0),"")</f>
        <v>0</v>
      </c>
      <c r="BO84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4" s="9" t="str">
        <f>IF(IFERROR(_xlfn.XLOOKUP(Tableau47[[#This Row],[COMMENTAIRE]],'[1]Tickets (2)'!$J$6:$J$805,'[1]Tickets (2)'!$U$6:$U$805)," ")="","OK","")</f>
        <v/>
      </c>
      <c r="BQ84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4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4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4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4" s="9" t="str">
        <f>IF(IFERROR(_xlfn.XLOOKUP(Tableau47[[#This Row],[COMMENTAIRE]],'[1]Tickets (2)'!$J$6:$J$805,'[1]Tickets (2)'!$U$6:$U$805)," ")="","OK","")</f>
        <v/>
      </c>
      <c r="BV84" s="9" t="str">
        <f>IF(IFERROR(_xlfn.XLOOKUP(Tableau47[[#This Row],[COMMENTAIRE]],'[1]Tickets (2)'!$J$6:$J$805,'[1]Tickets (2)'!$V$6:$V$805)," ")="","OK","")</f>
        <v/>
      </c>
      <c r="BW84" s="9" t="e">
        <f>IF(Tableau47[[#This Row],[INDEX]]&lt;3,"",IF(Tableau47[[#This Row],[COMMAND]]="","",([1]FSI_TB!$F$12/10)*(Tableau47[[#This Row],[LOT]]/$BW$30)))</f>
        <v>#DIV/0!</v>
      </c>
      <c r="BX84" s="9" t="e">
        <f>IF(Tableau47[[#This Row],[INDEX]]&lt;3,"",IF(Tableau47[[#This Row],[COMMAND]]="","",-([1]FSI_TB!$D$12/10)*(Tableau47[[#This Row],[LOT]]/$BW$30)))</f>
        <v>#DIV/0!</v>
      </c>
      <c r="BY84" s="9" t="s">
        <v>97</v>
      </c>
      <c r="BZ84" s="9" t="str">
        <f>IF(AND(Tableau47[[#This Row],[CLOTURE]]="REPOSITIONNER"),"OK",IF(AND(Tableau47[[#This Row],[CLOTURE]]="GAGNANT"),"KO",IF(Tableau47[[#This Row],[NON]]="NON","NON","")))</f>
        <v>NON</v>
      </c>
      <c r="CA84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84" s="9" t="str">
        <f>IFERROR(_xlfn.XLOOKUP(Tableau47[[#This Row],[COMMENTAIRE]],'[1]Tickets (2)'!$J$6:$J$805,'[1]Tickets (2)'!$F$6:$F$805),"")</f>
        <v/>
      </c>
      <c r="CC84" s="9">
        <f>IF(Tableau47[[#This Row],[INDEX]]&lt;3,"",IF(Tableau47[[#This Row],[COMMAND]]="","",Tableau47[[#This Row],[LOT]]))</f>
        <v>4000</v>
      </c>
      <c r="CD84" s="9">
        <f>IF(Tableau47[[#This Row],[INDEX]]&lt;3,"",IF(Tableau47[[#This Row],[COMMAND]]="","",IFERROR(_xlfn.XLOOKUP(Tableau47[[#This Row],[COMMENTAIRE]],[1]!Tableau4849[IDENTITE],[1]!Tableau4849[0,5]),0)))</f>
        <v>0</v>
      </c>
      <c r="CE8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4" s="9" t="str" cm="1">
        <f t="array" ref="CG84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4" s="9"/>
      <c r="CI84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4" s="9"/>
      <c r="CK84" s="21"/>
      <c r="CL84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4" s="9"/>
      <c r="CN84" s="9" t="str">
        <f>IF(Tableau47[[#This Row],[INDEX]]&lt;3,"",IF(Tableau47[[#This Row],[COMMAND]]="","",IF(AND(Tableau47[[#This Row],[EN ATTENTES]]="NON",Tableau47[[#This Row],[EN COURS]]&lt;&gt;""),"OK","STOP")))</f>
        <v>STOP</v>
      </c>
      <c r="CO84" s="19">
        <f>Tableau47[[#This Row],[Cst TIME]]</f>
        <v>44923.331432175924</v>
      </c>
      <c r="CP84" s="9">
        <f>[1]analos!$Q$237</f>
        <v>926507</v>
      </c>
      <c r="CQ84" s="9" t="str">
        <f>[1]FSI_TB!$F$3</f>
        <v>EURUSD</v>
      </c>
      <c r="CR84" s="9" t="str">
        <f>Tableau47[[#This Row],[GO1]]</f>
        <v>SELL</v>
      </c>
      <c r="CS84" s="9" t="str">
        <f>Tableau47[[#This Row],[PRICE]]</f>
        <v>1.06281</v>
      </c>
      <c r="CT84" s="9">
        <f>Tableau47[[#This Row],[LOT]]</f>
        <v>4000</v>
      </c>
      <c r="CU84" s="9" t="str">
        <f>Tableau47[[#This Row],[COMMENTAIRE]]</f>
        <v>1 RSRS S 1.06273 M1M1</v>
      </c>
      <c r="CV84" s="9"/>
      <c r="CW84" s="9">
        <v>1</v>
      </c>
      <c r="CX84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4" s="9">
        <f t="shared" ca="1" si="0"/>
        <v>44929.316958449075</v>
      </c>
    </row>
    <row r="85" spans="3:103" ht="15.75" x14ac:dyDescent="0.25">
      <c r="C85" s="8"/>
      <c r="D85" s="9"/>
      <c r="L85" s="9">
        <v>53</v>
      </c>
      <c r="M85" s="9" t="s">
        <v>132</v>
      </c>
      <c r="N85" s="9" t="s">
        <v>16</v>
      </c>
      <c r="O85" s="8" t="s">
        <v>201</v>
      </c>
      <c r="P85" s="9" t="s">
        <v>0</v>
      </c>
      <c r="Q85" s="9">
        <v>4000</v>
      </c>
      <c r="R8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5" s="9" t="str">
        <f>IF(AND(ISNUMBER(SEARCH("BUY",Tableau47[[#This Row],[COMMAND]]))),"BUY",IF(AND(ISNUMBER(SEARCH("SELL",Tableau47[[#This Row],[COMMAND]]))),"SELL",""))</f>
        <v>SELL</v>
      </c>
      <c r="T85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5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5" s="9">
        <v>925832</v>
      </c>
      <c r="W85" s="22">
        <v>44923.3312224537</v>
      </c>
      <c r="X85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5" s="9">
        <f>IFERROR(VALUE(SUBSTITUTE(Tableau47[[#This Row],[PRICE]],".",",")),"")</f>
        <v>1.0627500000000001</v>
      </c>
      <c r="Z85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5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5" s="9" t="str">
        <f>IF(IFERROR(_xlfn.XLOOKUP(Tableau47[[#This Row],[COMMENTAIRE]],'[1]Tickets (2)'!$J$6:$J$805,'[1]Tickets (2)'!$J$6:$J$805),"")&lt;&gt;"",1,"")</f>
        <v/>
      </c>
      <c r="AC85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5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5" s="9" t="str">
        <f>IFERROR(_xlfn.XLOOKUP(Tableau47[[#This Row],[INDEX]],Tableau47[COMPTE],Tableau47[COMPTE]),"")</f>
        <v/>
      </c>
      <c r="AF85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5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5" s="17" t="str">
        <f>IF(Tableau47[[#This Row],[COMMAND]]="BUYSTOP",IFERROR(ABS(Tableau47[[#This Row],[GO7]]-'[1]Deal ticket'!$B$15),""),"")</f>
        <v/>
      </c>
      <c r="AI85" s="9">
        <f>IF(Tableau47[[#This Row],[COMMAND]]="SELLSTOP",IFERROR(ABS(Tableau47[[#This Row],[GO7]]-'[1]Deal ticket'!$B$16),""),"")</f>
        <v>2.8299999999998882E-3</v>
      </c>
      <c r="AJ85" s="9" t="str">
        <f>IF(IFERROR(_xlfn.XLOOKUP(Tableau47[[#This Row],[COMMENTAIRE]],'[1]Tickets (2)'!$J$6:$J$805,'[1]Tickets (2)'!$J$6:$J$805),"")&lt;&gt;"",1,"")</f>
        <v/>
      </c>
      <c r="AK85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5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5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5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1.0627500000000001</v>
      </c>
      <c r="AO85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5" s="9" t="s">
        <v>97</v>
      </c>
      <c r="AQ85" s="9" t="str">
        <f>IFERROR(_xlfn.XLOOKUP(Tableau47[[#This Row],[COMMENTAIRE]],'[1]Tickets (2)'!$J$6:$J$805,'[1]Tickets (2)'!$C$6:$C$805),"")</f>
        <v/>
      </c>
      <c r="AR85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5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5" s="9" t="str">
        <f>IF(Tableau47[[#This Row],[GOUBLOP]]=1,Tableau47[[#This Row],[COMMENTAIRE]],"")</f>
        <v/>
      </c>
      <c r="AU85" s="9"/>
      <c r="AV85" s="9" t="str">
        <f>IFERROR(IF(_xlfn.XLOOKUP(Tableau47[[#This Row],[GOUBLOP2]],[1]!Tableau4849[ATTEINT],[1]!Tableau4849[ATTEINT])&lt;&gt;"",1,""),"")</f>
        <v/>
      </c>
      <c r="AW85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5" s="9" t="str">
        <f>IF(Tableau47[[#This Row],[COMMAND]]="","",IF(Tableau47[[#This Row],[INDEX]]&lt;3,"",LEFT(Tableau47[[#This Row],[COMMENTAIRE]],LEN(Tableau47[[#This Row],[COMMENTAIRE]])-2)))</f>
        <v>1 RSRS S 1.06276 M1</v>
      </c>
      <c r="AY85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5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5" s="9" t="str">
        <f>IF(Tableau47[[#This Row],[INDEX]]&lt;3,"",IF(Tableau47[[#This Row],[COMMAND]]="","",IFERROR(Tableau47[[#This Row],[DIS_BUY]]*$AX$30,"")))</f>
        <v/>
      </c>
      <c r="BB85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5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5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5" s="9" t="str">
        <f>IF(AND(Tableau47[[#This Row],[GO]]="GO",ISNUMBER(SEARCH("BUY",Tableau47[[#This Row],[COMMAND]]))),1,"")</f>
        <v/>
      </c>
      <c r="BH85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5" s="9" t="str">
        <f>IF(OR(Tableau47[[#This Row],[GLOBAL BUY]]=1),Tableau47[[#This Row],[COMMENTAIRE]],"")</f>
        <v/>
      </c>
      <c r="BJ85" s="9" t="str">
        <f>IF(OR(Tableau47[[#This Row],[GLOBAL SELL]]=1),Tableau47[[#This Row],[COMMENTAIRE]],"")</f>
        <v/>
      </c>
      <c r="BK85" s="9">
        <f>IF(Tableau47[[#This Row],[INDEX]]&lt;3,"",IF(Tableau47[[#This Row],[COMMAND]]="","",SUMIFS(Tableau47[COMMENTAIRE],Tableau47[COMMENTAIRE],Tableau47[[#This Row],[COMMENTAIRE]])))</f>
        <v>0</v>
      </c>
      <c r="BL85" s="9" t="str">
        <f>IF(IFERROR(_xlfn.XLOOKUP(Tableau47[[#This Row],[COMMENTAIRE]],'[1]Tickets (2)'!$J$6:$J$805,'[1]Tickets (2)'!$J$6:$J$805),"")&lt;&gt;"",1,"")</f>
        <v/>
      </c>
      <c r="BM85" s="9">
        <f>IF(Tableau47[[#This Row],[INDEX]]&lt;3,"",IF(Tableau47[[#This Row],[COMMAND]]="","",IF('[1]Bar history'!$AA$33=1,1,"")))</f>
        <v>1</v>
      </c>
      <c r="BN85" s="9">
        <f>IFERROR(IFERROR(_xlfn.XLOOKUP(Tableau47[[#This Row],[COMMENTAIRE]],[1]!Tableau4849[IDENTITE],[1]!Tableau4849[0,5]),0),"")</f>
        <v>0</v>
      </c>
      <c r="BO85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5" s="9" t="str">
        <f>IF(IFERROR(_xlfn.XLOOKUP(Tableau47[[#This Row],[COMMENTAIRE]],'[1]Tickets (2)'!$J$6:$J$805,'[1]Tickets (2)'!$U$6:$U$805)," ")="","OK","")</f>
        <v/>
      </c>
      <c r="BQ85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5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5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5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5" s="9" t="str">
        <f>IF(IFERROR(_xlfn.XLOOKUP(Tableau47[[#This Row],[COMMENTAIRE]],'[1]Tickets (2)'!$J$6:$J$805,'[1]Tickets (2)'!$U$6:$U$805)," ")="","OK","")</f>
        <v/>
      </c>
      <c r="BV85" s="9" t="str">
        <f>IF(IFERROR(_xlfn.XLOOKUP(Tableau47[[#This Row],[COMMENTAIRE]],'[1]Tickets (2)'!$J$6:$J$805,'[1]Tickets (2)'!$V$6:$V$805)," ")="","OK","")</f>
        <v/>
      </c>
      <c r="BW85" s="9" t="e">
        <f>IF(Tableau47[[#This Row],[INDEX]]&lt;3,"",IF(Tableau47[[#This Row],[COMMAND]]="","",([1]FSI_TB!$F$12/10)*(Tableau47[[#This Row],[LOT]]/$BW$30)))</f>
        <v>#DIV/0!</v>
      </c>
      <c r="BX85" s="9" t="e">
        <f>IF(Tableau47[[#This Row],[INDEX]]&lt;3,"",IF(Tableau47[[#This Row],[COMMAND]]="","",-([1]FSI_TB!$D$12/10)*(Tableau47[[#This Row],[LOT]]/$BW$30)))</f>
        <v>#DIV/0!</v>
      </c>
      <c r="BY85" s="9" t="s">
        <v>97</v>
      </c>
      <c r="BZ85" s="9" t="str">
        <f>IF(AND(Tableau47[[#This Row],[CLOTURE]]="REPOSITIONNER"),"OK",IF(AND(Tableau47[[#This Row],[CLOTURE]]="GAGNANT"),"KO",IF(Tableau47[[#This Row],[NON]]="NON","NON","")))</f>
        <v>NON</v>
      </c>
      <c r="CA85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85" s="9" t="str">
        <f>IFERROR(_xlfn.XLOOKUP(Tableau47[[#This Row],[COMMENTAIRE]],'[1]Tickets (2)'!$J$6:$J$805,'[1]Tickets (2)'!$F$6:$F$805),"")</f>
        <v/>
      </c>
      <c r="CC85" s="9">
        <f>IF(Tableau47[[#This Row],[INDEX]]&lt;3,"",IF(Tableau47[[#This Row],[COMMAND]]="","",Tableau47[[#This Row],[LOT]]))</f>
        <v>4000</v>
      </c>
      <c r="CD85" s="9">
        <f>IF(Tableau47[[#This Row],[INDEX]]&lt;3,"",IF(Tableau47[[#This Row],[COMMAND]]="","",IFERROR(_xlfn.XLOOKUP(Tableau47[[#This Row],[COMMENTAIRE]],[1]!Tableau4849[IDENTITE],[1]!Tableau4849[0,5]),0)))</f>
        <v>0</v>
      </c>
      <c r="CE8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5" s="9" t="str" cm="1">
        <f t="array" ref="CG85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5" s="9"/>
      <c r="CI85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5" s="9"/>
      <c r="CK85" s="21"/>
      <c r="CL85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5" s="9"/>
      <c r="CN85" s="9" t="str">
        <f>IF(Tableau47[[#This Row],[INDEX]]&lt;3,"",IF(Tableau47[[#This Row],[COMMAND]]="","",IF(AND(Tableau47[[#This Row],[EN ATTENTES]]="NON",Tableau47[[#This Row],[EN COURS]]&lt;&gt;""),"OK","STOP")))</f>
        <v>STOP</v>
      </c>
      <c r="CO85" s="19">
        <f>Tableau47[[#This Row],[Cst TIME]]</f>
        <v>44923.3312224537</v>
      </c>
      <c r="CP85" s="9">
        <f>[1]analos!$Q$237</f>
        <v>926507</v>
      </c>
      <c r="CQ85" s="9" t="str">
        <f>[1]FSI_TB!$F$3</f>
        <v>EURUSD</v>
      </c>
      <c r="CR85" s="9" t="str">
        <f>Tableau47[[#This Row],[GO1]]</f>
        <v>SELL</v>
      </c>
      <c r="CS85" s="9" t="str">
        <f>Tableau47[[#This Row],[PRICE]]</f>
        <v>1.06275</v>
      </c>
      <c r="CT85" s="9">
        <f>Tableau47[[#This Row],[LOT]]</f>
        <v>4000</v>
      </c>
      <c r="CU85" s="9" t="str">
        <f>Tableau47[[#This Row],[COMMENTAIRE]]</f>
        <v>1 RSRS S 1.06276 M1M1</v>
      </c>
      <c r="CV85" s="9"/>
      <c r="CW85" s="9">
        <v>1</v>
      </c>
      <c r="CX85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5" s="9">
        <f t="shared" ca="1" si="0"/>
        <v>44929.316958449075</v>
      </c>
    </row>
    <row r="86" spans="3:103" ht="15.75" x14ac:dyDescent="0.25">
      <c r="C86" s="8"/>
      <c r="D86" s="9"/>
      <c r="L86" s="9">
        <v>54</v>
      </c>
      <c r="M86" s="9" t="s">
        <v>132</v>
      </c>
      <c r="N86" s="9" t="s">
        <v>8</v>
      </c>
      <c r="O86" s="8" t="s">
        <v>202</v>
      </c>
      <c r="P86" s="9" t="s">
        <v>0</v>
      </c>
      <c r="Q86" s="9">
        <v>11000</v>
      </c>
      <c r="R8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6" s="9" t="str">
        <f>IF(AND(ISNUMBER(SEARCH("BUY",Tableau47[[#This Row],[COMMAND]]))),"BUY",IF(AND(ISNUMBER(SEARCH("SELL",Tableau47[[#This Row],[COMMAND]]))),"SELL",""))</f>
        <v>SELL</v>
      </c>
      <c r="T86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6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6" s="9">
        <v>925832</v>
      </c>
      <c r="W86" s="22">
        <v>44923.331034490744</v>
      </c>
      <c r="X86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6" s="9">
        <f>IFERROR(VALUE(SUBSTITUTE(Tableau47[[#This Row],[PRICE]],".",",")),"")</f>
        <v>1.06298</v>
      </c>
      <c r="Z86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6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6" s="9" t="str">
        <f>IF(IFERROR(_xlfn.XLOOKUP(Tableau47[[#This Row],[COMMENTAIRE]],'[1]Tickets (2)'!$J$6:$J$805,'[1]Tickets (2)'!$J$6:$J$805),"")&lt;&gt;"",1,"")</f>
        <v/>
      </c>
      <c r="AC86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6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6" s="9" t="str">
        <f>IFERROR(_xlfn.XLOOKUP(Tableau47[[#This Row],[INDEX]],Tableau47[COMPTE],Tableau47[COMPTE]),"")</f>
        <v/>
      </c>
      <c r="AF86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6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6" s="17" t="str">
        <f>IF(Tableau47[[#This Row],[COMMAND]]="BUYSTOP",IFERROR(ABS(Tableau47[[#This Row],[GO7]]-'[1]Deal ticket'!$B$15),""),"")</f>
        <v/>
      </c>
      <c r="AI86" s="9">
        <f>IF(Tableau47[[#This Row],[COMMAND]]="SELLSTOP",IFERROR(ABS(Tableau47[[#This Row],[GO7]]-'[1]Deal ticket'!$B$16),""),"")</f>
        <v>2.5999999999999357E-3</v>
      </c>
      <c r="AJ86" s="9" t="str">
        <f>IF(IFERROR(_xlfn.XLOOKUP(Tableau47[[#This Row],[COMMENTAIRE]],'[1]Tickets (2)'!$J$6:$J$805,'[1]Tickets (2)'!$J$6:$J$805),"")&lt;&gt;"",1,"")</f>
        <v/>
      </c>
      <c r="AK86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6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6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6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1.06298</v>
      </c>
      <c r="AO86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6" s="9" t="s">
        <v>97</v>
      </c>
      <c r="AQ86" s="9" t="str">
        <f>IFERROR(_xlfn.XLOOKUP(Tableau47[[#This Row],[COMMENTAIRE]],'[1]Tickets (2)'!$J$6:$J$805,'[1]Tickets (2)'!$C$6:$C$805),"")</f>
        <v/>
      </c>
      <c r="AR86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6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6" s="9" t="str">
        <f>IF(Tableau47[[#This Row],[GOUBLOP]]=1,Tableau47[[#This Row],[COMMENTAIRE]],"")</f>
        <v/>
      </c>
      <c r="AU86" s="9"/>
      <c r="AV86" s="9" t="str">
        <f>IFERROR(IF(_xlfn.XLOOKUP(Tableau47[[#This Row],[GOUBLOP2]],[1]!Tableau4849[ATTEINT],[1]!Tableau4849[ATTEINT])&lt;&gt;"",1,""),"")</f>
        <v/>
      </c>
      <c r="AW86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6" s="9" t="str">
        <f>IF(Tableau47[[#This Row],[COMMAND]]="","",IF(Tableau47[[#This Row],[INDEX]]&lt;3,"",LEFT(Tableau47[[#This Row],[COMMENTAIRE]],LEN(Tableau47[[#This Row],[COMMENTAIRE]])-2)))</f>
        <v>1 RSRS S 1.0639 M1</v>
      </c>
      <c r="AY86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6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6" s="9" t="str">
        <f>IF(Tableau47[[#This Row],[INDEX]]&lt;3,"",IF(Tableau47[[#This Row],[COMMAND]]="","",IFERROR(Tableau47[[#This Row],[DIS_BUY]]*$AX$30,"")))</f>
        <v/>
      </c>
      <c r="BB86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6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6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6" s="9" t="str">
        <f>IF(AND(Tableau47[[#This Row],[GO]]="GO",ISNUMBER(SEARCH("BUY",Tableau47[[#This Row],[COMMAND]]))),1,"")</f>
        <v/>
      </c>
      <c r="BH86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6" s="9" t="str">
        <f>IF(OR(Tableau47[[#This Row],[GLOBAL BUY]]=1),Tableau47[[#This Row],[COMMENTAIRE]],"")</f>
        <v/>
      </c>
      <c r="BJ86" s="9" t="str">
        <f>IF(OR(Tableau47[[#This Row],[GLOBAL SELL]]=1),Tableau47[[#This Row],[COMMENTAIRE]],"")</f>
        <v/>
      </c>
      <c r="BK86" s="9">
        <f>IF(Tableau47[[#This Row],[INDEX]]&lt;3,"",IF(Tableau47[[#This Row],[COMMAND]]="","",SUMIFS(Tableau47[COMMENTAIRE],Tableau47[COMMENTAIRE],Tableau47[[#This Row],[COMMENTAIRE]])))</f>
        <v>0</v>
      </c>
      <c r="BL86" s="9" t="str">
        <f>IF(IFERROR(_xlfn.XLOOKUP(Tableau47[[#This Row],[COMMENTAIRE]],'[1]Tickets (2)'!$J$6:$J$805,'[1]Tickets (2)'!$J$6:$J$805),"")&lt;&gt;"",1,"")</f>
        <v/>
      </c>
      <c r="BM86" s="9">
        <f>IF(Tableau47[[#This Row],[INDEX]]&lt;3,"",IF(Tableau47[[#This Row],[COMMAND]]="","",IF('[1]Bar history'!$AA$33=1,1,"")))</f>
        <v>1</v>
      </c>
      <c r="BN86" s="9">
        <f>IFERROR(IFERROR(_xlfn.XLOOKUP(Tableau47[[#This Row],[COMMENTAIRE]],[1]!Tableau4849[IDENTITE],[1]!Tableau4849[0,5]),0),"")</f>
        <v>0</v>
      </c>
      <c r="BO86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6" s="9" t="str">
        <f>IF(IFERROR(_xlfn.XLOOKUP(Tableau47[[#This Row],[COMMENTAIRE]],'[1]Tickets (2)'!$J$6:$J$805,'[1]Tickets (2)'!$U$6:$U$805)," ")="","OK","")</f>
        <v/>
      </c>
      <c r="BQ86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6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6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6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6" s="9" t="str">
        <f>IF(IFERROR(_xlfn.XLOOKUP(Tableau47[[#This Row],[COMMENTAIRE]],'[1]Tickets (2)'!$J$6:$J$805,'[1]Tickets (2)'!$U$6:$U$805)," ")="","OK","")</f>
        <v/>
      </c>
      <c r="BV86" s="9" t="str">
        <f>IF(IFERROR(_xlfn.XLOOKUP(Tableau47[[#This Row],[COMMENTAIRE]],'[1]Tickets (2)'!$J$6:$J$805,'[1]Tickets (2)'!$V$6:$V$805)," ")="","OK","")</f>
        <v/>
      </c>
      <c r="BW86" s="9" t="e">
        <f>IF(Tableau47[[#This Row],[INDEX]]&lt;3,"",IF(Tableau47[[#This Row],[COMMAND]]="","",([1]FSI_TB!$F$12/10)*(Tableau47[[#This Row],[LOT]]/$BW$30)))</f>
        <v>#DIV/0!</v>
      </c>
      <c r="BX86" s="9" t="e">
        <f>IF(Tableau47[[#This Row],[INDEX]]&lt;3,"",IF(Tableau47[[#This Row],[COMMAND]]="","",-([1]FSI_TB!$D$12/10)*(Tableau47[[#This Row],[LOT]]/$BW$30)))</f>
        <v>#DIV/0!</v>
      </c>
      <c r="BY86" s="9" t="s">
        <v>97</v>
      </c>
      <c r="BZ86" s="9" t="str">
        <f>IF(AND(Tableau47[[#This Row],[CLOTURE]]="REPOSITIONNER"),"OK",IF(AND(Tableau47[[#This Row],[CLOTURE]]="GAGNANT"),"KO",IF(Tableau47[[#This Row],[NON]]="NON","NON","")))</f>
        <v>NON</v>
      </c>
      <c r="CA86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11000</v>
      </c>
      <c r="CB86" s="9" t="str">
        <f>IFERROR(_xlfn.XLOOKUP(Tableau47[[#This Row],[COMMENTAIRE]],'[1]Tickets (2)'!$J$6:$J$805,'[1]Tickets (2)'!$F$6:$F$805),"")</f>
        <v/>
      </c>
      <c r="CC86" s="9">
        <f>IF(Tableau47[[#This Row],[INDEX]]&lt;3,"",IF(Tableau47[[#This Row],[COMMAND]]="","",Tableau47[[#This Row],[LOT]]))</f>
        <v>11000</v>
      </c>
      <c r="CD86" s="9">
        <f>IF(Tableau47[[#This Row],[INDEX]]&lt;3,"",IF(Tableau47[[#This Row],[COMMAND]]="","",IFERROR(_xlfn.XLOOKUP(Tableau47[[#This Row],[COMMENTAIRE]],[1]!Tableau4849[IDENTITE],[1]!Tableau4849[0,5]),0)))</f>
        <v>0</v>
      </c>
      <c r="CE8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6" s="9" t="str" cm="1">
        <f t="array" ref="CG86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6" s="9"/>
      <c r="CI86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6" s="9"/>
      <c r="CK86" s="21"/>
      <c r="CL86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6" s="9"/>
      <c r="CN86" s="9" t="str">
        <f>IF(Tableau47[[#This Row],[INDEX]]&lt;3,"",IF(Tableau47[[#This Row],[COMMAND]]="","",IF(AND(Tableau47[[#This Row],[EN ATTENTES]]="NON",Tableau47[[#This Row],[EN COURS]]&lt;&gt;""),"OK","STOP")))</f>
        <v>STOP</v>
      </c>
      <c r="CO86" s="19">
        <f>Tableau47[[#This Row],[Cst TIME]]</f>
        <v>44923.331034490744</v>
      </c>
      <c r="CP86" s="9">
        <f>[1]analos!$Q$237</f>
        <v>926507</v>
      </c>
      <c r="CQ86" s="9" t="str">
        <f>[1]FSI_TB!$F$3</f>
        <v>EURUSD</v>
      </c>
      <c r="CR86" s="9" t="str">
        <f>Tableau47[[#This Row],[GO1]]</f>
        <v>SELL</v>
      </c>
      <c r="CS86" s="9" t="str">
        <f>Tableau47[[#This Row],[PRICE]]</f>
        <v>1.06298</v>
      </c>
      <c r="CT86" s="9">
        <f>Tableau47[[#This Row],[LOT]]</f>
        <v>11000</v>
      </c>
      <c r="CU86" s="9" t="str">
        <f>Tableau47[[#This Row],[COMMENTAIRE]]</f>
        <v>1 RSRS S 1.0639 M1M1</v>
      </c>
      <c r="CV86" s="9"/>
      <c r="CW86" s="9">
        <v>1</v>
      </c>
      <c r="CX86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6" s="9">
        <f t="shared" ca="1" si="0"/>
        <v>44929.316958449075</v>
      </c>
    </row>
    <row r="87" spans="3:103" ht="15.75" x14ac:dyDescent="0.25">
      <c r="C87" s="8"/>
      <c r="D87" s="9"/>
      <c r="L87" s="9">
        <v>55</v>
      </c>
      <c r="M87" s="9" t="s">
        <v>132</v>
      </c>
      <c r="N87" s="9" t="s">
        <v>203</v>
      </c>
      <c r="O87" s="8" t="s">
        <v>204</v>
      </c>
      <c r="P87" s="9" t="s">
        <v>0</v>
      </c>
      <c r="Q87" s="9">
        <v>16000</v>
      </c>
      <c r="R8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7" s="9" t="str">
        <f>IF(AND(ISNUMBER(SEARCH("BUY",Tableau47[[#This Row],[COMMAND]]))),"BUY",IF(AND(ISNUMBER(SEARCH("SELL",Tableau47[[#This Row],[COMMAND]]))),"SELL",""))</f>
        <v>SELL</v>
      </c>
      <c r="T87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7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7" s="9">
        <v>925832</v>
      </c>
      <c r="W87" s="22">
        <v>44923.325980671296</v>
      </c>
      <c r="X87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7" s="9">
        <f>IFERROR(VALUE(SUBSTITUTE(Tableau47[[#This Row],[PRICE]],".",",")),"")</f>
        <v>1.0631999999999999</v>
      </c>
      <c r="Z87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7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7" s="9" t="str">
        <f>IF(IFERROR(_xlfn.XLOOKUP(Tableau47[[#This Row],[COMMENTAIRE]],'[1]Tickets (2)'!$J$6:$J$805,'[1]Tickets (2)'!$J$6:$J$805),"")&lt;&gt;"",1,"")</f>
        <v/>
      </c>
      <c r="AC87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7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7" s="9" t="str">
        <f>IFERROR(_xlfn.XLOOKUP(Tableau47[[#This Row],[INDEX]],Tableau47[COMPTE],Tableau47[COMPTE]),"")</f>
        <v/>
      </c>
      <c r="AF87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7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7" s="17" t="str">
        <f>IF(Tableau47[[#This Row],[COMMAND]]="BUYSTOP",IFERROR(ABS(Tableau47[[#This Row],[GO7]]-'[1]Deal ticket'!$B$15),""),"")</f>
        <v/>
      </c>
      <c r="AI87" s="9">
        <f>IF(Tableau47[[#This Row],[COMMAND]]="SELLSTOP",IFERROR(ABS(Tableau47[[#This Row],[GO7]]-'[1]Deal ticket'!$B$16),""),"")</f>
        <v>2.3800000000000487E-3</v>
      </c>
      <c r="AJ87" s="9" t="str">
        <f>IF(IFERROR(_xlfn.XLOOKUP(Tableau47[[#This Row],[COMMENTAIRE]],'[1]Tickets (2)'!$J$6:$J$805,'[1]Tickets (2)'!$J$6:$J$805),"")&lt;&gt;"",1,"")</f>
        <v/>
      </c>
      <c r="AK87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7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7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7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1.0631999999999999</v>
      </c>
      <c r="AO87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7" s="9" t="s">
        <v>97</v>
      </c>
      <c r="AQ87" s="9" t="str">
        <f>IFERROR(_xlfn.XLOOKUP(Tableau47[[#This Row],[COMMENTAIRE]],'[1]Tickets (2)'!$J$6:$J$805,'[1]Tickets (2)'!$C$6:$C$805),"")</f>
        <v/>
      </c>
      <c r="AR87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7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7" s="9" t="str">
        <f>IF(Tableau47[[#This Row],[GOUBLOP]]=1,Tableau47[[#This Row],[COMMENTAIRE]],"")</f>
        <v/>
      </c>
      <c r="AU87" s="9"/>
      <c r="AV87" s="9" t="str">
        <f>IFERROR(IF(_xlfn.XLOOKUP(Tableau47[[#This Row],[GOUBLOP2]],[1]!Tableau4849[ATTEINT],[1]!Tableau4849[ATTEINT])&lt;&gt;"",1,""),"")</f>
        <v/>
      </c>
      <c r="AW87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7" s="9" t="str">
        <f>IF(Tableau47[[#This Row],[COMMAND]]="","",IF(Tableau47[[#This Row],[INDEX]]&lt;3,"",LEFT(Tableau47[[#This Row],[COMMENTAIRE]],LEN(Tableau47[[#This Row],[COMMENTAIRE]])-2)))</f>
        <v>1 RSRS S 1.06319 M1</v>
      </c>
      <c r="AY87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7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7" s="9" t="str">
        <f>IF(Tableau47[[#This Row],[INDEX]]&lt;3,"",IF(Tableau47[[#This Row],[COMMAND]]="","",IFERROR(Tableau47[[#This Row],[DIS_BUY]]*$AX$30,"")))</f>
        <v/>
      </c>
      <c r="BB87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7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7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7" s="9" t="str">
        <f>IF(AND(Tableau47[[#This Row],[GO]]="GO",ISNUMBER(SEARCH("BUY",Tableau47[[#This Row],[COMMAND]]))),1,"")</f>
        <v/>
      </c>
      <c r="BH87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7" s="9" t="str">
        <f>IF(OR(Tableau47[[#This Row],[GLOBAL BUY]]=1),Tableau47[[#This Row],[COMMENTAIRE]],"")</f>
        <v/>
      </c>
      <c r="BJ87" s="9" t="str">
        <f>IF(OR(Tableau47[[#This Row],[GLOBAL SELL]]=1),Tableau47[[#This Row],[COMMENTAIRE]],"")</f>
        <v/>
      </c>
      <c r="BK87" s="9">
        <f>IF(Tableau47[[#This Row],[INDEX]]&lt;3,"",IF(Tableau47[[#This Row],[COMMAND]]="","",SUMIFS(Tableau47[COMMENTAIRE],Tableau47[COMMENTAIRE],Tableau47[[#This Row],[COMMENTAIRE]])))</f>
        <v>0</v>
      </c>
      <c r="BL87" s="9" t="str">
        <f>IF(IFERROR(_xlfn.XLOOKUP(Tableau47[[#This Row],[COMMENTAIRE]],'[1]Tickets (2)'!$J$6:$J$805,'[1]Tickets (2)'!$J$6:$J$805),"")&lt;&gt;"",1,"")</f>
        <v/>
      </c>
      <c r="BM87" s="9">
        <f>IF(Tableau47[[#This Row],[INDEX]]&lt;3,"",IF(Tableau47[[#This Row],[COMMAND]]="","",IF('[1]Bar history'!$AA$33=1,1,"")))</f>
        <v>1</v>
      </c>
      <c r="BN87" s="9">
        <f>IFERROR(IFERROR(_xlfn.XLOOKUP(Tableau47[[#This Row],[COMMENTAIRE]],[1]!Tableau4849[IDENTITE],[1]!Tableau4849[0,5]),0),"")</f>
        <v>0</v>
      </c>
      <c r="BO87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7" s="9" t="str">
        <f>IF(IFERROR(_xlfn.XLOOKUP(Tableau47[[#This Row],[COMMENTAIRE]],'[1]Tickets (2)'!$J$6:$J$805,'[1]Tickets (2)'!$U$6:$U$805)," ")="","OK","")</f>
        <v/>
      </c>
      <c r="BQ87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7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7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7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7" s="9" t="str">
        <f>IF(IFERROR(_xlfn.XLOOKUP(Tableau47[[#This Row],[COMMENTAIRE]],'[1]Tickets (2)'!$J$6:$J$805,'[1]Tickets (2)'!$U$6:$U$805)," ")="","OK","")</f>
        <v/>
      </c>
      <c r="BV87" s="9" t="str">
        <f>IF(IFERROR(_xlfn.XLOOKUP(Tableau47[[#This Row],[COMMENTAIRE]],'[1]Tickets (2)'!$J$6:$J$805,'[1]Tickets (2)'!$V$6:$V$805)," ")="","OK","")</f>
        <v/>
      </c>
      <c r="BW87" s="9" t="e">
        <f>IF(Tableau47[[#This Row],[INDEX]]&lt;3,"",IF(Tableau47[[#This Row],[COMMAND]]="","",([1]FSI_TB!$F$12/10)*(Tableau47[[#This Row],[LOT]]/$BW$30)))</f>
        <v>#DIV/0!</v>
      </c>
      <c r="BX87" s="9" t="e">
        <f>IF(Tableau47[[#This Row],[INDEX]]&lt;3,"",IF(Tableau47[[#This Row],[COMMAND]]="","",-([1]FSI_TB!$D$12/10)*(Tableau47[[#This Row],[LOT]]/$BW$30)))</f>
        <v>#DIV/0!</v>
      </c>
      <c r="BY87" s="9" t="s">
        <v>97</v>
      </c>
      <c r="BZ87" s="9" t="str">
        <f>IF(AND(Tableau47[[#This Row],[CLOTURE]]="REPOSITIONNER"),"OK",IF(AND(Tableau47[[#This Row],[CLOTURE]]="GAGNANT"),"KO",IF(Tableau47[[#This Row],[NON]]="NON","NON","")))</f>
        <v>NON</v>
      </c>
      <c r="CA87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16000</v>
      </c>
      <c r="CB87" s="9" t="str">
        <f>IFERROR(_xlfn.XLOOKUP(Tableau47[[#This Row],[COMMENTAIRE]],'[1]Tickets (2)'!$J$6:$J$805,'[1]Tickets (2)'!$F$6:$F$805),"")</f>
        <v/>
      </c>
      <c r="CC87" s="9">
        <f>IF(Tableau47[[#This Row],[INDEX]]&lt;3,"",IF(Tableau47[[#This Row],[COMMAND]]="","",Tableau47[[#This Row],[LOT]]))</f>
        <v>16000</v>
      </c>
      <c r="CD87" s="9">
        <f>IF(Tableau47[[#This Row],[INDEX]]&lt;3,"",IF(Tableau47[[#This Row],[COMMAND]]="","",IFERROR(_xlfn.XLOOKUP(Tableau47[[#This Row],[COMMENTAIRE]],[1]!Tableau4849[IDENTITE],[1]!Tableau4849[0,5]),0)))</f>
        <v>0</v>
      </c>
      <c r="CE8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7" s="9" t="str" cm="1">
        <f t="array" ref="CG87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7" s="9"/>
      <c r="CI87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7" s="9"/>
      <c r="CK87" s="21"/>
      <c r="CL87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7" s="9"/>
      <c r="CN87" s="9" t="str">
        <f>IF(Tableau47[[#This Row],[INDEX]]&lt;3,"",IF(Tableau47[[#This Row],[COMMAND]]="","",IF(AND(Tableau47[[#This Row],[EN ATTENTES]]="NON",Tableau47[[#This Row],[EN COURS]]&lt;&gt;""),"OK","STOP")))</f>
        <v>STOP</v>
      </c>
      <c r="CO87" s="19">
        <f>Tableau47[[#This Row],[Cst TIME]]</f>
        <v>44923.325980671296</v>
      </c>
      <c r="CP87" s="9">
        <f>[1]analos!$Q$237</f>
        <v>926507</v>
      </c>
      <c r="CQ87" s="9" t="str">
        <f>[1]FSI_TB!$F$3</f>
        <v>EURUSD</v>
      </c>
      <c r="CR87" s="9" t="str">
        <f>Tableau47[[#This Row],[GO1]]</f>
        <v>SELL</v>
      </c>
      <c r="CS87" s="9" t="str">
        <f>Tableau47[[#This Row],[PRICE]]</f>
        <v>1.0632</v>
      </c>
      <c r="CT87" s="9">
        <f>Tableau47[[#This Row],[LOT]]</f>
        <v>16000</v>
      </c>
      <c r="CU87" s="9" t="str">
        <f>Tableau47[[#This Row],[COMMENTAIRE]]</f>
        <v>1 RSRS S 1.06319 M1M1</v>
      </c>
      <c r="CV87" s="9"/>
      <c r="CW87" s="9">
        <v>1</v>
      </c>
      <c r="CX87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7" s="9">
        <f t="shared" ca="1" si="0"/>
        <v>44929.316958449075</v>
      </c>
    </row>
    <row r="88" spans="3:103" ht="15.75" x14ac:dyDescent="0.25">
      <c r="C88" s="8"/>
      <c r="D88" s="9"/>
      <c r="L88" s="9">
        <v>56</v>
      </c>
      <c r="M88" s="9" t="s">
        <v>132</v>
      </c>
      <c r="N88" s="9" t="s">
        <v>137</v>
      </c>
      <c r="O88" s="8" t="s">
        <v>205</v>
      </c>
      <c r="P88" s="9" t="s">
        <v>0</v>
      </c>
      <c r="Q88" s="9">
        <v>18000</v>
      </c>
      <c r="R8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8" s="9" t="str">
        <f>IF(AND(ISNUMBER(SEARCH("BUY",Tableau47[[#This Row],[COMMAND]]))),"BUY",IF(AND(ISNUMBER(SEARCH("SELL",Tableau47[[#This Row],[COMMAND]]))),"SELL",""))</f>
        <v>SELL</v>
      </c>
      <c r="T88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8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8" s="9">
        <v>925832</v>
      </c>
      <c r="W88" s="22">
        <v>44923.325163541667</v>
      </c>
      <c r="X88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8" s="9">
        <f>IFERROR(VALUE(SUBSTITUTE(Tableau47[[#This Row],[PRICE]],".",",")),"")</f>
        <v>1.0630900000000001</v>
      </c>
      <c r="Z88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8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8" s="9" t="str">
        <f>IF(IFERROR(_xlfn.XLOOKUP(Tableau47[[#This Row],[COMMENTAIRE]],'[1]Tickets (2)'!$J$6:$J$805,'[1]Tickets (2)'!$J$6:$J$805),"")&lt;&gt;"",1,"")</f>
        <v/>
      </c>
      <c r="AC88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8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8" s="9" t="str">
        <f>IFERROR(_xlfn.XLOOKUP(Tableau47[[#This Row],[INDEX]],Tableau47[COMPTE],Tableau47[COMPTE]),"")</f>
        <v/>
      </c>
      <c r="AF88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8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8" s="17" t="str">
        <f>IF(Tableau47[[#This Row],[COMMAND]]="BUYSTOP",IFERROR(ABS(Tableau47[[#This Row],[GO7]]-'[1]Deal ticket'!$B$15),""),"")</f>
        <v/>
      </c>
      <c r="AI88" s="9">
        <f>IF(Tableau47[[#This Row],[COMMAND]]="SELLSTOP",IFERROR(ABS(Tableau47[[#This Row],[GO7]]-'[1]Deal ticket'!$B$16),""),"")</f>
        <v>2.4899999999998812E-3</v>
      </c>
      <c r="AJ88" s="9" t="str">
        <f>IF(IFERROR(_xlfn.XLOOKUP(Tableau47[[#This Row],[COMMENTAIRE]],'[1]Tickets (2)'!$J$6:$J$805,'[1]Tickets (2)'!$J$6:$J$805),"")&lt;&gt;"",1,"")</f>
        <v/>
      </c>
      <c r="AK88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8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8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8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1.0630900000000001</v>
      </c>
      <c r="AO88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8" s="9" t="s">
        <v>97</v>
      </c>
      <c r="AQ88" s="9" t="str">
        <f>IFERROR(_xlfn.XLOOKUP(Tableau47[[#This Row],[COMMENTAIRE]],'[1]Tickets (2)'!$J$6:$J$805,'[1]Tickets (2)'!$C$6:$C$805),"")</f>
        <v/>
      </c>
      <c r="AR88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8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8" s="9" t="str">
        <f>IF(Tableau47[[#This Row],[GOUBLOP]]=1,Tableau47[[#This Row],[COMMENTAIRE]],"")</f>
        <v/>
      </c>
      <c r="AU88" s="9"/>
      <c r="AV88" s="9" t="str">
        <f>IFERROR(IF(_xlfn.XLOOKUP(Tableau47[[#This Row],[GOUBLOP2]],[1]!Tableau4849[ATTEINT],[1]!Tableau4849[ATTEINT])&lt;&gt;"",1,""),"")</f>
        <v/>
      </c>
      <c r="AW88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8" s="9" t="str">
        <f>IF(Tableau47[[#This Row],[COMMAND]]="","",IF(Tableau47[[#This Row],[INDEX]]&lt;3,"",LEFT(Tableau47[[#This Row],[COMMENTAIRE]],LEN(Tableau47[[#This Row],[COMMENTAIRE]])-2)))</f>
        <v>1 RSRS S 1.06309 M1</v>
      </c>
      <c r="AY88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8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8" s="9" t="str">
        <f>IF(Tableau47[[#This Row],[INDEX]]&lt;3,"",IF(Tableau47[[#This Row],[COMMAND]]="","",IFERROR(Tableau47[[#This Row],[DIS_BUY]]*$AX$30,"")))</f>
        <v/>
      </c>
      <c r="BB88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8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8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8" s="9" t="str">
        <f>IF(AND(Tableau47[[#This Row],[GO]]="GO",ISNUMBER(SEARCH("BUY",Tableau47[[#This Row],[COMMAND]]))),1,"")</f>
        <v/>
      </c>
      <c r="BH88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8" s="9" t="str">
        <f>IF(OR(Tableau47[[#This Row],[GLOBAL BUY]]=1),Tableau47[[#This Row],[COMMENTAIRE]],"")</f>
        <v/>
      </c>
      <c r="BJ88" s="9" t="str">
        <f>IF(OR(Tableau47[[#This Row],[GLOBAL SELL]]=1),Tableau47[[#This Row],[COMMENTAIRE]],"")</f>
        <v/>
      </c>
      <c r="BK88" s="9">
        <f>IF(Tableau47[[#This Row],[INDEX]]&lt;3,"",IF(Tableau47[[#This Row],[COMMAND]]="","",SUMIFS(Tableau47[COMMENTAIRE],Tableau47[COMMENTAIRE],Tableau47[[#This Row],[COMMENTAIRE]])))</f>
        <v>0</v>
      </c>
      <c r="BL88" s="9" t="str">
        <f>IF(IFERROR(_xlfn.XLOOKUP(Tableau47[[#This Row],[COMMENTAIRE]],'[1]Tickets (2)'!$J$6:$J$805,'[1]Tickets (2)'!$J$6:$J$805),"")&lt;&gt;"",1,"")</f>
        <v/>
      </c>
      <c r="BM88" s="9">
        <f>IF(Tableau47[[#This Row],[INDEX]]&lt;3,"",IF(Tableau47[[#This Row],[COMMAND]]="","",IF('[1]Bar history'!$AA$33=1,1,"")))</f>
        <v>1</v>
      </c>
      <c r="BN88" s="9">
        <f>IFERROR(IFERROR(_xlfn.XLOOKUP(Tableau47[[#This Row],[COMMENTAIRE]],[1]!Tableau4849[IDENTITE],[1]!Tableau4849[0,5]),0),"")</f>
        <v>0</v>
      </c>
      <c r="BO88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8" s="9" t="str">
        <f>IF(IFERROR(_xlfn.XLOOKUP(Tableau47[[#This Row],[COMMENTAIRE]],'[1]Tickets (2)'!$J$6:$J$805,'[1]Tickets (2)'!$U$6:$U$805)," ")="","OK","")</f>
        <v/>
      </c>
      <c r="BQ88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8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8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8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8" s="9" t="str">
        <f>IF(IFERROR(_xlfn.XLOOKUP(Tableau47[[#This Row],[COMMENTAIRE]],'[1]Tickets (2)'!$J$6:$J$805,'[1]Tickets (2)'!$U$6:$U$805)," ")="","OK","")</f>
        <v/>
      </c>
      <c r="BV88" s="9" t="str">
        <f>IF(IFERROR(_xlfn.XLOOKUP(Tableau47[[#This Row],[COMMENTAIRE]],'[1]Tickets (2)'!$J$6:$J$805,'[1]Tickets (2)'!$V$6:$V$805)," ")="","OK","")</f>
        <v/>
      </c>
      <c r="BW88" s="9" t="e">
        <f>IF(Tableau47[[#This Row],[INDEX]]&lt;3,"",IF(Tableau47[[#This Row],[COMMAND]]="","",([1]FSI_TB!$F$12/10)*(Tableau47[[#This Row],[LOT]]/$BW$30)))</f>
        <v>#DIV/0!</v>
      </c>
      <c r="BX88" s="9" t="e">
        <f>IF(Tableau47[[#This Row],[INDEX]]&lt;3,"",IF(Tableau47[[#This Row],[COMMAND]]="","",-([1]FSI_TB!$D$12/10)*(Tableau47[[#This Row],[LOT]]/$BW$30)))</f>
        <v>#DIV/0!</v>
      </c>
      <c r="BY88" s="9" t="s">
        <v>97</v>
      </c>
      <c r="BZ88" s="9" t="str">
        <f>IF(AND(Tableau47[[#This Row],[CLOTURE]]="REPOSITIONNER"),"OK",IF(AND(Tableau47[[#This Row],[CLOTURE]]="GAGNANT"),"KO",IF(Tableau47[[#This Row],[NON]]="NON","NON","")))</f>
        <v>NON</v>
      </c>
      <c r="CA88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18000</v>
      </c>
      <c r="CB88" s="9" t="str">
        <f>IFERROR(_xlfn.XLOOKUP(Tableau47[[#This Row],[COMMENTAIRE]],'[1]Tickets (2)'!$J$6:$J$805,'[1]Tickets (2)'!$F$6:$F$805),"")</f>
        <v/>
      </c>
      <c r="CC88" s="9">
        <f>IF(Tableau47[[#This Row],[INDEX]]&lt;3,"",IF(Tableau47[[#This Row],[COMMAND]]="","",Tableau47[[#This Row],[LOT]]))</f>
        <v>18000</v>
      </c>
      <c r="CD88" s="9">
        <f>IF(Tableau47[[#This Row],[INDEX]]&lt;3,"",IF(Tableau47[[#This Row],[COMMAND]]="","",IFERROR(_xlfn.XLOOKUP(Tableau47[[#This Row],[COMMENTAIRE]],[1]!Tableau4849[IDENTITE],[1]!Tableau4849[0,5]),0)))</f>
        <v>0</v>
      </c>
      <c r="CE8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8" s="9" t="str" cm="1">
        <f t="array" ref="CG88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8" s="9"/>
      <c r="CI88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8" s="9"/>
      <c r="CK88" s="21"/>
      <c r="CL88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8" s="9"/>
      <c r="CN88" s="9" t="str">
        <f>IF(Tableau47[[#This Row],[INDEX]]&lt;3,"",IF(Tableau47[[#This Row],[COMMAND]]="","",IF(AND(Tableau47[[#This Row],[EN ATTENTES]]="NON",Tableau47[[#This Row],[EN COURS]]&lt;&gt;""),"OK","STOP")))</f>
        <v>STOP</v>
      </c>
      <c r="CO88" s="19">
        <f>Tableau47[[#This Row],[Cst TIME]]</f>
        <v>44923.325163541667</v>
      </c>
      <c r="CP88" s="9">
        <f>[1]analos!$Q$237</f>
        <v>926507</v>
      </c>
      <c r="CQ88" s="9" t="str">
        <f>[1]FSI_TB!$F$3</f>
        <v>EURUSD</v>
      </c>
      <c r="CR88" s="9" t="str">
        <f>Tableau47[[#This Row],[GO1]]</f>
        <v>SELL</v>
      </c>
      <c r="CS88" s="9" t="str">
        <f>Tableau47[[#This Row],[PRICE]]</f>
        <v>1.06309</v>
      </c>
      <c r="CT88" s="9">
        <f>Tableau47[[#This Row],[LOT]]</f>
        <v>18000</v>
      </c>
      <c r="CU88" s="9" t="str">
        <f>Tableau47[[#This Row],[COMMENTAIRE]]</f>
        <v>1 RSRS S 1.06309 M1M1</v>
      </c>
      <c r="CV88" s="9"/>
      <c r="CW88" s="9">
        <v>1</v>
      </c>
      <c r="CX88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8" s="9">
        <f t="shared" ca="1" si="0"/>
        <v>44929.316958449075</v>
      </c>
    </row>
    <row r="89" spans="3:103" ht="15.75" x14ac:dyDescent="0.25">
      <c r="C89" s="8"/>
      <c r="D89" s="9"/>
      <c r="L89" s="9">
        <v>57</v>
      </c>
      <c r="M89" s="9" t="s">
        <v>132</v>
      </c>
      <c r="N89" s="9" t="s">
        <v>206</v>
      </c>
      <c r="O89" s="8" t="s">
        <v>207</v>
      </c>
      <c r="P89" s="9" t="s">
        <v>0</v>
      </c>
      <c r="Q89" s="9">
        <v>50000</v>
      </c>
      <c r="R8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89" s="9" t="str">
        <f>IF(AND(ISNUMBER(SEARCH("BUY",Tableau47[[#This Row],[COMMAND]]))),"BUY",IF(AND(ISNUMBER(SEARCH("SELL",Tableau47[[#This Row],[COMMAND]]))),"SELL",""))</f>
        <v>SELL</v>
      </c>
      <c r="T89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89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89" s="9">
        <v>925832</v>
      </c>
      <c r="W89" s="22">
        <v>44923.324544560186</v>
      </c>
      <c r="X89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89" s="9">
        <f>IFERROR(VALUE(SUBSTITUTE(Tableau47[[#This Row],[PRICE]],".",",")),"")</f>
        <v>1.0631900000000001</v>
      </c>
      <c r="Z89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89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89" s="9" t="str">
        <f>IF(IFERROR(_xlfn.XLOOKUP(Tableau47[[#This Row],[COMMENTAIRE]],'[1]Tickets (2)'!$J$6:$J$805,'[1]Tickets (2)'!$J$6:$J$805),"")&lt;&gt;"",1,"")</f>
        <v/>
      </c>
      <c r="AC89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89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89" s="9" t="str">
        <f>IFERROR(_xlfn.XLOOKUP(Tableau47[[#This Row],[INDEX]],Tableau47[COMPTE],Tableau47[COMPTE]),"")</f>
        <v/>
      </c>
      <c r="AF89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89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89" s="17" t="str">
        <f>IF(Tableau47[[#This Row],[COMMAND]]="BUYSTOP",IFERROR(ABS(Tableau47[[#This Row],[GO7]]-'[1]Deal ticket'!$B$15),""),"")</f>
        <v/>
      </c>
      <c r="AI89" s="9">
        <f>IF(Tableau47[[#This Row],[COMMAND]]="SELLSTOP",IFERROR(ABS(Tableau47[[#This Row],[GO7]]-'[1]Deal ticket'!$B$16),""),"")</f>
        <v>2.3899999999998922E-3</v>
      </c>
      <c r="AJ89" s="9" t="str">
        <f>IF(IFERROR(_xlfn.XLOOKUP(Tableau47[[#This Row],[COMMENTAIRE]],'[1]Tickets (2)'!$J$6:$J$805,'[1]Tickets (2)'!$J$6:$J$805),"")&lt;&gt;"",1,"")</f>
        <v/>
      </c>
      <c r="AK89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89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89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89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1.0631900000000001</v>
      </c>
      <c r="AO89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89" s="9" t="s">
        <v>97</v>
      </c>
      <c r="AQ89" s="9" t="str">
        <f>IFERROR(_xlfn.XLOOKUP(Tableau47[[#This Row],[COMMENTAIRE]],'[1]Tickets (2)'!$J$6:$J$805,'[1]Tickets (2)'!$C$6:$C$805),"")</f>
        <v/>
      </c>
      <c r="AR89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89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89" s="9" t="str">
        <f>IF(Tableau47[[#This Row],[GOUBLOP]]=1,Tableau47[[#This Row],[COMMENTAIRE]],"")</f>
        <v/>
      </c>
      <c r="AU89" s="9"/>
      <c r="AV89" s="9" t="str">
        <f>IFERROR(IF(_xlfn.XLOOKUP(Tableau47[[#This Row],[GOUBLOP2]],[1]!Tableau4849[ATTEINT],[1]!Tableau4849[ATTEINT])&lt;&gt;"",1,""),"")</f>
        <v/>
      </c>
      <c r="AW89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89" s="9" t="str">
        <f>IF(Tableau47[[#This Row],[COMMAND]]="","",IF(Tableau47[[#This Row],[INDEX]]&lt;3,"",LEFT(Tableau47[[#This Row],[COMMENTAIRE]],LEN(Tableau47[[#This Row],[COMMENTAIRE]])-2)))</f>
        <v>1 RSRS S 1.0632 M1</v>
      </c>
      <c r="AY89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89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89" s="9" t="str">
        <f>IF(Tableau47[[#This Row],[INDEX]]&lt;3,"",IF(Tableau47[[#This Row],[COMMAND]]="","",IFERROR(Tableau47[[#This Row],[DIS_BUY]]*$AX$30,"")))</f>
        <v/>
      </c>
      <c r="BB89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89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8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89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8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89" s="9" t="str">
        <f>IF(AND(Tableau47[[#This Row],[GO]]="GO",ISNUMBER(SEARCH("BUY",Tableau47[[#This Row],[COMMAND]]))),1,"")</f>
        <v/>
      </c>
      <c r="BH89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89" s="9" t="str">
        <f>IF(OR(Tableau47[[#This Row],[GLOBAL BUY]]=1),Tableau47[[#This Row],[COMMENTAIRE]],"")</f>
        <v/>
      </c>
      <c r="BJ89" s="9" t="str">
        <f>IF(OR(Tableau47[[#This Row],[GLOBAL SELL]]=1),Tableau47[[#This Row],[COMMENTAIRE]],"")</f>
        <v/>
      </c>
      <c r="BK89" s="9">
        <f>IF(Tableau47[[#This Row],[INDEX]]&lt;3,"",IF(Tableau47[[#This Row],[COMMAND]]="","",SUMIFS(Tableau47[COMMENTAIRE],Tableau47[COMMENTAIRE],Tableau47[[#This Row],[COMMENTAIRE]])))</f>
        <v>0</v>
      </c>
      <c r="BL89" s="9" t="str">
        <f>IF(IFERROR(_xlfn.XLOOKUP(Tableau47[[#This Row],[COMMENTAIRE]],'[1]Tickets (2)'!$J$6:$J$805,'[1]Tickets (2)'!$J$6:$J$805),"")&lt;&gt;"",1,"")</f>
        <v/>
      </c>
      <c r="BM89" s="9">
        <f>IF(Tableau47[[#This Row],[INDEX]]&lt;3,"",IF(Tableau47[[#This Row],[COMMAND]]="","",IF('[1]Bar history'!$AA$33=1,1,"")))</f>
        <v>1</v>
      </c>
      <c r="BN89" s="9">
        <f>IFERROR(IFERROR(_xlfn.XLOOKUP(Tableau47[[#This Row],[COMMENTAIRE]],[1]!Tableau4849[IDENTITE],[1]!Tableau4849[0,5]),0),"")</f>
        <v>0</v>
      </c>
      <c r="BO89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89" s="9" t="str">
        <f>IF(IFERROR(_xlfn.XLOOKUP(Tableau47[[#This Row],[COMMENTAIRE]],'[1]Tickets (2)'!$J$6:$J$805,'[1]Tickets (2)'!$U$6:$U$805)," ")="","OK","")</f>
        <v/>
      </c>
      <c r="BQ89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89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89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89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89" s="9" t="str">
        <f>IF(IFERROR(_xlfn.XLOOKUP(Tableau47[[#This Row],[COMMENTAIRE]],'[1]Tickets (2)'!$J$6:$J$805,'[1]Tickets (2)'!$U$6:$U$805)," ")="","OK","")</f>
        <v/>
      </c>
      <c r="BV89" s="9" t="str">
        <f>IF(IFERROR(_xlfn.XLOOKUP(Tableau47[[#This Row],[COMMENTAIRE]],'[1]Tickets (2)'!$J$6:$J$805,'[1]Tickets (2)'!$V$6:$V$805)," ")="","OK","")</f>
        <v/>
      </c>
      <c r="BW89" s="9" t="e">
        <f>IF(Tableau47[[#This Row],[INDEX]]&lt;3,"",IF(Tableau47[[#This Row],[COMMAND]]="","",([1]FSI_TB!$F$12/10)*(Tableau47[[#This Row],[LOT]]/$BW$30)))</f>
        <v>#DIV/0!</v>
      </c>
      <c r="BX89" s="9" t="e">
        <f>IF(Tableau47[[#This Row],[INDEX]]&lt;3,"",IF(Tableau47[[#This Row],[COMMAND]]="","",-([1]FSI_TB!$D$12/10)*(Tableau47[[#This Row],[LOT]]/$BW$30)))</f>
        <v>#DIV/0!</v>
      </c>
      <c r="BY89" s="9" t="s">
        <v>97</v>
      </c>
      <c r="BZ89" s="9" t="str">
        <f>IF(AND(Tableau47[[#This Row],[CLOTURE]]="REPOSITIONNER"),"OK",IF(AND(Tableau47[[#This Row],[CLOTURE]]="GAGNANT"),"KO",IF(Tableau47[[#This Row],[NON]]="NON","NON","")))</f>
        <v>NON</v>
      </c>
      <c r="CA89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50000</v>
      </c>
      <c r="CB89" s="9" t="str">
        <f>IFERROR(_xlfn.XLOOKUP(Tableau47[[#This Row],[COMMENTAIRE]],'[1]Tickets (2)'!$J$6:$J$805,'[1]Tickets (2)'!$F$6:$F$805),"")</f>
        <v/>
      </c>
      <c r="CC89" s="9">
        <f>IF(Tableau47[[#This Row],[INDEX]]&lt;3,"",IF(Tableau47[[#This Row],[COMMAND]]="","",Tableau47[[#This Row],[LOT]]))</f>
        <v>50000</v>
      </c>
      <c r="CD89" s="9">
        <f>IF(Tableau47[[#This Row],[INDEX]]&lt;3,"",IF(Tableau47[[#This Row],[COMMAND]]="","",IFERROR(_xlfn.XLOOKUP(Tableau47[[#This Row],[COMMENTAIRE]],[1]!Tableau4849[IDENTITE],[1]!Tableau4849[0,5]),0)))</f>
        <v>0</v>
      </c>
      <c r="CE8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8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89" s="9" t="str" cm="1">
        <f t="array" ref="CG89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89" s="9"/>
      <c r="CI89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89" s="9"/>
      <c r="CK89" s="21"/>
      <c r="CL89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89" s="9"/>
      <c r="CN89" s="9" t="str">
        <f>IF(Tableau47[[#This Row],[INDEX]]&lt;3,"",IF(Tableau47[[#This Row],[COMMAND]]="","",IF(AND(Tableau47[[#This Row],[EN ATTENTES]]="NON",Tableau47[[#This Row],[EN COURS]]&lt;&gt;""),"OK","STOP")))</f>
        <v>STOP</v>
      </c>
      <c r="CO89" s="19">
        <f>Tableau47[[#This Row],[Cst TIME]]</f>
        <v>44923.324544560186</v>
      </c>
      <c r="CP89" s="9">
        <f>[1]analos!$Q$237</f>
        <v>926507</v>
      </c>
      <c r="CQ89" s="9" t="str">
        <f>[1]FSI_TB!$F$3</f>
        <v>EURUSD</v>
      </c>
      <c r="CR89" s="9" t="str">
        <f>Tableau47[[#This Row],[GO1]]</f>
        <v>SELL</v>
      </c>
      <c r="CS89" s="9" t="str">
        <f>Tableau47[[#This Row],[PRICE]]</f>
        <v>1.06319</v>
      </c>
      <c r="CT89" s="9">
        <f>Tableau47[[#This Row],[LOT]]</f>
        <v>50000</v>
      </c>
      <c r="CU89" s="9" t="str">
        <f>Tableau47[[#This Row],[COMMENTAIRE]]</f>
        <v>1 RSRS S 1.0632 M1M1</v>
      </c>
      <c r="CV89" s="9"/>
      <c r="CW89" s="9">
        <v>1</v>
      </c>
      <c r="CX89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89" s="9">
        <f t="shared" ca="1" si="0"/>
        <v>44929.316958449075</v>
      </c>
    </row>
    <row r="90" spans="3:103" ht="15.75" x14ac:dyDescent="0.25">
      <c r="C90" s="8"/>
      <c r="D90" s="9"/>
      <c r="L90" s="9">
        <v>58</v>
      </c>
      <c r="M90" s="9" t="s">
        <v>132</v>
      </c>
      <c r="N90" s="9" t="s">
        <v>208</v>
      </c>
      <c r="O90" s="8" t="s">
        <v>209</v>
      </c>
      <c r="P90" s="9" t="s">
        <v>0</v>
      </c>
      <c r="Q90" s="9">
        <v>13000</v>
      </c>
      <c r="R9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0" s="9" t="str">
        <f>IF(AND(ISNUMBER(SEARCH("BUY",Tableau47[[#This Row],[COMMAND]]))),"BUY",IF(AND(ISNUMBER(SEARCH("SELL",Tableau47[[#This Row],[COMMAND]]))),"SELL",""))</f>
        <v>SELL</v>
      </c>
      <c r="T90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0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0" s="9">
        <v>925832</v>
      </c>
      <c r="W90" s="22">
        <v>44923.323778935184</v>
      </c>
      <c r="X90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0" s="9">
        <f>IFERROR(VALUE(SUBSTITUTE(Tableau47[[#This Row],[PRICE]],".",",")),"")</f>
        <v>1.0632200000000001</v>
      </c>
      <c r="Z90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0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0" s="9" t="str">
        <f>IF(IFERROR(_xlfn.XLOOKUP(Tableau47[[#This Row],[COMMENTAIRE]],'[1]Tickets (2)'!$J$6:$J$805,'[1]Tickets (2)'!$J$6:$J$805),"")&lt;&gt;"",1,"")</f>
        <v/>
      </c>
      <c r="AC90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0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0" s="9" t="str">
        <f>IFERROR(_xlfn.XLOOKUP(Tableau47[[#This Row],[INDEX]],Tableau47[COMPTE],Tableau47[COMPTE]),"")</f>
        <v/>
      </c>
      <c r="AF90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0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0" s="17" t="str">
        <f>IF(Tableau47[[#This Row],[COMMAND]]="BUYSTOP",IFERROR(ABS(Tableau47[[#This Row],[GO7]]-'[1]Deal ticket'!$B$15),""),"")</f>
        <v/>
      </c>
      <c r="AI90" s="9">
        <f>IF(Tableau47[[#This Row],[COMMAND]]="SELLSTOP",IFERROR(ABS(Tableau47[[#This Row],[GO7]]-'[1]Deal ticket'!$B$16),""),"")</f>
        <v>2.3599999999999177E-3</v>
      </c>
      <c r="AJ90" s="9" t="str">
        <f>IF(IFERROR(_xlfn.XLOOKUP(Tableau47[[#This Row],[COMMENTAIRE]],'[1]Tickets (2)'!$J$6:$J$805,'[1]Tickets (2)'!$J$6:$J$805),"")&lt;&gt;"",1,"")</f>
        <v/>
      </c>
      <c r="AK90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0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0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0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1.0632200000000001</v>
      </c>
      <c r="AO90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0" s="9"/>
      <c r="AQ90" s="9" t="str">
        <f>IFERROR(_xlfn.XLOOKUP(Tableau47[[#This Row],[COMMENTAIRE]],'[1]Tickets (2)'!$J$6:$J$805,'[1]Tickets (2)'!$C$6:$C$805),"")</f>
        <v/>
      </c>
      <c r="AR90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90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0" s="9" t="str">
        <f>IF(Tableau47[[#This Row],[GOUBLOP]]=1,Tableau47[[#This Row],[COMMENTAIRE]],"")</f>
        <v/>
      </c>
      <c r="AU90" s="9"/>
      <c r="AV90" s="9" t="str">
        <f>IFERROR(IF(_xlfn.XLOOKUP(Tableau47[[#This Row],[GOUBLOP2]],[1]!Tableau4849[ATTEINT],[1]!Tableau4849[ATTEINT])&lt;&gt;"",1,""),"")</f>
        <v/>
      </c>
      <c r="AW90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0" s="9" t="str">
        <f>IF(Tableau47[[#This Row],[COMMAND]]="","",IF(Tableau47[[#This Row],[INDEX]]&lt;3,"",LEFT(Tableau47[[#This Row],[COMMENTAIRE]],LEN(Tableau47[[#This Row],[COMMENTAIRE]])-2)))</f>
        <v>1 RSRS S 1.06322 M1</v>
      </c>
      <c r="AY90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0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0" s="9" t="str">
        <f>IF(Tableau47[[#This Row],[INDEX]]&lt;3,"",IF(Tableau47[[#This Row],[COMMAND]]="","",IFERROR(Tableau47[[#This Row],[DIS_BUY]]*$AX$30,"")))</f>
        <v/>
      </c>
      <c r="BB90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0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9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0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0" s="9" t="str">
        <f>IF(AND(Tableau47[[#This Row],[GO]]="GO",ISNUMBER(SEARCH("BUY",Tableau47[[#This Row],[COMMAND]]))),1,"")</f>
        <v/>
      </c>
      <c r="BH90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0" s="9" t="str">
        <f>IF(OR(Tableau47[[#This Row],[GLOBAL BUY]]=1),Tableau47[[#This Row],[COMMENTAIRE]],"")</f>
        <v/>
      </c>
      <c r="BJ90" s="9" t="str">
        <f>IF(OR(Tableau47[[#This Row],[GLOBAL SELL]]=1),Tableau47[[#This Row],[COMMENTAIRE]],"")</f>
        <v/>
      </c>
      <c r="BK90" s="9">
        <f>IF(Tableau47[[#This Row],[INDEX]]&lt;3,"",IF(Tableau47[[#This Row],[COMMAND]]="","",SUMIFS(Tableau47[COMMENTAIRE],Tableau47[COMMENTAIRE],Tableau47[[#This Row],[COMMENTAIRE]])))</f>
        <v>0</v>
      </c>
      <c r="BL90" s="9" t="str">
        <f>IF(IFERROR(_xlfn.XLOOKUP(Tableau47[[#This Row],[COMMENTAIRE]],'[1]Tickets (2)'!$J$6:$J$805,'[1]Tickets (2)'!$J$6:$J$805),"")&lt;&gt;"",1,"")</f>
        <v/>
      </c>
      <c r="BM90" s="9">
        <f>IF(Tableau47[[#This Row],[INDEX]]&lt;3,"",IF(Tableau47[[#This Row],[COMMAND]]="","",IF('[1]Bar history'!$AA$33=1,1,"")))</f>
        <v>1</v>
      </c>
      <c r="BN90" s="9">
        <f>IFERROR(IFERROR(_xlfn.XLOOKUP(Tableau47[[#This Row],[COMMENTAIRE]],[1]!Tableau4849[IDENTITE],[1]!Tableau4849[0,5]),0),"")</f>
        <v>0</v>
      </c>
      <c r="BO90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0" s="9" t="s">
        <v>60</v>
      </c>
      <c r="BQ90" s="9" t="s">
        <v>75</v>
      </c>
      <c r="BR90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0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0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0" s="9" t="s">
        <v>60</v>
      </c>
      <c r="BV90" s="9" t="s">
        <v>75</v>
      </c>
      <c r="BW90" s="9" t="e">
        <f>IF(Tableau47[[#This Row],[INDEX]]&lt;3,"",IF(Tableau47[[#This Row],[COMMAND]]="","",([1]FSI_TB!$F$12/10)*(Tableau47[[#This Row],[LOT]]/$BW$30)))</f>
        <v>#DIV/0!</v>
      </c>
      <c r="BX90" s="9" t="e">
        <f>IF(Tableau47[[#This Row],[INDEX]]&lt;3,"",IF(Tableau47[[#This Row],[COMMAND]]="","",-([1]FSI_TB!$D$12/10)*(Tableau47[[#This Row],[LOT]]/$BW$30)))</f>
        <v>#DIV/0!</v>
      </c>
      <c r="BY90" s="9" t="s">
        <v>97</v>
      </c>
      <c r="BZ90" s="9" t="str">
        <f>IF(AND(Tableau47[[#This Row],[CLOTURE]]="REPOSITIONNER"),"OK",IF(AND(Tableau47[[#This Row],[CLOTURE]]="GAGNANT"),"KO",IF(Tableau47[[#This Row],[NON]]="NON","NON","")))</f>
        <v>NON</v>
      </c>
      <c r="CA90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13000</v>
      </c>
      <c r="CB90" s="9" t="str">
        <f>IFERROR(_xlfn.XLOOKUP(Tableau47[[#This Row],[COMMENTAIRE]],'[1]Tickets (2)'!$J$6:$J$805,'[1]Tickets (2)'!$F$6:$F$805),"")</f>
        <v/>
      </c>
      <c r="CC90" s="9">
        <f>IF(Tableau47[[#This Row],[INDEX]]&lt;3,"",IF(Tableau47[[#This Row],[COMMAND]]="","",Tableau47[[#This Row],[LOT]]))</f>
        <v>13000</v>
      </c>
      <c r="CD90" s="9">
        <f>IF(Tableau47[[#This Row],[INDEX]]&lt;3,"",IF(Tableau47[[#This Row],[COMMAND]]="","",IFERROR(_xlfn.XLOOKUP(Tableau47[[#This Row],[COMMENTAIRE]],[1]!Tableau4849[IDENTITE],[1]!Tableau4849[0,5]),0)))</f>
        <v>0</v>
      </c>
      <c r="CE9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0" s="9" t="str" cm="1">
        <f t="array" ref="CG90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0" s="9"/>
      <c r="CI90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0" s="9"/>
      <c r="CK90" s="21"/>
      <c r="CL90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0" s="9"/>
      <c r="CN90" s="9" t="str">
        <f>IF(Tableau47[[#This Row],[INDEX]]&lt;3,"",IF(Tableau47[[#This Row],[COMMAND]]="","",IF(AND(Tableau47[[#This Row],[EN ATTENTES]]="NON",Tableau47[[#This Row],[EN COURS]]&lt;&gt;""),"OK","STOP")))</f>
        <v>STOP</v>
      </c>
      <c r="CO90" s="19">
        <f>Tableau47[[#This Row],[Cst TIME]]</f>
        <v>44923.323778935184</v>
      </c>
      <c r="CP90" s="9">
        <f>[1]analos!$Q$237</f>
        <v>926507</v>
      </c>
      <c r="CQ90" s="9" t="str">
        <f>[1]FSI_TB!$F$3</f>
        <v>EURUSD</v>
      </c>
      <c r="CR90" s="9" t="str">
        <f>Tableau47[[#This Row],[GO1]]</f>
        <v>SELL</v>
      </c>
      <c r="CS90" s="9" t="str">
        <f>Tableau47[[#This Row],[PRICE]]</f>
        <v>1.06322</v>
      </c>
      <c r="CT90" s="9">
        <f>Tableau47[[#This Row],[LOT]]</f>
        <v>13000</v>
      </c>
      <c r="CU90" s="9" t="str">
        <f>Tableau47[[#This Row],[COMMENTAIRE]]</f>
        <v>1 RSRS S 1.06322 M1M1</v>
      </c>
      <c r="CV90" s="9"/>
      <c r="CW90" s="9">
        <v>1</v>
      </c>
      <c r="CX90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0" s="9">
        <f t="shared" ca="1" si="0"/>
        <v>44929.316958449075</v>
      </c>
    </row>
    <row r="91" spans="3:103" ht="15.75" x14ac:dyDescent="0.25">
      <c r="C91" s="8"/>
      <c r="D91" s="9"/>
      <c r="L91" s="9">
        <v>59</v>
      </c>
      <c r="M91" s="9" t="s">
        <v>132</v>
      </c>
      <c r="N91" s="9" t="s">
        <v>12</v>
      </c>
      <c r="O91" s="8" t="s">
        <v>210</v>
      </c>
      <c r="P91" s="9" t="s">
        <v>0</v>
      </c>
      <c r="Q91" s="9">
        <v>12000</v>
      </c>
      <c r="R9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1" s="9" t="str">
        <f>IF(AND(ISNUMBER(SEARCH("BUY",Tableau47[[#This Row],[COMMAND]]))),"BUY",IF(AND(ISNUMBER(SEARCH("SELL",Tableau47[[#This Row],[COMMAND]]))),"SELL",""))</f>
        <v>SELL</v>
      </c>
      <c r="T91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1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1" s="9">
        <v>925832</v>
      </c>
      <c r="W91" s="22">
        <v>44923.322946296299</v>
      </c>
      <c r="X91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1" s="9">
        <f>IFERROR(VALUE(SUBSTITUTE(Tableau47[[#This Row],[PRICE]],".",",")),"")</f>
        <v>1.0633300000000001</v>
      </c>
      <c r="Z91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1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1" s="9" t="str">
        <f>IF(IFERROR(_xlfn.XLOOKUP(Tableau47[[#This Row],[COMMENTAIRE]],'[1]Tickets (2)'!$J$6:$J$805,'[1]Tickets (2)'!$J$6:$J$805),"")&lt;&gt;"",1,"")</f>
        <v/>
      </c>
      <c r="AC91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1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1" s="9" t="str">
        <f>IFERROR(_xlfn.XLOOKUP(Tableau47[[#This Row],[INDEX]],Tableau47[COMPTE],Tableau47[COMPTE]),"")</f>
        <v/>
      </c>
      <c r="AF91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1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1" s="17" t="str">
        <f>IF(Tableau47[[#This Row],[COMMAND]]="BUYSTOP",IFERROR(ABS(Tableau47[[#This Row],[GO7]]-'[1]Deal ticket'!$B$15),""),"")</f>
        <v/>
      </c>
      <c r="AI91" s="9">
        <f>IF(Tableau47[[#This Row],[COMMAND]]="SELLSTOP",IFERROR(ABS(Tableau47[[#This Row],[GO7]]-'[1]Deal ticket'!$B$16),""),"")</f>
        <v>2.2499999999998632E-3</v>
      </c>
      <c r="AJ91" s="9" t="str">
        <f>IF(IFERROR(_xlfn.XLOOKUP(Tableau47[[#This Row],[COMMENTAIRE]],'[1]Tickets (2)'!$J$6:$J$805,'[1]Tickets (2)'!$J$6:$J$805),"")&lt;&gt;"",1,"")</f>
        <v/>
      </c>
      <c r="AK91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1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1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1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1.0633300000000001</v>
      </c>
      <c r="AO91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1" s="9"/>
      <c r="AQ91" s="9" t="str">
        <f>IFERROR(_xlfn.XLOOKUP(Tableau47[[#This Row],[COMMENTAIRE]],'[1]Tickets (2)'!$J$6:$J$805,'[1]Tickets (2)'!$C$6:$C$805),"")</f>
        <v/>
      </c>
      <c r="AR91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91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1" s="9" t="str">
        <f>IF(Tableau47[[#This Row],[GOUBLOP]]=1,Tableau47[[#This Row],[COMMENTAIRE]],"")</f>
        <v/>
      </c>
      <c r="AU91" s="9"/>
      <c r="AV91" s="9" t="str">
        <f>IFERROR(IF(_xlfn.XLOOKUP(Tableau47[[#This Row],[GOUBLOP2]],[1]!Tableau4849[ATTEINT],[1]!Tableau4849[ATTEINT])&lt;&gt;"",1,""),"")</f>
        <v/>
      </c>
      <c r="AW91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1" s="9" t="str">
        <f>IF(Tableau47[[#This Row],[COMMAND]]="","",IF(Tableau47[[#This Row],[INDEX]]&lt;3,"",LEFT(Tableau47[[#This Row],[COMMENTAIRE]],LEN(Tableau47[[#This Row],[COMMENTAIRE]])-2)))</f>
        <v>1 RSRS S 1.06333 M1</v>
      </c>
      <c r="AY91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1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1" s="9" t="str">
        <f>IF(Tableau47[[#This Row],[INDEX]]&lt;3,"",IF(Tableau47[[#This Row],[COMMAND]]="","",IFERROR(Tableau47[[#This Row],[DIS_BUY]]*$AX$30,"")))</f>
        <v/>
      </c>
      <c r="BB91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1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9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1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1" s="9" t="str">
        <f>IF(AND(Tableau47[[#This Row],[GO]]="GO",ISNUMBER(SEARCH("BUY",Tableau47[[#This Row],[COMMAND]]))),1,"")</f>
        <v/>
      </c>
      <c r="BH91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1" s="9" t="str">
        <f>IF(OR(Tableau47[[#This Row],[GLOBAL BUY]]=1),Tableau47[[#This Row],[COMMENTAIRE]],"")</f>
        <v/>
      </c>
      <c r="BJ91" s="9" t="str">
        <f>IF(OR(Tableau47[[#This Row],[GLOBAL SELL]]=1),Tableau47[[#This Row],[COMMENTAIRE]],"")</f>
        <v/>
      </c>
      <c r="BK91" s="9">
        <f>IF(Tableau47[[#This Row],[INDEX]]&lt;3,"",IF(Tableau47[[#This Row],[COMMAND]]="","",SUMIFS(Tableau47[COMMENTAIRE],Tableau47[COMMENTAIRE],Tableau47[[#This Row],[COMMENTAIRE]])))</f>
        <v>0</v>
      </c>
      <c r="BL91" s="9" t="str">
        <f>IF(IFERROR(_xlfn.XLOOKUP(Tableau47[[#This Row],[COMMENTAIRE]],'[1]Tickets (2)'!$J$6:$J$805,'[1]Tickets (2)'!$J$6:$J$805),"")&lt;&gt;"",1,"")</f>
        <v/>
      </c>
      <c r="BM91" s="9">
        <f>IF(Tableau47[[#This Row],[INDEX]]&lt;3,"",IF(Tableau47[[#This Row],[COMMAND]]="","",IF('[1]Bar history'!$AA$33=1,1,"")))</f>
        <v>1</v>
      </c>
      <c r="BN91" s="9">
        <f>IFERROR(IFERROR(_xlfn.XLOOKUP(Tableau47[[#This Row],[COMMENTAIRE]],[1]!Tableau4849[IDENTITE],[1]!Tableau4849[0,5]),0),"")</f>
        <v>0</v>
      </c>
      <c r="BO91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1" s="9" t="s">
        <v>60</v>
      </c>
      <c r="BQ91" s="9" t="s">
        <v>75</v>
      </c>
      <c r="BR91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1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1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1" s="9" t="s">
        <v>60</v>
      </c>
      <c r="BV91" s="9" t="s">
        <v>75</v>
      </c>
      <c r="BW91" s="9" t="e">
        <f>IF(Tableau47[[#This Row],[INDEX]]&lt;3,"",IF(Tableau47[[#This Row],[COMMAND]]="","",([1]FSI_TB!$F$12/10)*(Tableau47[[#This Row],[LOT]]/$BW$30)))</f>
        <v>#DIV/0!</v>
      </c>
      <c r="BX91" s="9" t="e">
        <f>IF(Tableau47[[#This Row],[INDEX]]&lt;3,"",IF(Tableau47[[#This Row],[COMMAND]]="","",-([1]FSI_TB!$D$12/10)*(Tableau47[[#This Row],[LOT]]/$BW$30)))</f>
        <v>#DIV/0!</v>
      </c>
      <c r="BY91" s="9" t="s">
        <v>97</v>
      </c>
      <c r="BZ91" s="9" t="str">
        <f>IF(AND(Tableau47[[#This Row],[CLOTURE]]="REPOSITIONNER"),"OK",IF(AND(Tableau47[[#This Row],[CLOTURE]]="GAGNANT"),"KO",IF(Tableau47[[#This Row],[NON]]="NON","NON","")))</f>
        <v>NON</v>
      </c>
      <c r="CA91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12000</v>
      </c>
      <c r="CB91" s="9" t="str">
        <f>IFERROR(_xlfn.XLOOKUP(Tableau47[[#This Row],[COMMENTAIRE]],'[1]Tickets (2)'!$J$6:$J$805,'[1]Tickets (2)'!$F$6:$F$805),"")</f>
        <v/>
      </c>
      <c r="CC91" s="9">
        <f>IF(Tableau47[[#This Row],[INDEX]]&lt;3,"",IF(Tableau47[[#This Row],[COMMAND]]="","",Tableau47[[#This Row],[LOT]]))</f>
        <v>12000</v>
      </c>
      <c r="CD91" s="9">
        <f>IF(Tableau47[[#This Row],[INDEX]]&lt;3,"",IF(Tableau47[[#This Row],[COMMAND]]="","",IFERROR(_xlfn.XLOOKUP(Tableau47[[#This Row],[COMMENTAIRE]],[1]!Tableau4849[IDENTITE],[1]!Tableau4849[0,5]),0)))</f>
        <v>0</v>
      </c>
      <c r="CE9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1" s="9" t="str" cm="1">
        <f t="array" ref="CG9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1" s="9"/>
      <c r="CI91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1" s="9"/>
      <c r="CK91" s="21"/>
      <c r="CL91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1" s="9"/>
      <c r="CN91" s="9" t="str">
        <f>IF(Tableau47[[#This Row],[INDEX]]&lt;3,"",IF(Tableau47[[#This Row],[COMMAND]]="","",IF(AND(Tableau47[[#This Row],[EN ATTENTES]]="NON",Tableau47[[#This Row],[EN COURS]]&lt;&gt;""),"OK","STOP")))</f>
        <v>STOP</v>
      </c>
      <c r="CO91" s="19">
        <f>Tableau47[[#This Row],[Cst TIME]]</f>
        <v>44923.322946296299</v>
      </c>
      <c r="CP91" s="9">
        <f>[1]analos!$Q$237</f>
        <v>926507</v>
      </c>
      <c r="CQ91" s="9" t="str">
        <f>[1]FSI_TB!$F$3</f>
        <v>EURUSD</v>
      </c>
      <c r="CR91" s="9" t="str">
        <f>Tableau47[[#This Row],[GO1]]</f>
        <v>SELL</v>
      </c>
      <c r="CS91" s="9" t="str">
        <f>Tableau47[[#This Row],[PRICE]]</f>
        <v>1.06333</v>
      </c>
      <c r="CT91" s="9">
        <f>Tableau47[[#This Row],[LOT]]</f>
        <v>12000</v>
      </c>
      <c r="CU91" s="9" t="str">
        <f>Tableau47[[#This Row],[COMMENTAIRE]]</f>
        <v>1 RSRS S 1.06333 M1M1</v>
      </c>
      <c r="CV91" s="9"/>
      <c r="CW91" s="9">
        <v>1</v>
      </c>
      <c r="CX91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1" s="9">
        <f t="shared" ca="1" si="0"/>
        <v>44929.316958449075</v>
      </c>
    </row>
    <row r="92" spans="3:103" ht="15.75" x14ac:dyDescent="0.25">
      <c r="C92" s="8"/>
      <c r="D92" s="9"/>
      <c r="L92" s="9">
        <v>60</v>
      </c>
      <c r="M92" s="9" t="s">
        <v>132</v>
      </c>
      <c r="N92" s="9" t="s">
        <v>9</v>
      </c>
      <c r="O92" s="8" t="s">
        <v>211</v>
      </c>
      <c r="P92" s="9" t="s">
        <v>0</v>
      </c>
      <c r="Q92" s="9">
        <v>48000</v>
      </c>
      <c r="R9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2" s="9" t="str">
        <f>IF(AND(ISNUMBER(SEARCH("BUY",Tableau47[[#This Row],[COMMAND]]))),"BUY",IF(AND(ISNUMBER(SEARCH("SELL",Tableau47[[#This Row],[COMMAND]]))),"SELL",""))</f>
        <v>SELL</v>
      </c>
      <c r="T92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2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2" s="9">
        <v>925832</v>
      </c>
      <c r="W92" s="22">
        <v>44923.321135879632</v>
      </c>
      <c r="X92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2" s="9">
        <f>IFERROR(VALUE(SUBSTITUTE(Tableau47[[#This Row],[PRICE]],".",",")),"")</f>
        <v>1.0630299999999999</v>
      </c>
      <c r="Z92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2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2" s="9" t="str">
        <f>IF(IFERROR(_xlfn.XLOOKUP(Tableau47[[#This Row],[COMMENTAIRE]],'[1]Tickets (2)'!$J$6:$J$805,'[1]Tickets (2)'!$J$6:$J$805),"")&lt;&gt;"",1,"")</f>
        <v/>
      </c>
      <c r="AC92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2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2" s="9" t="str">
        <f>IFERROR(_xlfn.XLOOKUP(Tableau47[[#This Row],[INDEX]],Tableau47[COMPTE],Tableau47[COMPTE]),"")</f>
        <v/>
      </c>
      <c r="AF92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2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2" s="17" t="str">
        <f>IF(Tableau47[[#This Row],[COMMAND]]="BUYSTOP",IFERROR(ABS(Tableau47[[#This Row],[GO7]]-'[1]Deal ticket'!$B$15),""),"")</f>
        <v/>
      </c>
      <c r="AI92" s="9">
        <f>IF(Tableau47[[#This Row],[COMMAND]]="SELLSTOP",IFERROR(ABS(Tableau47[[#This Row],[GO7]]-'[1]Deal ticket'!$B$16),""),"")</f>
        <v>2.5500000000000522E-3</v>
      </c>
      <c r="AJ92" s="9" t="str">
        <f>IF(IFERROR(_xlfn.XLOOKUP(Tableau47[[#This Row],[COMMENTAIRE]],'[1]Tickets (2)'!$J$6:$J$805,'[1]Tickets (2)'!$J$6:$J$805),"")&lt;&gt;"",1,"")</f>
        <v/>
      </c>
      <c r="AK92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2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2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2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1.0630299999999999</v>
      </c>
      <c r="AO92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2" s="9" t="s">
        <v>97</v>
      </c>
      <c r="AQ92" s="9" t="str">
        <f>IFERROR(_xlfn.XLOOKUP(Tableau47[[#This Row],[COMMENTAIRE]],'[1]Tickets (2)'!$J$6:$J$805,'[1]Tickets (2)'!$C$6:$C$805),"")</f>
        <v/>
      </c>
      <c r="AR92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92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2" s="9" t="str">
        <f>IF(Tableau47[[#This Row],[GOUBLOP]]=1,Tableau47[[#This Row],[COMMENTAIRE]],"")</f>
        <v/>
      </c>
      <c r="AU92" s="9"/>
      <c r="AV92" s="9" t="str">
        <f>IFERROR(IF(_xlfn.XLOOKUP(Tableau47[[#This Row],[GOUBLOP2]],[1]!Tableau4849[ATTEINT],[1]!Tableau4849[ATTEINT])&lt;&gt;"",1,""),"")</f>
        <v/>
      </c>
      <c r="AW92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2" s="9" t="str">
        <f>IF(Tableau47[[#This Row],[COMMAND]]="","",IF(Tableau47[[#This Row],[INDEX]]&lt;3,"",LEFT(Tableau47[[#This Row],[COMMENTAIRE]],LEN(Tableau47[[#This Row],[COMMENTAIRE]])-2)))</f>
        <v>1 RSRS S 1.06393 M1</v>
      </c>
      <c r="AY92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2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2" s="9" t="str">
        <f>IF(Tableau47[[#This Row],[INDEX]]&lt;3,"",IF(Tableau47[[#This Row],[COMMAND]]="","",IFERROR(Tableau47[[#This Row],[DIS_BUY]]*$AX$30,"")))</f>
        <v/>
      </c>
      <c r="BB92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2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9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2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2" s="9" t="str">
        <f>IF(AND(Tableau47[[#This Row],[GO]]="GO",ISNUMBER(SEARCH("BUY",Tableau47[[#This Row],[COMMAND]]))),1,"")</f>
        <v/>
      </c>
      <c r="BH92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2" s="9" t="str">
        <f>IF(OR(Tableau47[[#This Row],[GLOBAL BUY]]=1),Tableau47[[#This Row],[COMMENTAIRE]],"")</f>
        <v/>
      </c>
      <c r="BJ92" s="9" t="str">
        <f>IF(OR(Tableau47[[#This Row],[GLOBAL SELL]]=1),Tableau47[[#This Row],[COMMENTAIRE]],"")</f>
        <v/>
      </c>
      <c r="BK92" s="9">
        <f>IF(Tableau47[[#This Row],[INDEX]]&lt;3,"",IF(Tableau47[[#This Row],[COMMAND]]="","",SUMIFS(Tableau47[COMMENTAIRE],Tableau47[COMMENTAIRE],Tableau47[[#This Row],[COMMENTAIRE]])))</f>
        <v>0</v>
      </c>
      <c r="BL92" s="9" t="str">
        <f>IF(IFERROR(_xlfn.XLOOKUP(Tableau47[[#This Row],[COMMENTAIRE]],'[1]Tickets (2)'!$J$6:$J$805,'[1]Tickets (2)'!$J$6:$J$805),"")&lt;&gt;"",1,"")</f>
        <v/>
      </c>
      <c r="BM92" s="9">
        <f>IF(Tableau47[[#This Row],[INDEX]]&lt;3,"",IF(Tableau47[[#This Row],[COMMAND]]="","",IF('[1]Bar history'!$AA$33=1,1,"")))</f>
        <v>1</v>
      </c>
      <c r="BN92" s="9">
        <f>IFERROR(IFERROR(_xlfn.XLOOKUP(Tableau47[[#This Row],[COMMENTAIRE]],[1]!Tableau4849[IDENTITE],[1]!Tableau4849[0,5]),0),"")</f>
        <v>0</v>
      </c>
      <c r="BO92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2" s="9" t="str">
        <f>IF(IFERROR(_xlfn.XLOOKUP(Tableau47[[#This Row],[COMMENTAIRE]],'[1]Tickets (2)'!$J$6:$J$805,'[1]Tickets (2)'!$U$6:$U$805)," ")="","OK","")</f>
        <v/>
      </c>
      <c r="BQ92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92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2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2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2" s="9" t="str">
        <f>IF(IFERROR(_xlfn.XLOOKUP(Tableau47[[#This Row],[COMMENTAIRE]],'[1]Tickets (2)'!$J$6:$J$805,'[1]Tickets (2)'!$U$6:$U$805)," ")="","OK","")</f>
        <v/>
      </c>
      <c r="BV92" s="9" t="str">
        <f>IF(IFERROR(_xlfn.XLOOKUP(Tableau47[[#This Row],[COMMENTAIRE]],'[1]Tickets (2)'!$J$6:$J$805,'[1]Tickets (2)'!$V$6:$V$805)," ")="","OK","")</f>
        <v/>
      </c>
      <c r="BW92" s="9" t="e">
        <f>IF(Tableau47[[#This Row],[INDEX]]&lt;3,"",IF(Tableau47[[#This Row],[COMMAND]]="","",([1]FSI_TB!$F$12/10)*(Tableau47[[#This Row],[LOT]]/$BW$30)))</f>
        <v>#DIV/0!</v>
      </c>
      <c r="BX92" s="9" t="e">
        <f>IF(Tableau47[[#This Row],[INDEX]]&lt;3,"",IF(Tableau47[[#This Row],[COMMAND]]="","",-([1]FSI_TB!$D$12/10)*(Tableau47[[#This Row],[LOT]]/$BW$30)))</f>
        <v>#DIV/0!</v>
      </c>
      <c r="BY92" s="9" t="s">
        <v>97</v>
      </c>
      <c r="BZ92" s="9" t="str">
        <f>IF(AND(Tableau47[[#This Row],[CLOTURE]]="REPOSITIONNER"),"OK",IF(AND(Tableau47[[#This Row],[CLOTURE]]="GAGNANT"),"KO",IF(Tableau47[[#This Row],[NON]]="NON","NON","")))</f>
        <v>NON</v>
      </c>
      <c r="CA92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48000</v>
      </c>
      <c r="CB92" s="9" t="str">
        <f>IFERROR(_xlfn.XLOOKUP(Tableau47[[#This Row],[COMMENTAIRE]],'[1]Tickets (2)'!$J$6:$J$805,'[1]Tickets (2)'!$F$6:$F$805),"")</f>
        <v/>
      </c>
      <c r="CC92" s="9">
        <f>IF(Tableau47[[#This Row],[INDEX]]&lt;3,"",IF(Tableau47[[#This Row],[COMMAND]]="","",Tableau47[[#This Row],[LOT]]))</f>
        <v>48000</v>
      </c>
      <c r="CD92" s="9">
        <f>IF(Tableau47[[#This Row],[INDEX]]&lt;3,"",IF(Tableau47[[#This Row],[COMMAND]]="","",IFERROR(_xlfn.XLOOKUP(Tableau47[[#This Row],[COMMENTAIRE]],[1]!Tableau4849[IDENTITE],[1]!Tableau4849[0,5]),0)))</f>
        <v>0</v>
      </c>
      <c r="CE9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2" s="9" t="str" cm="1">
        <f t="array" ref="CG92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2" s="9"/>
      <c r="CI92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2" s="9"/>
      <c r="CK92" s="21"/>
      <c r="CL92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2" s="9"/>
      <c r="CN92" s="9" t="str">
        <f>IF(Tableau47[[#This Row],[INDEX]]&lt;3,"",IF(Tableau47[[#This Row],[COMMAND]]="","",IF(AND(Tableau47[[#This Row],[EN ATTENTES]]="NON",Tableau47[[#This Row],[EN COURS]]&lt;&gt;""),"OK","STOP")))</f>
        <v>STOP</v>
      </c>
      <c r="CO92" s="19">
        <f>Tableau47[[#This Row],[Cst TIME]]</f>
        <v>44923.321135879632</v>
      </c>
      <c r="CP92" s="9">
        <f>[1]analos!$Q$237</f>
        <v>926507</v>
      </c>
      <c r="CQ92" s="9" t="str">
        <f>[1]FSI_TB!$F$3</f>
        <v>EURUSD</v>
      </c>
      <c r="CR92" s="9" t="str">
        <f>Tableau47[[#This Row],[GO1]]</f>
        <v>SELL</v>
      </c>
      <c r="CS92" s="9" t="str">
        <f>Tableau47[[#This Row],[PRICE]]</f>
        <v>1.06303</v>
      </c>
      <c r="CT92" s="9">
        <f>Tableau47[[#This Row],[LOT]]</f>
        <v>48000</v>
      </c>
      <c r="CU92" s="9" t="str">
        <f>Tableau47[[#This Row],[COMMENTAIRE]]</f>
        <v>1 RSRS S 1.06393 M1M1</v>
      </c>
      <c r="CV92" s="9"/>
      <c r="CW92" s="9">
        <v>1</v>
      </c>
      <c r="CX92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2" s="9">
        <f t="shared" ca="1" si="0"/>
        <v>44929.316958449075</v>
      </c>
    </row>
    <row r="93" spans="3:103" ht="15.75" x14ac:dyDescent="0.25">
      <c r="C93" s="8"/>
      <c r="D93" s="9"/>
      <c r="L93" s="9">
        <v>61</v>
      </c>
      <c r="M93" s="9" t="s">
        <v>132</v>
      </c>
      <c r="N93" s="9" t="s">
        <v>212</v>
      </c>
      <c r="O93" s="8" t="s">
        <v>213</v>
      </c>
      <c r="P93" s="9" t="s">
        <v>0</v>
      </c>
      <c r="Q93" s="9">
        <v>23000</v>
      </c>
      <c r="R9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3" s="9" t="str">
        <f>IF(AND(ISNUMBER(SEARCH("BUY",Tableau47[[#This Row],[COMMAND]]))),"BUY",IF(AND(ISNUMBER(SEARCH("SELL",Tableau47[[#This Row],[COMMAND]]))),"SELL",""))</f>
        <v>SELL</v>
      </c>
      <c r="T93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3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3" s="9">
        <v>925832</v>
      </c>
      <c r="W93" s="22">
        <v>44923.320248611111</v>
      </c>
      <c r="X93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3" s="9">
        <f>IFERROR(VALUE(SUBSTITUTE(Tableau47[[#This Row],[PRICE]],".",",")),"")</f>
        <v>1.0625599999999999</v>
      </c>
      <c r="Z93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3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3" s="9" t="str">
        <f>IF(IFERROR(_xlfn.XLOOKUP(Tableau47[[#This Row],[COMMENTAIRE]],'[1]Tickets (2)'!$J$6:$J$805,'[1]Tickets (2)'!$J$6:$J$805),"")&lt;&gt;"",1,"")</f>
        <v/>
      </c>
      <c r="AC93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3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3" s="9" t="str">
        <f>IFERROR(_xlfn.XLOOKUP(Tableau47[[#This Row],[INDEX]],Tableau47[COMPTE],Tableau47[COMPTE]),"")</f>
        <v/>
      </c>
      <c r="AF93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3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3" s="17" t="str">
        <f>IF(Tableau47[[#This Row],[COMMAND]]="BUYSTOP",IFERROR(ABS(Tableau47[[#This Row],[GO7]]-'[1]Deal ticket'!$B$15),""),"")</f>
        <v/>
      </c>
      <c r="AI93" s="9">
        <f>IF(Tableau47[[#This Row],[COMMAND]]="SELLSTOP",IFERROR(ABS(Tableau47[[#This Row],[GO7]]-'[1]Deal ticket'!$B$16),""),"")</f>
        <v>3.0200000000000227E-3</v>
      </c>
      <c r="AJ93" s="9" t="str">
        <f>IF(IFERROR(_xlfn.XLOOKUP(Tableau47[[#This Row],[COMMENTAIRE]],'[1]Tickets (2)'!$J$6:$J$805,'[1]Tickets (2)'!$J$6:$J$805),"")&lt;&gt;"",1,"")</f>
        <v/>
      </c>
      <c r="AK93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3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3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3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1.0625599999999999</v>
      </c>
      <c r="AO93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3" s="9" t="s">
        <v>97</v>
      </c>
      <c r="AQ93" s="9" t="str">
        <f>IFERROR(_xlfn.XLOOKUP(Tableau47[[#This Row],[COMMENTAIRE]],'[1]Tickets (2)'!$J$6:$J$805,'[1]Tickets (2)'!$C$6:$C$805),"")</f>
        <v/>
      </c>
      <c r="AR93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93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3" s="9" t="str">
        <f>IF(Tableau47[[#This Row],[GOUBLOP]]=1,Tableau47[[#This Row],[COMMENTAIRE]],"")</f>
        <v/>
      </c>
      <c r="AU93" s="9"/>
      <c r="AV93" s="9" t="str">
        <f>IFERROR(IF(_xlfn.XLOOKUP(Tableau47[[#This Row],[GOUBLOP2]],[1]!Tableau4849[ATTEINT],[1]!Tableau4849[ATTEINT])&lt;&gt;"",1,""),"")</f>
        <v/>
      </c>
      <c r="AW93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3" s="9" t="str">
        <f>IF(Tableau47[[#This Row],[COMMAND]]="","",IF(Tableau47[[#This Row],[INDEX]]&lt;3,"",LEFT(Tableau47[[#This Row],[COMMENTAIRE]],LEN(Tableau47[[#This Row],[COMMENTAIRE]])-2)))</f>
        <v>1 RSRS S 1.06257 M1</v>
      </c>
      <c r="AY93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3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3" s="9" t="str">
        <f>IF(Tableau47[[#This Row],[INDEX]]&lt;3,"",IF(Tableau47[[#This Row],[COMMAND]]="","",IFERROR(Tableau47[[#This Row],[DIS_BUY]]*$AX$30,"")))</f>
        <v/>
      </c>
      <c r="BB93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3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9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3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3" s="9" t="str">
        <f>IF(AND(Tableau47[[#This Row],[GO]]="GO",ISNUMBER(SEARCH("BUY",Tableau47[[#This Row],[COMMAND]]))),1,"")</f>
        <v/>
      </c>
      <c r="BH93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3" s="9" t="str">
        <f>IF(OR(Tableau47[[#This Row],[GLOBAL BUY]]=1),Tableau47[[#This Row],[COMMENTAIRE]],"")</f>
        <v/>
      </c>
      <c r="BJ93" s="9" t="str">
        <f>IF(OR(Tableau47[[#This Row],[GLOBAL SELL]]=1),Tableau47[[#This Row],[COMMENTAIRE]],"")</f>
        <v/>
      </c>
      <c r="BK93" s="9">
        <f>IF(Tableau47[[#This Row],[INDEX]]&lt;3,"",IF(Tableau47[[#This Row],[COMMAND]]="","",SUMIFS(Tableau47[COMMENTAIRE],Tableau47[COMMENTAIRE],Tableau47[[#This Row],[COMMENTAIRE]])))</f>
        <v>0</v>
      </c>
      <c r="BL93" s="9" t="str">
        <f>IF(IFERROR(_xlfn.XLOOKUP(Tableau47[[#This Row],[COMMENTAIRE]],'[1]Tickets (2)'!$J$6:$J$805,'[1]Tickets (2)'!$J$6:$J$805),"")&lt;&gt;"",1,"")</f>
        <v/>
      </c>
      <c r="BM93" s="9">
        <f>IF(Tableau47[[#This Row],[INDEX]]&lt;3,"",IF(Tableau47[[#This Row],[COMMAND]]="","",IF('[1]Bar history'!$AA$33=1,1,"")))</f>
        <v>1</v>
      </c>
      <c r="BN93" s="9">
        <f>IFERROR(IFERROR(_xlfn.XLOOKUP(Tableau47[[#This Row],[COMMENTAIRE]],[1]!Tableau4849[IDENTITE],[1]!Tableau4849[0,5]),0),"")</f>
        <v>0</v>
      </c>
      <c r="BO93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3" s="9" t="str">
        <f>IF(IFERROR(_xlfn.XLOOKUP(Tableau47[[#This Row],[COMMENTAIRE]],'[1]Tickets (2)'!$J$6:$J$805,'[1]Tickets (2)'!$U$6:$U$805)," ")="","OK","")</f>
        <v/>
      </c>
      <c r="BQ93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93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3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3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3" s="9" t="str">
        <f>IF(IFERROR(_xlfn.XLOOKUP(Tableau47[[#This Row],[COMMENTAIRE]],'[1]Tickets (2)'!$J$6:$J$805,'[1]Tickets (2)'!$U$6:$U$805)," ")="","OK","")</f>
        <v/>
      </c>
      <c r="BV93" s="9" t="str">
        <f>IF(IFERROR(_xlfn.XLOOKUP(Tableau47[[#This Row],[COMMENTAIRE]],'[1]Tickets (2)'!$J$6:$J$805,'[1]Tickets (2)'!$V$6:$V$805)," ")="","OK","")</f>
        <v/>
      </c>
      <c r="BW93" s="9" t="e">
        <f>IF(Tableau47[[#This Row],[INDEX]]&lt;3,"",IF(Tableau47[[#This Row],[COMMAND]]="","",([1]FSI_TB!$F$12/10)*(Tableau47[[#This Row],[LOT]]/$BW$30)))</f>
        <v>#DIV/0!</v>
      </c>
      <c r="BX93" s="9" t="e">
        <f>IF(Tableau47[[#This Row],[INDEX]]&lt;3,"",IF(Tableau47[[#This Row],[COMMAND]]="","",-([1]FSI_TB!$D$12/10)*(Tableau47[[#This Row],[LOT]]/$BW$30)))</f>
        <v>#DIV/0!</v>
      </c>
      <c r="BY93" s="9" t="s">
        <v>97</v>
      </c>
      <c r="BZ93" s="9" t="str">
        <f>IF(AND(Tableau47[[#This Row],[CLOTURE]]="REPOSITIONNER"),"OK",IF(AND(Tableau47[[#This Row],[CLOTURE]]="GAGNANT"),"KO",IF(Tableau47[[#This Row],[NON]]="NON","NON","")))</f>
        <v>NON</v>
      </c>
      <c r="CA93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23000</v>
      </c>
      <c r="CB93" s="9" t="str">
        <f>IFERROR(_xlfn.XLOOKUP(Tableau47[[#This Row],[COMMENTAIRE]],'[1]Tickets (2)'!$J$6:$J$805,'[1]Tickets (2)'!$F$6:$F$805),"")</f>
        <v/>
      </c>
      <c r="CC93" s="9">
        <f>IF(Tableau47[[#This Row],[INDEX]]&lt;3,"",IF(Tableau47[[#This Row],[COMMAND]]="","",Tableau47[[#This Row],[LOT]]))</f>
        <v>23000</v>
      </c>
      <c r="CD93" s="9">
        <f>IF(Tableau47[[#This Row],[INDEX]]&lt;3,"",IF(Tableau47[[#This Row],[COMMAND]]="","",IFERROR(_xlfn.XLOOKUP(Tableau47[[#This Row],[COMMENTAIRE]],[1]!Tableau4849[IDENTITE],[1]!Tableau4849[0,5]),0)))</f>
        <v>0</v>
      </c>
      <c r="CE9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3" s="9" t="str" cm="1">
        <f t="array" ref="CG93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3" s="9"/>
      <c r="CI93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3" s="9"/>
      <c r="CK93" s="21"/>
      <c r="CL93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3" s="9"/>
      <c r="CN93" s="9" t="str">
        <f>IF(Tableau47[[#This Row],[INDEX]]&lt;3,"",IF(Tableau47[[#This Row],[COMMAND]]="","",IF(AND(Tableau47[[#This Row],[EN ATTENTES]]="NON",Tableau47[[#This Row],[EN COURS]]&lt;&gt;""),"OK","STOP")))</f>
        <v>STOP</v>
      </c>
      <c r="CO93" s="19">
        <f>Tableau47[[#This Row],[Cst TIME]]</f>
        <v>44923.320248611111</v>
      </c>
      <c r="CP93" s="9">
        <f>[1]analos!$Q$237</f>
        <v>926507</v>
      </c>
      <c r="CQ93" s="9" t="str">
        <f>[1]FSI_TB!$F$3</f>
        <v>EURUSD</v>
      </c>
      <c r="CR93" s="9" t="str">
        <f>Tableau47[[#This Row],[GO1]]</f>
        <v>SELL</v>
      </c>
      <c r="CS93" s="9" t="str">
        <f>Tableau47[[#This Row],[PRICE]]</f>
        <v>1.06256</v>
      </c>
      <c r="CT93" s="9">
        <f>Tableau47[[#This Row],[LOT]]</f>
        <v>23000</v>
      </c>
      <c r="CU93" s="9" t="str">
        <f>Tableau47[[#This Row],[COMMENTAIRE]]</f>
        <v>1 RSRS S 1.06257 M1M1</v>
      </c>
      <c r="CV93" s="9"/>
      <c r="CW93" s="9">
        <v>1</v>
      </c>
      <c r="CX93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3" s="9">
        <f t="shared" ca="1" si="0"/>
        <v>44929.316958449075</v>
      </c>
    </row>
    <row r="94" spans="3:103" ht="15.75" x14ac:dyDescent="0.25">
      <c r="C94" s="8"/>
      <c r="D94" s="9"/>
      <c r="L94" s="9">
        <v>62</v>
      </c>
      <c r="M94" s="9" t="s">
        <v>132</v>
      </c>
      <c r="N94" s="9" t="s">
        <v>214</v>
      </c>
      <c r="O94" s="8" t="s">
        <v>215</v>
      </c>
      <c r="P94" s="9" t="s">
        <v>0</v>
      </c>
      <c r="Q94" s="9">
        <v>4000</v>
      </c>
      <c r="R9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4" s="9" t="str">
        <f>IF(AND(ISNUMBER(SEARCH("BUY",Tableau47[[#This Row],[COMMAND]]))),"BUY",IF(AND(ISNUMBER(SEARCH("SELL",Tableau47[[#This Row],[COMMAND]]))),"SELL",""))</f>
        <v>SELL</v>
      </c>
      <c r="T94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4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4" s="9">
        <v>925832</v>
      </c>
      <c r="W94" s="22">
        <v>44923.311172916663</v>
      </c>
      <c r="X94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4" s="9">
        <f>IFERROR(VALUE(SUBSTITUTE(Tableau47[[#This Row],[PRICE]],".",",")),"")</f>
        <v>1.06413</v>
      </c>
      <c r="Z94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4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4" s="9" t="str">
        <f>IF(IFERROR(_xlfn.XLOOKUP(Tableau47[[#This Row],[COMMENTAIRE]],'[1]Tickets (2)'!$J$6:$J$805,'[1]Tickets (2)'!$J$6:$J$805),"")&lt;&gt;"",1,"")</f>
        <v/>
      </c>
      <c r="AC94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4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4" s="9" t="str">
        <f>IFERROR(_xlfn.XLOOKUP(Tableau47[[#This Row],[INDEX]],Tableau47[COMPTE],Tableau47[COMPTE]),"")</f>
        <v/>
      </c>
      <c r="AF94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4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4" s="17" t="str">
        <f>IF(Tableau47[[#This Row],[COMMAND]]="BUYSTOP",IFERROR(ABS(Tableau47[[#This Row],[GO7]]-'[1]Deal ticket'!$B$15),""),"")</f>
        <v/>
      </c>
      <c r="AI94" s="9">
        <f>IF(Tableau47[[#This Row],[COMMAND]]="SELLSTOP",IFERROR(ABS(Tableau47[[#This Row],[GO7]]-'[1]Deal ticket'!$B$16),""),"")</f>
        <v>1.4499999999999513E-3</v>
      </c>
      <c r="AJ94" s="9" t="str">
        <f>IF(IFERROR(_xlfn.XLOOKUP(Tableau47[[#This Row],[COMMENTAIRE]],'[1]Tickets (2)'!$J$6:$J$805,'[1]Tickets (2)'!$J$6:$J$805),"")&lt;&gt;"",1,"")</f>
        <v/>
      </c>
      <c r="AK94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4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4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4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1.06413</v>
      </c>
      <c r="AO94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4" s="9"/>
      <c r="AQ94" s="9" t="str">
        <f>IFERROR(_xlfn.XLOOKUP(Tableau47[[#This Row],[COMMENTAIRE]],'[1]Tickets (2)'!$J$6:$J$805,'[1]Tickets (2)'!$C$6:$C$805),"")</f>
        <v/>
      </c>
      <c r="AR94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94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4" s="9" t="str">
        <f>IF(Tableau47[[#This Row],[GOUBLOP]]=1,Tableau47[[#This Row],[COMMENTAIRE]],"")</f>
        <v/>
      </c>
      <c r="AU94" s="9"/>
      <c r="AV94" s="9" t="str">
        <f>IFERROR(IF(_xlfn.XLOOKUP(Tableau47[[#This Row],[GOUBLOP2]],[1]!Tableau4849[ATTEINT],[1]!Tableau4849[ATTEINT])&lt;&gt;"",1,""),"")</f>
        <v/>
      </c>
      <c r="AW94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4" s="9" t="str">
        <f>IF(Tableau47[[#This Row],[COMMAND]]="","",IF(Tableau47[[#This Row],[INDEX]]&lt;3,"",LEFT(Tableau47[[#This Row],[COMMENTAIRE]],LEN(Tableau47[[#This Row],[COMMENTAIRE]])-2)))</f>
        <v>1 RSRS S 1.06416 M1</v>
      </c>
      <c r="AY94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4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4" s="9" t="str">
        <f>IF(Tableau47[[#This Row],[INDEX]]&lt;3,"",IF(Tableau47[[#This Row],[COMMAND]]="","",IFERROR(Tableau47[[#This Row],[DIS_BUY]]*$AX$30,"")))</f>
        <v/>
      </c>
      <c r="BB94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4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9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4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4" s="9" t="str">
        <f>IF(AND(Tableau47[[#This Row],[GO]]="GO",ISNUMBER(SEARCH("BUY",Tableau47[[#This Row],[COMMAND]]))),1,"")</f>
        <v/>
      </c>
      <c r="BH94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4" s="9" t="str">
        <f>IF(OR(Tableau47[[#This Row],[GLOBAL BUY]]=1),Tableau47[[#This Row],[COMMENTAIRE]],"")</f>
        <v/>
      </c>
      <c r="BJ94" s="9" t="str">
        <f>IF(OR(Tableau47[[#This Row],[GLOBAL SELL]]=1),Tableau47[[#This Row],[COMMENTAIRE]],"")</f>
        <v/>
      </c>
      <c r="BK94" s="9">
        <f>IF(Tableau47[[#This Row],[INDEX]]&lt;3,"",IF(Tableau47[[#This Row],[COMMAND]]="","",SUMIFS(Tableau47[COMMENTAIRE],Tableau47[COMMENTAIRE],Tableau47[[#This Row],[COMMENTAIRE]])))</f>
        <v>0</v>
      </c>
      <c r="BL94" s="9" t="str">
        <f>IF(IFERROR(_xlfn.XLOOKUP(Tableau47[[#This Row],[COMMENTAIRE]],'[1]Tickets (2)'!$J$6:$J$805,'[1]Tickets (2)'!$J$6:$J$805),"")&lt;&gt;"",1,"")</f>
        <v/>
      </c>
      <c r="BM94" s="9">
        <f>IF(Tableau47[[#This Row],[INDEX]]&lt;3,"",IF(Tableau47[[#This Row],[COMMAND]]="","",IF('[1]Bar history'!$AA$33=1,1,"")))</f>
        <v>1</v>
      </c>
      <c r="BN94" s="9">
        <f>IFERROR(IFERROR(_xlfn.XLOOKUP(Tableau47[[#This Row],[COMMENTAIRE]],[1]!Tableau4849[IDENTITE],[1]!Tableau4849[0,5]),0),"")</f>
        <v>0</v>
      </c>
      <c r="BO94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4" s="9" t="s">
        <v>60</v>
      </c>
      <c r="BQ94" s="9" t="s">
        <v>75</v>
      </c>
      <c r="BR94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4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4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4" s="9" t="s">
        <v>60</v>
      </c>
      <c r="BV94" s="9" t="s">
        <v>75</v>
      </c>
      <c r="BW94" s="9" t="e">
        <f>IF(Tableau47[[#This Row],[INDEX]]&lt;3,"",IF(Tableau47[[#This Row],[COMMAND]]="","",([1]FSI_TB!$F$12/10)*(Tableau47[[#This Row],[LOT]]/$BW$30)))</f>
        <v>#DIV/0!</v>
      </c>
      <c r="BX94" s="9" t="e">
        <f>IF(Tableau47[[#This Row],[INDEX]]&lt;3,"",IF(Tableau47[[#This Row],[COMMAND]]="","",-([1]FSI_TB!$D$12/10)*(Tableau47[[#This Row],[LOT]]/$BW$30)))</f>
        <v>#DIV/0!</v>
      </c>
      <c r="BY94" s="9" t="s">
        <v>97</v>
      </c>
      <c r="BZ94" s="9" t="str">
        <f>IF(AND(Tableau47[[#This Row],[CLOTURE]]="REPOSITIONNER"),"OK",IF(AND(Tableau47[[#This Row],[CLOTURE]]="GAGNANT"),"KO",IF(Tableau47[[#This Row],[NON]]="NON","NON","")))</f>
        <v>NON</v>
      </c>
      <c r="CA94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94" s="9" t="str">
        <f>IFERROR(_xlfn.XLOOKUP(Tableau47[[#This Row],[COMMENTAIRE]],'[1]Tickets (2)'!$J$6:$J$805,'[1]Tickets (2)'!$F$6:$F$805),"")</f>
        <v/>
      </c>
      <c r="CC94" s="9">
        <f>IF(Tableau47[[#This Row],[INDEX]]&lt;3,"",IF(Tableau47[[#This Row],[COMMAND]]="","",Tableau47[[#This Row],[LOT]]))</f>
        <v>4000</v>
      </c>
      <c r="CD94" s="9">
        <f>IF(Tableau47[[#This Row],[INDEX]]&lt;3,"",IF(Tableau47[[#This Row],[COMMAND]]="","",IFERROR(_xlfn.XLOOKUP(Tableau47[[#This Row],[COMMENTAIRE]],[1]!Tableau4849[IDENTITE],[1]!Tableau4849[0,5]),0)))</f>
        <v>0</v>
      </c>
      <c r="CE9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4" s="9" t="str" cm="1">
        <f t="array" ref="CG94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4" s="9"/>
      <c r="CI94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4" s="9"/>
      <c r="CK94" s="21"/>
      <c r="CL94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4" s="9"/>
      <c r="CN94" s="9" t="str">
        <f>IF(Tableau47[[#This Row],[INDEX]]&lt;3,"",IF(Tableau47[[#This Row],[COMMAND]]="","",IF(AND(Tableau47[[#This Row],[EN ATTENTES]]="NON",Tableau47[[#This Row],[EN COURS]]&lt;&gt;""),"OK","STOP")))</f>
        <v>STOP</v>
      </c>
      <c r="CO94" s="19">
        <f>Tableau47[[#This Row],[Cst TIME]]</f>
        <v>44923.311172916663</v>
      </c>
      <c r="CP94" s="9">
        <f>[1]analos!$Q$237</f>
        <v>926507</v>
      </c>
      <c r="CQ94" s="9" t="str">
        <f>[1]FSI_TB!$F$3</f>
        <v>EURUSD</v>
      </c>
      <c r="CR94" s="9" t="str">
        <f>Tableau47[[#This Row],[GO1]]</f>
        <v>SELL</v>
      </c>
      <c r="CS94" s="9" t="str">
        <f>Tableau47[[#This Row],[PRICE]]</f>
        <v>1.06413</v>
      </c>
      <c r="CT94" s="9">
        <f>Tableau47[[#This Row],[LOT]]</f>
        <v>4000</v>
      </c>
      <c r="CU94" s="9" t="str">
        <f>Tableau47[[#This Row],[COMMENTAIRE]]</f>
        <v>1 RSRS S 1.06416 M1M1</v>
      </c>
      <c r="CV94" s="9"/>
      <c r="CW94" s="9">
        <v>1</v>
      </c>
      <c r="CX94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4" s="9">
        <f t="shared" ca="1" si="0"/>
        <v>44929.316958449075</v>
      </c>
    </row>
    <row r="95" spans="3:103" ht="15.75" x14ac:dyDescent="0.25">
      <c r="C95" s="8"/>
      <c r="D95" s="9"/>
      <c r="L95" s="9">
        <v>63</v>
      </c>
      <c r="M95" s="9" t="s">
        <v>132</v>
      </c>
      <c r="N95" s="9" t="s">
        <v>216</v>
      </c>
      <c r="O95" s="8" t="s">
        <v>217</v>
      </c>
      <c r="P95" s="9" t="s">
        <v>0</v>
      </c>
      <c r="Q95" s="9">
        <v>4000</v>
      </c>
      <c r="R9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5" s="9" t="str">
        <f>IF(AND(ISNUMBER(SEARCH("BUY",Tableau47[[#This Row],[COMMAND]]))),"BUY",IF(AND(ISNUMBER(SEARCH("SELL",Tableau47[[#This Row],[COMMAND]]))),"SELL",""))</f>
        <v>SELL</v>
      </c>
      <c r="T95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5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5" s="9">
        <v>925832</v>
      </c>
      <c r="W95" s="22">
        <v>44923.310358333336</v>
      </c>
      <c r="X95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5" s="9">
        <f>IFERROR(VALUE(SUBSTITUTE(Tableau47[[#This Row],[PRICE]],".",",")),"")</f>
        <v>1.0642100000000001</v>
      </c>
      <c r="Z95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5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5" s="9" t="str">
        <f>IF(IFERROR(_xlfn.XLOOKUP(Tableau47[[#This Row],[COMMENTAIRE]],'[1]Tickets (2)'!$J$6:$J$805,'[1]Tickets (2)'!$J$6:$J$805),"")&lt;&gt;"",1,"")</f>
        <v/>
      </c>
      <c r="AC95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5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5" s="9" t="str">
        <f>IFERROR(_xlfn.XLOOKUP(Tableau47[[#This Row],[INDEX]],Tableau47[COMPTE],Tableau47[COMPTE]),"")</f>
        <v/>
      </c>
      <c r="AF95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5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5" s="17" t="str">
        <f>IF(Tableau47[[#This Row],[COMMAND]]="BUYSTOP",IFERROR(ABS(Tableau47[[#This Row],[GO7]]-'[1]Deal ticket'!$B$15),""),"")</f>
        <v/>
      </c>
      <c r="AI95" s="9">
        <f>IF(Tableau47[[#This Row],[COMMAND]]="SELLSTOP",IFERROR(ABS(Tableau47[[#This Row],[GO7]]-'[1]Deal ticket'!$B$16),""),"")</f>
        <v>1.3699999999998713E-3</v>
      </c>
      <c r="AJ95" s="9" t="str">
        <f>IF(IFERROR(_xlfn.XLOOKUP(Tableau47[[#This Row],[COMMENTAIRE]],'[1]Tickets (2)'!$J$6:$J$805,'[1]Tickets (2)'!$J$6:$J$805),"")&lt;&gt;"",1,"")</f>
        <v/>
      </c>
      <c r="AK95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5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5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5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1.0642100000000001</v>
      </c>
      <c r="AO95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5" s="9"/>
      <c r="AQ95" s="9" t="str">
        <f>IFERROR(_xlfn.XLOOKUP(Tableau47[[#This Row],[COMMENTAIRE]],'[1]Tickets (2)'!$J$6:$J$805,'[1]Tickets (2)'!$C$6:$C$805),"")</f>
        <v/>
      </c>
      <c r="AR95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95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5" s="9" t="str">
        <f>IF(Tableau47[[#This Row],[GOUBLOP]]=1,Tableau47[[#This Row],[COMMENTAIRE]],"")</f>
        <v/>
      </c>
      <c r="AU95" s="9"/>
      <c r="AV95" s="9" t="str">
        <f>IFERROR(IF(_xlfn.XLOOKUP(Tableau47[[#This Row],[GOUBLOP2]],[1]!Tableau4849[ATTEINT],[1]!Tableau4849[ATTEINT])&lt;&gt;"",1,""),"")</f>
        <v/>
      </c>
      <c r="AW95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5" s="9" t="str">
        <f>IF(Tableau47[[#This Row],[COMMAND]]="","",IF(Tableau47[[#This Row],[INDEX]]&lt;3,"",LEFT(Tableau47[[#This Row],[COMMENTAIRE]],LEN(Tableau47[[#This Row],[COMMENTAIRE]])-2)))</f>
        <v>1 RSRS S 1.06421 M1</v>
      </c>
      <c r="AY95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5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5" s="9" t="str">
        <f>IF(Tableau47[[#This Row],[INDEX]]&lt;3,"",IF(Tableau47[[#This Row],[COMMAND]]="","",IFERROR(Tableau47[[#This Row],[DIS_BUY]]*$AX$30,"")))</f>
        <v/>
      </c>
      <c r="BB95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5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9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5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5" s="9" t="str">
        <f>IF(AND(Tableau47[[#This Row],[GO]]="GO",ISNUMBER(SEARCH("BUY",Tableau47[[#This Row],[COMMAND]]))),1,"")</f>
        <v/>
      </c>
      <c r="BH95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5" s="9" t="str">
        <f>IF(OR(Tableau47[[#This Row],[GLOBAL BUY]]=1),Tableau47[[#This Row],[COMMENTAIRE]],"")</f>
        <v/>
      </c>
      <c r="BJ95" s="9" t="str">
        <f>IF(OR(Tableau47[[#This Row],[GLOBAL SELL]]=1),Tableau47[[#This Row],[COMMENTAIRE]],"")</f>
        <v/>
      </c>
      <c r="BK95" s="9">
        <f>IF(Tableau47[[#This Row],[INDEX]]&lt;3,"",IF(Tableau47[[#This Row],[COMMAND]]="","",SUMIFS(Tableau47[COMMENTAIRE],Tableau47[COMMENTAIRE],Tableau47[[#This Row],[COMMENTAIRE]])))</f>
        <v>0</v>
      </c>
      <c r="BL95" s="9" t="str">
        <f>IF(IFERROR(_xlfn.XLOOKUP(Tableau47[[#This Row],[COMMENTAIRE]],'[1]Tickets (2)'!$J$6:$J$805,'[1]Tickets (2)'!$J$6:$J$805),"")&lt;&gt;"",1,"")</f>
        <v/>
      </c>
      <c r="BM95" s="9">
        <f>IF(Tableau47[[#This Row],[INDEX]]&lt;3,"",IF(Tableau47[[#This Row],[COMMAND]]="","",IF('[1]Bar history'!$AA$33=1,1,"")))</f>
        <v>1</v>
      </c>
      <c r="BN95" s="9">
        <f>IFERROR(IFERROR(_xlfn.XLOOKUP(Tableau47[[#This Row],[COMMENTAIRE]],[1]!Tableau4849[IDENTITE],[1]!Tableau4849[0,5]),0),"")</f>
        <v>0</v>
      </c>
      <c r="BO95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5" s="9" t="s">
        <v>60</v>
      </c>
      <c r="BQ95" s="9" t="s">
        <v>75</v>
      </c>
      <c r="BR95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5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5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5" s="9" t="s">
        <v>60</v>
      </c>
      <c r="BV95" s="9" t="s">
        <v>75</v>
      </c>
      <c r="BW95" s="9" t="e">
        <f>IF(Tableau47[[#This Row],[INDEX]]&lt;3,"",IF(Tableau47[[#This Row],[COMMAND]]="","",([1]FSI_TB!$F$12/10)*(Tableau47[[#This Row],[LOT]]/$BW$30)))</f>
        <v>#DIV/0!</v>
      </c>
      <c r="BX95" s="9" t="e">
        <f>IF(Tableau47[[#This Row],[INDEX]]&lt;3,"",IF(Tableau47[[#This Row],[COMMAND]]="","",-([1]FSI_TB!$D$12/10)*(Tableau47[[#This Row],[LOT]]/$BW$30)))</f>
        <v>#DIV/0!</v>
      </c>
      <c r="BY95" s="9" t="s">
        <v>97</v>
      </c>
      <c r="BZ95" s="9" t="str">
        <f>IF(AND(Tableau47[[#This Row],[CLOTURE]]="REPOSITIONNER"),"OK",IF(AND(Tableau47[[#This Row],[CLOTURE]]="GAGNANT"),"KO",IF(Tableau47[[#This Row],[NON]]="NON","NON","")))</f>
        <v>NON</v>
      </c>
      <c r="CA95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95" s="9" t="str">
        <f>IFERROR(_xlfn.XLOOKUP(Tableau47[[#This Row],[COMMENTAIRE]],'[1]Tickets (2)'!$J$6:$J$805,'[1]Tickets (2)'!$F$6:$F$805),"")</f>
        <v/>
      </c>
      <c r="CC95" s="9">
        <f>IF(Tableau47[[#This Row],[INDEX]]&lt;3,"",IF(Tableau47[[#This Row],[COMMAND]]="","",Tableau47[[#This Row],[LOT]]))</f>
        <v>4000</v>
      </c>
      <c r="CD95" s="9">
        <f>IF(Tableau47[[#This Row],[INDEX]]&lt;3,"",IF(Tableau47[[#This Row],[COMMAND]]="","",IFERROR(_xlfn.XLOOKUP(Tableau47[[#This Row],[COMMENTAIRE]],[1]!Tableau4849[IDENTITE],[1]!Tableau4849[0,5]),0)))</f>
        <v>0</v>
      </c>
      <c r="CE9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5" s="9" t="str" cm="1">
        <f t="array" ref="CG95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5" s="9"/>
      <c r="CI95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5" s="9"/>
      <c r="CK95" s="21"/>
      <c r="CL95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5" s="9"/>
      <c r="CN95" s="9" t="str">
        <f>IF(Tableau47[[#This Row],[INDEX]]&lt;3,"",IF(Tableau47[[#This Row],[COMMAND]]="","",IF(AND(Tableau47[[#This Row],[EN ATTENTES]]="NON",Tableau47[[#This Row],[EN COURS]]&lt;&gt;""),"OK","STOP")))</f>
        <v>STOP</v>
      </c>
      <c r="CO95" s="19">
        <f>Tableau47[[#This Row],[Cst TIME]]</f>
        <v>44923.310358333336</v>
      </c>
      <c r="CP95" s="9">
        <f>[1]analos!$Q$237</f>
        <v>926507</v>
      </c>
      <c r="CQ95" s="9" t="str">
        <f>[1]FSI_TB!$F$3</f>
        <v>EURUSD</v>
      </c>
      <c r="CR95" s="9" t="str">
        <f>Tableau47[[#This Row],[GO1]]</f>
        <v>SELL</v>
      </c>
      <c r="CS95" s="9" t="str">
        <f>Tableau47[[#This Row],[PRICE]]</f>
        <v>1.06421</v>
      </c>
      <c r="CT95" s="9">
        <f>Tableau47[[#This Row],[LOT]]</f>
        <v>4000</v>
      </c>
      <c r="CU95" s="9" t="str">
        <f>Tableau47[[#This Row],[COMMENTAIRE]]</f>
        <v>1 RSRS S 1.06421 M1M1</v>
      </c>
      <c r="CV95" s="9"/>
      <c r="CW95" s="9">
        <v>1</v>
      </c>
      <c r="CX95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5" s="9">
        <f t="shared" ca="1" si="0"/>
        <v>44929.316958449075</v>
      </c>
    </row>
    <row r="96" spans="3:103" ht="15.75" x14ac:dyDescent="0.25">
      <c r="C96" s="8"/>
      <c r="D96" s="9"/>
      <c r="L96" s="9">
        <v>64</v>
      </c>
      <c r="M96" s="9" t="s">
        <v>132</v>
      </c>
      <c r="N96" s="9" t="s">
        <v>218</v>
      </c>
      <c r="O96" s="8" t="s">
        <v>219</v>
      </c>
      <c r="P96" s="9" t="s">
        <v>0</v>
      </c>
      <c r="Q96" s="9">
        <v>3000</v>
      </c>
      <c r="R9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6" s="9" t="str">
        <f>IF(AND(ISNUMBER(SEARCH("BUY",Tableau47[[#This Row],[COMMAND]]))),"BUY",IF(AND(ISNUMBER(SEARCH("SELL",Tableau47[[#This Row],[COMMAND]]))),"SELL",""))</f>
        <v>SELL</v>
      </c>
      <c r="T96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6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6" s="9">
        <v>925832</v>
      </c>
      <c r="W96" s="22">
        <v>44923.309625578702</v>
      </c>
      <c r="X96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6" s="9">
        <f>IFERROR(VALUE(SUBSTITUTE(Tableau47[[#This Row],[PRICE]],".",",")),"")</f>
        <v>1.0640700000000001</v>
      </c>
      <c r="Z96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6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6" s="9" t="str">
        <f>IF(IFERROR(_xlfn.XLOOKUP(Tableau47[[#This Row],[COMMENTAIRE]],'[1]Tickets (2)'!$J$6:$J$805,'[1]Tickets (2)'!$J$6:$J$805),"")&lt;&gt;"",1,"")</f>
        <v/>
      </c>
      <c r="AC96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6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6" s="9" t="str">
        <f>IFERROR(_xlfn.XLOOKUP(Tableau47[[#This Row],[INDEX]],Tableau47[COMPTE],Tableau47[COMPTE]),"")</f>
        <v/>
      </c>
      <c r="AF96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6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6" s="17" t="str">
        <f>IF(Tableau47[[#This Row],[COMMAND]]="BUYSTOP",IFERROR(ABS(Tableau47[[#This Row],[GO7]]-'[1]Deal ticket'!$B$15),""),"")</f>
        <v/>
      </c>
      <c r="AI96" s="9">
        <f>IF(Tableau47[[#This Row],[COMMAND]]="SELLSTOP",IFERROR(ABS(Tableau47[[#This Row],[GO7]]-'[1]Deal ticket'!$B$16),""),"")</f>
        <v>1.5099999999999003E-3</v>
      </c>
      <c r="AJ96" s="9" t="str">
        <f>IF(IFERROR(_xlfn.XLOOKUP(Tableau47[[#This Row],[COMMENTAIRE]],'[1]Tickets (2)'!$J$6:$J$805,'[1]Tickets (2)'!$J$6:$J$805),"")&lt;&gt;"",1,"")</f>
        <v/>
      </c>
      <c r="AK96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6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6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6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1.0640700000000001</v>
      </c>
      <c r="AO96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6" s="9"/>
      <c r="AQ96" s="9" t="str">
        <f>IFERROR(_xlfn.XLOOKUP(Tableau47[[#This Row],[COMMENTAIRE]],'[1]Tickets (2)'!$J$6:$J$805,'[1]Tickets (2)'!$C$6:$C$805),"")</f>
        <v/>
      </c>
      <c r="AR96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96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6" s="9" t="str">
        <f>IF(Tableau47[[#This Row],[GOUBLOP]]=1,Tableau47[[#This Row],[COMMENTAIRE]],"")</f>
        <v/>
      </c>
      <c r="AU96" s="9"/>
      <c r="AV96" s="9" t="str">
        <f>IFERROR(IF(_xlfn.XLOOKUP(Tableau47[[#This Row],[GOUBLOP2]],[1]!Tableau4849[ATTEINT],[1]!Tableau4849[ATTEINT])&lt;&gt;"",1,""),"")</f>
        <v/>
      </c>
      <c r="AW96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6" s="9" t="str">
        <f>IF(Tableau47[[#This Row],[COMMAND]]="","",IF(Tableau47[[#This Row],[INDEX]]&lt;3,"",LEFT(Tableau47[[#This Row],[COMMENTAIRE]],LEN(Tableau47[[#This Row],[COMMENTAIRE]])-2)))</f>
        <v>1 RSRS S 1.06413 M1</v>
      </c>
      <c r="AY96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6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6" s="9" t="str">
        <f>IF(Tableau47[[#This Row],[INDEX]]&lt;3,"",IF(Tableau47[[#This Row],[COMMAND]]="","",IFERROR(Tableau47[[#This Row],[DIS_BUY]]*$AX$30,"")))</f>
        <v/>
      </c>
      <c r="BB96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6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9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6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6" s="9" t="str">
        <f>IF(AND(Tableau47[[#This Row],[GO]]="GO",ISNUMBER(SEARCH("BUY",Tableau47[[#This Row],[COMMAND]]))),1,"")</f>
        <v/>
      </c>
      <c r="BH96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6" s="9" t="str">
        <f>IF(OR(Tableau47[[#This Row],[GLOBAL BUY]]=1),Tableau47[[#This Row],[COMMENTAIRE]],"")</f>
        <v/>
      </c>
      <c r="BJ96" s="9" t="str">
        <f>IF(OR(Tableau47[[#This Row],[GLOBAL SELL]]=1),Tableau47[[#This Row],[COMMENTAIRE]],"")</f>
        <v/>
      </c>
      <c r="BK96" s="9">
        <f>IF(Tableau47[[#This Row],[INDEX]]&lt;3,"",IF(Tableau47[[#This Row],[COMMAND]]="","",SUMIFS(Tableau47[COMMENTAIRE],Tableau47[COMMENTAIRE],Tableau47[[#This Row],[COMMENTAIRE]])))</f>
        <v>0</v>
      </c>
      <c r="BL96" s="9" t="str">
        <f>IF(IFERROR(_xlfn.XLOOKUP(Tableau47[[#This Row],[COMMENTAIRE]],'[1]Tickets (2)'!$J$6:$J$805,'[1]Tickets (2)'!$J$6:$J$805),"")&lt;&gt;"",1,"")</f>
        <v/>
      </c>
      <c r="BM96" s="9">
        <f>IF(Tableau47[[#This Row],[INDEX]]&lt;3,"",IF(Tableau47[[#This Row],[COMMAND]]="","",IF('[1]Bar history'!$AA$33=1,1,"")))</f>
        <v>1</v>
      </c>
      <c r="BN96" s="9">
        <f>IFERROR(IFERROR(_xlfn.XLOOKUP(Tableau47[[#This Row],[COMMENTAIRE]],[1]!Tableau4849[IDENTITE],[1]!Tableau4849[0,5]),0),"")</f>
        <v>0</v>
      </c>
      <c r="BO96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6" s="9" t="s">
        <v>60</v>
      </c>
      <c r="BQ96" s="9" t="s">
        <v>75</v>
      </c>
      <c r="BR96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6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6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6" s="9" t="s">
        <v>60</v>
      </c>
      <c r="BV96" s="9" t="s">
        <v>75</v>
      </c>
      <c r="BW96" s="9" t="e">
        <f>IF(Tableau47[[#This Row],[INDEX]]&lt;3,"",IF(Tableau47[[#This Row],[COMMAND]]="","",([1]FSI_TB!$F$12/10)*(Tableau47[[#This Row],[LOT]]/$BW$30)))</f>
        <v>#DIV/0!</v>
      </c>
      <c r="BX96" s="9" t="e">
        <f>IF(Tableau47[[#This Row],[INDEX]]&lt;3,"",IF(Tableau47[[#This Row],[COMMAND]]="","",-([1]FSI_TB!$D$12/10)*(Tableau47[[#This Row],[LOT]]/$BW$30)))</f>
        <v>#DIV/0!</v>
      </c>
      <c r="BY96" s="9" t="s">
        <v>97</v>
      </c>
      <c r="BZ96" s="9" t="str">
        <f>IF(AND(Tableau47[[#This Row],[CLOTURE]]="REPOSITIONNER"),"OK",IF(AND(Tableau47[[#This Row],[CLOTURE]]="GAGNANT"),"KO",IF(Tableau47[[#This Row],[NON]]="NON","NON","")))</f>
        <v>NON</v>
      </c>
      <c r="CA96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96" s="9" t="str">
        <f>IFERROR(_xlfn.XLOOKUP(Tableau47[[#This Row],[COMMENTAIRE]],'[1]Tickets (2)'!$J$6:$J$805,'[1]Tickets (2)'!$F$6:$F$805),"")</f>
        <v/>
      </c>
      <c r="CC96" s="9">
        <f>IF(Tableau47[[#This Row],[INDEX]]&lt;3,"",IF(Tableau47[[#This Row],[COMMAND]]="","",Tableau47[[#This Row],[LOT]]))</f>
        <v>3000</v>
      </c>
      <c r="CD96" s="9">
        <f>IF(Tableau47[[#This Row],[INDEX]]&lt;3,"",IF(Tableau47[[#This Row],[COMMAND]]="","",IFERROR(_xlfn.XLOOKUP(Tableau47[[#This Row],[COMMENTAIRE]],[1]!Tableau4849[IDENTITE],[1]!Tableau4849[0,5]),0)))</f>
        <v>0</v>
      </c>
      <c r="CE9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6" s="9" t="str" cm="1">
        <f t="array" ref="CG96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6" s="9"/>
      <c r="CI96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6" s="9"/>
      <c r="CK96" s="21"/>
      <c r="CL96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6" s="9"/>
      <c r="CN96" s="9" t="str">
        <f>IF(Tableau47[[#This Row],[INDEX]]&lt;3,"",IF(Tableau47[[#This Row],[COMMAND]]="","",IF(AND(Tableau47[[#This Row],[EN ATTENTES]]="NON",Tableau47[[#This Row],[EN COURS]]&lt;&gt;""),"OK","STOP")))</f>
        <v>STOP</v>
      </c>
      <c r="CO96" s="19">
        <f>Tableau47[[#This Row],[Cst TIME]]</f>
        <v>44923.309625578702</v>
      </c>
      <c r="CP96" s="9">
        <f>[1]analos!$Q$237</f>
        <v>926507</v>
      </c>
      <c r="CQ96" s="9" t="str">
        <f>[1]FSI_TB!$F$3</f>
        <v>EURUSD</v>
      </c>
      <c r="CR96" s="9" t="str">
        <f>Tableau47[[#This Row],[GO1]]</f>
        <v>SELL</v>
      </c>
      <c r="CS96" s="9" t="str">
        <f>Tableau47[[#This Row],[PRICE]]</f>
        <v>1.06407</v>
      </c>
      <c r="CT96" s="9">
        <f>Tableau47[[#This Row],[LOT]]</f>
        <v>3000</v>
      </c>
      <c r="CU96" s="9" t="str">
        <f>Tableau47[[#This Row],[COMMENTAIRE]]</f>
        <v>1 RSRS S 1.06413 M1M1</v>
      </c>
      <c r="CV96" s="9"/>
      <c r="CW96" s="9">
        <v>1</v>
      </c>
      <c r="CX96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6" s="9">
        <f t="shared" ca="1" si="0"/>
        <v>44929.316958449075</v>
      </c>
    </row>
    <row r="97" spans="3:103" ht="15.75" x14ac:dyDescent="0.25">
      <c r="C97" s="8"/>
      <c r="D97" s="9"/>
      <c r="L97" s="9">
        <v>65</v>
      </c>
      <c r="M97" s="9" t="s">
        <v>132</v>
      </c>
      <c r="N97" s="9" t="s">
        <v>220</v>
      </c>
      <c r="O97" s="8" t="s">
        <v>221</v>
      </c>
      <c r="P97" s="9" t="s">
        <v>0</v>
      </c>
      <c r="Q97" s="9">
        <v>4000</v>
      </c>
      <c r="R9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7" s="9" t="str">
        <f>IF(AND(ISNUMBER(SEARCH("BUY",Tableau47[[#This Row],[COMMAND]]))),"BUY",IF(AND(ISNUMBER(SEARCH("SELL",Tableau47[[#This Row],[COMMAND]]))),"SELL",""))</f>
        <v>SELL</v>
      </c>
      <c r="T97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7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7" s="9">
        <v>925832</v>
      </c>
      <c r="W97" s="22">
        <v>44923.308781481479</v>
      </c>
      <c r="X97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7" s="9">
        <f>IFERROR(VALUE(SUBSTITUTE(Tableau47[[#This Row],[PRICE]],".",",")),"")</f>
        <v>1.0640400000000001</v>
      </c>
      <c r="Z97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7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7" s="9" t="str">
        <f>IF(IFERROR(_xlfn.XLOOKUP(Tableau47[[#This Row],[COMMENTAIRE]],'[1]Tickets (2)'!$J$6:$J$805,'[1]Tickets (2)'!$J$6:$J$805),"")&lt;&gt;"",1,"")</f>
        <v/>
      </c>
      <c r="AC97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7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7" s="9" t="str">
        <f>IFERROR(_xlfn.XLOOKUP(Tableau47[[#This Row],[INDEX]],Tableau47[COMPTE],Tableau47[COMPTE]),"")</f>
        <v/>
      </c>
      <c r="AF97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7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7" s="17" t="str">
        <f>IF(Tableau47[[#This Row],[COMMAND]]="BUYSTOP",IFERROR(ABS(Tableau47[[#This Row],[GO7]]-'[1]Deal ticket'!$B$15),""),"")</f>
        <v/>
      </c>
      <c r="AI97" s="9">
        <f>IF(Tableau47[[#This Row],[COMMAND]]="SELLSTOP",IFERROR(ABS(Tableau47[[#This Row],[GO7]]-'[1]Deal ticket'!$B$16),""),"")</f>
        <v>1.5399999999998748E-3</v>
      </c>
      <c r="AJ97" s="9" t="str">
        <f>IF(IFERROR(_xlfn.XLOOKUP(Tableau47[[#This Row],[COMMENTAIRE]],'[1]Tickets (2)'!$J$6:$J$805,'[1]Tickets (2)'!$J$6:$J$805),"")&lt;&gt;"",1,"")</f>
        <v/>
      </c>
      <c r="AK97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7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7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7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1.0640400000000001</v>
      </c>
      <c r="AO97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7" s="9"/>
      <c r="AQ97" s="9" t="str">
        <f>IFERROR(_xlfn.XLOOKUP(Tableau47[[#This Row],[COMMENTAIRE]],'[1]Tickets (2)'!$J$6:$J$805,'[1]Tickets (2)'!$C$6:$C$805),"")</f>
        <v/>
      </c>
      <c r="AR97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97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7" s="9" t="str">
        <f>IF(Tableau47[[#This Row],[GOUBLOP]]=1,Tableau47[[#This Row],[COMMENTAIRE]],"")</f>
        <v/>
      </c>
      <c r="AU97" s="9"/>
      <c r="AV97" s="9" t="str">
        <f>IFERROR(IF(_xlfn.XLOOKUP(Tableau47[[#This Row],[GOUBLOP2]],[1]!Tableau4849[ATTEINT],[1]!Tableau4849[ATTEINT])&lt;&gt;"",1,""),"")</f>
        <v/>
      </c>
      <c r="AW97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7" s="9" t="str">
        <f>IF(Tableau47[[#This Row],[COMMAND]]="","",IF(Tableau47[[#This Row],[INDEX]]&lt;3,"",LEFT(Tableau47[[#This Row],[COMMENTAIRE]],LEN(Tableau47[[#This Row],[COMMENTAIRE]])-2)))</f>
        <v>1 RSRS S 1.06402 M1</v>
      </c>
      <c r="AY97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7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7" s="9" t="str">
        <f>IF(Tableau47[[#This Row],[INDEX]]&lt;3,"",IF(Tableau47[[#This Row],[COMMAND]]="","",IFERROR(Tableau47[[#This Row],[DIS_BUY]]*$AX$30,"")))</f>
        <v/>
      </c>
      <c r="BB97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7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9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7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7" s="9" t="str">
        <f>IF(AND(Tableau47[[#This Row],[GO]]="GO",ISNUMBER(SEARCH("BUY",Tableau47[[#This Row],[COMMAND]]))),1,"")</f>
        <v/>
      </c>
      <c r="BH97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7" s="9" t="str">
        <f>IF(OR(Tableau47[[#This Row],[GLOBAL BUY]]=1),Tableau47[[#This Row],[COMMENTAIRE]],"")</f>
        <v/>
      </c>
      <c r="BJ97" s="9" t="str">
        <f>IF(OR(Tableau47[[#This Row],[GLOBAL SELL]]=1),Tableau47[[#This Row],[COMMENTAIRE]],"")</f>
        <v/>
      </c>
      <c r="BK97" s="9">
        <f>IF(Tableau47[[#This Row],[INDEX]]&lt;3,"",IF(Tableau47[[#This Row],[COMMAND]]="","",SUMIFS(Tableau47[COMMENTAIRE],Tableau47[COMMENTAIRE],Tableau47[[#This Row],[COMMENTAIRE]])))</f>
        <v>0</v>
      </c>
      <c r="BL97" s="9" t="str">
        <f>IF(IFERROR(_xlfn.XLOOKUP(Tableau47[[#This Row],[COMMENTAIRE]],'[1]Tickets (2)'!$J$6:$J$805,'[1]Tickets (2)'!$J$6:$J$805),"")&lt;&gt;"",1,"")</f>
        <v/>
      </c>
      <c r="BM97" s="9">
        <f>IF(Tableau47[[#This Row],[INDEX]]&lt;3,"",IF(Tableau47[[#This Row],[COMMAND]]="","",IF('[1]Bar history'!$AA$33=1,1,"")))</f>
        <v>1</v>
      </c>
      <c r="BN97" s="9">
        <f>IFERROR(IFERROR(_xlfn.XLOOKUP(Tableau47[[#This Row],[COMMENTAIRE]],[1]!Tableau4849[IDENTITE],[1]!Tableau4849[0,5]),0),"")</f>
        <v>0</v>
      </c>
      <c r="BO97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7" s="9" t="s">
        <v>60</v>
      </c>
      <c r="BQ97" s="9" t="s">
        <v>75</v>
      </c>
      <c r="BR97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7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7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7" s="9" t="s">
        <v>60</v>
      </c>
      <c r="BV97" s="9" t="s">
        <v>75</v>
      </c>
      <c r="BW97" s="9" t="e">
        <f>IF(Tableau47[[#This Row],[INDEX]]&lt;3,"",IF(Tableau47[[#This Row],[COMMAND]]="","",([1]FSI_TB!$F$12/10)*(Tableau47[[#This Row],[LOT]]/$BW$30)))</f>
        <v>#DIV/0!</v>
      </c>
      <c r="BX97" s="9" t="e">
        <f>IF(Tableau47[[#This Row],[INDEX]]&lt;3,"",IF(Tableau47[[#This Row],[COMMAND]]="","",-([1]FSI_TB!$D$12/10)*(Tableau47[[#This Row],[LOT]]/$BW$30)))</f>
        <v>#DIV/0!</v>
      </c>
      <c r="BY97" s="9" t="s">
        <v>97</v>
      </c>
      <c r="BZ97" s="9" t="str">
        <f>IF(AND(Tableau47[[#This Row],[CLOTURE]]="REPOSITIONNER"),"OK",IF(AND(Tableau47[[#This Row],[CLOTURE]]="GAGNANT"),"KO",IF(Tableau47[[#This Row],[NON]]="NON","NON","")))</f>
        <v>NON</v>
      </c>
      <c r="CA97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97" s="9" t="str">
        <f>IFERROR(_xlfn.XLOOKUP(Tableau47[[#This Row],[COMMENTAIRE]],'[1]Tickets (2)'!$J$6:$J$805,'[1]Tickets (2)'!$F$6:$F$805),"")</f>
        <v/>
      </c>
      <c r="CC97" s="9">
        <f>IF(Tableau47[[#This Row],[INDEX]]&lt;3,"",IF(Tableau47[[#This Row],[COMMAND]]="","",Tableau47[[#This Row],[LOT]]))</f>
        <v>4000</v>
      </c>
      <c r="CD97" s="9">
        <f>IF(Tableau47[[#This Row],[INDEX]]&lt;3,"",IF(Tableau47[[#This Row],[COMMAND]]="","",IFERROR(_xlfn.XLOOKUP(Tableau47[[#This Row],[COMMENTAIRE]],[1]!Tableau4849[IDENTITE],[1]!Tableau4849[0,5]),0)))</f>
        <v>0</v>
      </c>
      <c r="CE9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7" s="9" t="str" cm="1">
        <f t="array" ref="CG97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7" s="9"/>
      <c r="CI97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7" s="9"/>
      <c r="CK97" s="21"/>
      <c r="CL97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7" s="9"/>
      <c r="CN97" s="9" t="str">
        <f>IF(Tableau47[[#This Row],[INDEX]]&lt;3,"",IF(Tableau47[[#This Row],[COMMAND]]="","",IF(AND(Tableau47[[#This Row],[EN ATTENTES]]="NON",Tableau47[[#This Row],[EN COURS]]&lt;&gt;""),"OK","STOP")))</f>
        <v>STOP</v>
      </c>
      <c r="CO97" s="19">
        <f>Tableau47[[#This Row],[Cst TIME]]</f>
        <v>44923.308781481479</v>
      </c>
      <c r="CP97" s="9">
        <f>[1]analos!$Q$237</f>
        <v>926507</v>
      </c>
      <c r="CQ97" s="9" t="str">
        <f>[1]FSI_TB!$F$3</f>
        <v>EURUSD</v>
      </c>
      <c r="CR97" s="9" t="str">
        <f>Tableau47[[#This Row],[GO1]]</f>
        <v>SELL</v>
      </c>
      <c r="CS97" s="9" t="str">
        <f>Tableau47[[#This Row],[PRICE]]</f>
        <v>1.06404</v>
      </c>
      <c r="CT97" s="9">
        <f>Tableau47[[#This Row],[LOT]]</f>
        <v>4000</v>
      </c>
      <c r="CU97" s="9" t="str">
        <f>Tableau47[[#This Row],[COMMENTAIRE]]</f>
        <v>1 RSRS S 1.06402 M1M1</v>
      </c>
      <c r="CV97" s="9"/>
      <c r="CW97" s="9">
        <v>1</v>
      </c>
      <c r="CX97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7" s="9">
        <f t="shared" ref="CY97:CY122" ca="1" si="1">NOW()</f>
        <v>44929.316958449075</v>
      </c>
    </row>
    <row r="98" spans="3:103" ht="15.75" x14ac:dyDescent="0.25">
      <c r="C98" s="8"/>
      <c r="D98" s="9"/>
      <c r="L98" s="9">
        <v>66</v>
      </c>
      <c r="M98" s="9" t="s">
        <v>132</v>
      </c>
      <c r="N98" s="9" t="s">
        <v>218</v>
      </c>
      <c r="O98" s="8" t="s">
        <v>222</v>
      </c>
      <c r="P98" s="9" t="s">
        <v>0</v>
      </c>
      <c r="Q98" s="9">
        <v>4000</v>
      </c>
      <c r="R9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8" s="9" t="str">
        <f>IF(AND(ISNUMBER(SEARCH("BUY",Tableau47[[#This Row],[COMMAND]]))),"BUY",IF(AND(ISNUMBER(SEARCH("SELL",Tableau47[[#This Row],[COMMAND]]))),"SELL",""))</f>
        <v>SELL</v>
      </c>
      <c r="T98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8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8" s="9">
        <v>925832</v>
      </c>
      <c r="W98" s="22">
        <v>44923.308494444442</v>
      </c>
      <c r="X98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8" s="9">
        <f>IFERROR(VALUE(SUBSTITUTE(Tableau47[[#This Row],[PRICE]],".",",")),"")</f>
        <v>1.0640700000000001</v>
      </c>
      <c r="Z98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8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8" s="9" t="str">
        <f>IF(IFERROR(_xlfn.XLOOKUP(Tableau47[[#This Row],[COMMENTAIRE]],'[1]Tickets (2)'!$J$6:$J$805,'[1]Tickets (2)'!$J$6:$J$805),"")&lt;&gt;"",1,"")</f>
        <v/>
      </c>
      <c r="AC98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8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8" s="9" t="str">
        <f>IFERROR(_xlfn.XLOOKUP(Tableau47[[#This Row],[INDEX]],Tableau47[COMPTE],Tableau47[COMPTE]),"")</f>
        <v/>
      </c>
      <c r="AF98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8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8" s="17" t="str">
        <f>IF(Tableau47[[#This Row],[COMMAND]]="BUYSTOP",IFERROR(ABS(Tableau47[[#This Row],[GO7]]-'[1]Deal ticket'!$B$15),""),"")</f>
        <v/>
      </c>
      <c r="AI98" s="9">
        <f>IF(Tableau47[[#This Row],[COMMAND]]="SELLSTOP",IFERROR(ABS(Tableau47[[#This Row],[GO7]]-'[1]Deal ticket'!$B$16),""),"")</f>
        <v>1.5099999999999003E-3</v>
      </c>
      <c r="AJ98" s="9" t="str">
        <f>IF(IFERROR(_xlfn.XLOOKUP(Tableau47[[#This Row],[COMMENTAIRE]],'[1]Tickets (2)'!$J$6:$J$805,'[1]Tickets (2)'!$J$6:$J$805),"")&lt;&gt;"",1,"")</f>
        <v/>
      </c>
      <c r="AK98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8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8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8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1.0640700000000001</v>
      </c>
      <c r="AO98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8" s="9"/>
      <c r="AQ98" s="9" t="str">
        <f>IFERROR(_xlfn.XLOOKUP(Tableau47[[#This Row],[COMMENTAIRE]],'[1]Tickets (2)'!$J$6:$J$805,'[1]Tickets (2)'!$C$6:$C$805),"")</f>
        <v/>
      </c>
      <c r="AR98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98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8" s="9" t="str">
        <f>IF(Tableau47[[#This Row],[GOUBLOP]]=1,Tableau47[[#This Row],[COMMENTAIRE]],"")</f>
        <v/>
      </c>
      <c r="AU98" s="9"/>
      <c r="AV98" s="9" t="str">
        <f>IFERROR(IF(_xlfn.XLOOKUP(Tableau47[[#This Row],[GOUBLOP2]],[1]!Tableau4849[ATTEINT],[1]!Tableau4849[ATTEINT])&lt;&gt;"",1,""),"")</f>
        <v/>
      </c>
      <c r="AW98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8" s="9" t="str">
        <f>IF(Tableau47[[#This Row],[COMMAND]]="","",IF(Tableau47[[#This Row],[INDEX]]&lt;3,"",LEFT(Tableau47[[#This Row],[COMMENTAIRE]],LEN(Tableau47[[#This Row],[COMMENTAIRE]])-2)))</f>
        <v>1 RSRS S 1.06404 M1</v>
      </c>
      <c r="AY98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8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8" s="9" t="str">
        <f>IF(Tableau47[[#This Row],[INDEX]]&lt;3,"",IF(Tableau47[[#This Row],[COMMAND]]="","",IFERROR(Tableau47[[#This Row],[DIS_BUY]]*$AX$30,"")))</f>
        <v/>
      </c>
      <c r="BB98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8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9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8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8" s="9" t="str">
        <f>IF(AND(Tableau47[[#This Row],[GO]]="GO",ISNUMBER(SEARCH("BUY",Tableau47[[#This Row],[COMMAND]]))),1,"")</f>
        <v/>
      </c>
      <c r="BH98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8" s="9" t="str">
        <f>IF(OR(Tableau47[[#This Row],[GLOBAL BUY]]=1),Tableau47[[#This Row],[COMMENTAIRE]],"")</f>
        <v/>
      </c>
      <c r="BJ98" s="9" t="str">
        <f>IF(OR(Tableau47[[#This Row],[GLOBAL SELL]]=1),Tableau47[[#This Row],[COMMENTAIRE]],"")</f>
        <v/>
      </c>
      <c r="BK98" s="9">
        <f>IF(Tableau47[[#This Row],[INDEX]]&lt;3,"",IF(Tableau47[[#This Row],[COMMAND]]="","",SUMIFS(Tableau47[COMMENTAIRE],Tableau47[COMMENTAIRE],Tableau47[[#This Row],[COMMENTAIRE]])))</f>
        <v>0</v>
      </c>
      <c r="BL98" s="9" t="str">
        <f>IF(IFERROR(_xlfn.XLOOKUP(Tableau47[[#This Row],[COMMENTAIRE]],'[1]Tickets (2)'!$J$6:$J$805,'[1]Tickets (2)'!$J$6:$J$805),"")&lt;&gt;"",1,"")</f>
        <v/>
      </c>
      <c r="BM98" s="9">
        <f>IF(Tableau47[[#This Row],[INDEX]]&lt;3,"",IF(Tableau47[[#This Row],[COMMAND]]="","",IF('[1]Bar history'!$AA$33=1,1,"")))</f>
        <v>1</v>
      </c>
      <c r="BN98" s="9">
        <f>IFERROR(IFERROR(_xlfn.XLOOKUP(Tableau47[[#This Row],[COMMENTAIRE]],[1]!Tableau4849[IDENTITE],[1]!Tableau4849[0,5]),0),"")</f>
        <v>0</v>
      </c>
      <c r="BO98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8" s="9" t="s">
        <v>60</v>
      </c>
      <c r="BQ98" s="9" t="s">
        <v>75</v>
      </c>
      <c r="BR98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8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8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8" s="9" t="s">
        <v>60</v>
      </c>
      <c r="BV98" s="9" t="s">
        <v>75</v>
      </c>
      <c r="BW98" s="9" t="e">
        <f>IF(Tableau47[[#This Row],[INDEX]]&lt;3,"",IF(Tableau47[[#This Row],[COMMAND]]="","",([1]FSI_TB!$F$12/10)*(Tableau47[[#This Row],[LOT]]/$BW$30)))</f>
        <v>#DIV/0!</v>
      </c>
      <c r="BX98" s="9" t="e">
        <f>IF(Tableau47[[#This Row],[INDEX]]&lt;3,"",IF(Tableau47[[#This Row],[COMMAND]]="","",-([1]FSI_TB!$D$12/10)*(Tableau47[[#This Row],[LOT]]/$BW$30)))</f>
        <v>#DIV/0!</v>
      </c>
      <c r="BY98" s="9" t="s">
        <v>97</v>
      </c>
      <c r="BZ98" s="9" t="str">
        <f>IF(AND(Tableau47[[#This Row],[CLOTURE]]="REPOSITIONNER"),"OK",IF(AND(Tableau47[[#This Row],[CLOTURE]]="GAGNANT"),"KO",IF(Tableau47[[#This Row],[NON]]="NON","NON","")))</f>
        <v>NON</v>
      </c>
      <c r="CA98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98" s="9" t="str">
        <f>IFERROR(_xlfn.XLOOKUP(Tableau47[[#This Row],[COMMENTAIRE]],'[1]Tickets (2)'!$J$6:$J$805,'[1]Tickets (2)'!$F$6:$F$805),"")</f>
        <v/>
      </c>
      <c r="CC98" s="9">
        <f>IF(Tableau47[[#This Row],[INDEX]]&lt;3,"",IF(Tableau47[[#This Row],[COMMAND]]="","",Tableau47[[#This Row],[LOT]]))</f>
        <v>4000</v>
      </c>
      <c r="CD98" s="9">
        <f>IF(Tableau47[[#This Row],[INDEX]]&lt;3,"",IF(Tableau47[[#This Row],[COMMAND]]="","",IFERROR(_xlfn.XLOOKUP(Tableau47[[#This Row],[COMMENTAIRE]],[1]!Tableau4849[IDENTITE],[1]!Tableau4849[0,5]),0)))</f>
        <v>0</v>
      </c>
      <c r="CE9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8" s="9" t="str" cm="1">
        <f t="array" ref="CG98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8" s="9"/>
      <c r="CI98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8" s="9"/>
      <c r="CK98" s="21"/>
      <c r="CL98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8" s="9"/>
      <c r="CN98" s="9" t="str">
        <f>IF(Tableau47[[#This Row],[INDEX]]&lt;3,"",IF(Tableau47[[#This Row],[COMMAND]]="","",IF(AND(Tableau47[[#This Row],[EN ATTENTES]]="NON",Tableau47[[#This Row],[EN COURS]]&lt;&gt;""),"OK","STOP")))</f>
        <v>STOP</v>
      </c>
      <c r="CO98" s="19">
        <f>Tableau47[[#This Row],[Cst TIME]]</f>
        <v>44923.308494444442</v>
      </c>
      <c r="CP98" s="9">
        <f>[1]analos!$Q$237</f>
        <v>926507</v>
      </c>
      <c r="CQ98" s="9" t="str">
        <f>[1]FSI_TB!$F$3</f>
        <v>EURUSD</v>
      </c>
      <c r="CR98" s="9" t="str">
        <f>Tableau47[[#This Row],[GO1]]</f>
        <v>SELL</v>
      </c>
      <c r="CS98" s="9" t="str">
        <f>Tableau47[[#This Row],[PRICE]]</f>
        <v>1.06407</v>
      </c>
      <c r="CT98" s="9">
        <f>Tableau47[[#This Row],[LOT]]</f>
        <v>4000</v>
      </c>
      <c r="CU98" s="9" t="str">
        <f>Tableau47[[#This Row],[COMMENTAIRE]]</f>
        <v>1 RSRS S 1.06404 M1M1</v>
      </c>
      <c r="CV98" s="9"/>
      <c r="CW98" s="9">
        <v>1</v>
      </c>
      <c r="CX98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8" s="9">
        <f t="shared" ca="1" si="1"/>
        <v>44929.316958449075</v>
      </c>
    </row>
    <row r="99" spans="3:103" ht="15.75" x14ac:dyDescent="0.25">
      <c r="C99" s="8"/>
      <c r="D99" s="9"/>
      <c r="L99" s="9">
        <v>67</v>
      </c>
      <c r="M99" s="9" t="s">
        <v>132</v>
      </c>
      <c r="N99" s="9" t="s">
        <v>223</v>
      </c>
      <c r="O99" s="8" t="s">
        <v>224</v>
      </c>
      <c r="P99" s="9" t="s">
        <v>0</v>
      </c>
      <c r="Q99" s="9">
        <v>4000</v>
      </c>
      <c r="R9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99" s="9" t="str">
        <f>IF(AND(ISNUMBER(SEARCH("BUY",Tableau47[[#This Row],[COMMAND]]))),"BUY",IF(AND(ISNUMBER(SEARCH("SELL",Tableau47[[#This Row],[COMMAND]]))),"SELL",""))</f>
        <v>SELL</v>
      </c>
      <c r="T99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99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99" s="9">
        <v>925832</v>
      </c>
      <c r="W99" s="22">
        <v>44923.308232175928</v>
      </c>
      <c r="X99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99" s="9">
        <f>IFERROR(VALUE(SUBSTITUTE(Tableau47[[#This Row],[PRICE]],".",",")),"")</f>
        <v>1.06406</v>
      </c>
      <c r="Z99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99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99" s="9" t="str">
        <f>IF(IFERROR(_xlfn.XLOOKUP(Tableau47[[#This Row],[COMMENTAIRE]],'[1]Tickets (2)'!$J$6:$J$805,'[1]Tickets (2)'!$J$6:$J$805),"")&lt;&gt;"",1,"")</f>
        <v/>
      </c>
      <c r="AC99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99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99" s="9" t="str">
        <f>IFERROR(_xlfn.XLOOKUP(Tableau47[[#This Row],[INDEX]],Tableau47[COMPTE],Tableau47[COMPTE]),"")</f>
        <v/>
      </c>
      <c r="AF99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99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99" s="17" t="str">
        <f>IF(Tableau47[[#This Row],[COMMAND]]="BUYSTOP",IFERROR(ABS(Tableau47[[#This Row],[GO7]]-'[1]Deal ticket'!$B$15),""),"")</f>
        <v/>
      </c>
      <c r="AI99" s="9">
        <f>IF(Tableau47[[#This Row],[COMMAND]]="SELLSTOP",IFERROR(ABS(Tableau47[[#This Row],[GO7]]-'[1]Deal ticket'!$B$16),""),"")</f>
        <v>1.5199999999999658E-3</v>
      </c>
      <c r="AJ99" s="9" t="str">
        <f>IF(IFERROR(_xlfn.XLOOKUP(Tableau47[[#This Row],[COMMENTAIRE]],'[1]Tickets (2)'!$J$6:$J$805,'[1]Tickets (2)'!$J$6:$J$805),"")&lt;&gt;"",1,"")</f>
        <v/>
      </c>
      <c r="AK99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99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99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99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1.06406</v>
      </c>
      <c r="AO99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99" s="9"/>
      <c r="AQ99" s="9" t="str">
        <f>IFERROR(_xlfn.XLOOKUP(Tableau47[[#This Row],[COMMENTAIRE]],'[1]Tickets (2)'!$J$6:$J$805,'[1]Tickets (2)'!$C$6:$C$805),"")</f>
        <v/>
      </c>
      <c r="AR99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99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99" s="9" t="str">
        <f>IF(Tableau47[[#This Row],[GOUBLOP]]=1,Tableau47[[#This Row],[COMMENTAIRE]],"")</f>
        <v/>
      </c>
      <c r="AU99" s="9"/>
      <c r="AV99" s="9" t="str">
        <f>IFERROR(IF(_xlfn.XLOOKUP(Tableau47[[#This Row],[GOUBLOP2]],[1]!Tableau4849[ATTEINT],[1]!Tableau4849[ATTEINT])&lt;&gt;"",1,""),"")</f>
        <v/>
      </c>
      <c r="AW99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99" s="9" t="str">
        <f>IF(Tableau47[[#This Row],[COMMAND]]="","",IF(Tableau47[[#This Row],[INDEX]]&lt;3,"",LEFT(Tableau47[[#This Row],[COMMENTAIRE]],LEN(Tableau47[[#This Row],[COMMENTAIRE]])-2)))</f>
        <v>1 RSRS S 1.06407 M1</v>
      </c>
      <c r="AY99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99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99" s="9" t="str">
        <f>IF(Tableau47[[#This Row],[INDEX]]&lt;3,"",IF(Tableau47[[#This Row],[COMMAND]]="","",IFERROR(Tableau47[[#This Row],[DIS_BUY]]*$AX$30,"")))</f>
        <v/>
      </c>
      <c r="BB99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99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9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99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9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99" s="9" t="str">
        <f>IF(AND(Tableau47[[#This Row],[GO]]="GO",ISNUMBER(SEARCH("BUY",Tableau47[[#This Row],[COMMAND]]))),1,"")</f>
        <v/>
      </c>
      <c r="BH99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99" s="9" t="str">
        <f>IF(OR(Tableau47[[#This Row],[GLOBAL BUY]]=1),Tableau47[[#This Row],[COMMENTAIRE]],"")</f>
        <v/>
      </c>
      <c r="BJ99" s="9" t="str">
        <f>IF(OR(Tableau47[[#This Row],[GLOBAL SELL]]=1),Tableau47[[#This Row],[COMMENTAIRE]],"")</f>
        <v/>
      </c>
      <c r="BK99" s="9">
        <f>IF(Tableau47[[#This Row],[INDEX]]&lt;3,"",IF(Tableau47[[#This Row],[COMMAND]]="","",SUMIFS(Tableau47[COMMENTAIRE],Tableau47[COMMENTAIRE],Tableau47[[#This Row],[COMMENTAIRE]])))</f>
        <v>0</v>
      </c>
      <c r="BL99" s="9" t="str">
        <f>IF(IFERROR(_xlfn.XLOOKUP(Tableau47[[#This Row],[COMMENTAIRE]],'[1]Tickets (2)'!$J$6:$J$805,'[1]Tickets (2)'!$J$6:$J$805),"")&lt;&gt;"",1,"")</f>
        <v/>
      </c>
      <c r="BM99" s="9">
        <f>IF(Tableau47[[#This Row],[INDEX]]&lt;3,"",IF(Tableau47[[#This Row],[COMMAND]]="","",IF('[1]Bar history'!$AA$33=1,1,"")))</f>
        <v>1</v>
      </c>
      <c r="BN99" s="9">
        <f>IFERROR(IFERROR(_xlfn.XLOOKUP(Tableau47[[#This Row],[COMMENTAIRE]],[1]!Tableau4849[IDENTITE],[1]!Tableau4849[0,5]),0),"")</f>
        <v>0</v>
      </c>
      <c r="BO99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99" s="9" t="s">
        <v>60</v>
      </c>
      <c r="BQ99" s="9" t="s">
        <v>75</v>
      </c>
      <c r="BR99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99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99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99" s="9" t="s">
        <v>60</v>
      </c>
      <c r="BV99" s="9" t="s">
        <v>75</v>
      </c>
      <c r="BW99" s="9" t="e">
        <f>IF(Tableau47[[#This Row],[INDEX]]&lt;3,"",IF(Tableau47[[#This Row],[COMMAND]]="","",([1]FSI_TB!$F$12/10)*(Tableau47[[#This Row],[LOT]]/$BW$30)))</f>
        <v>#DIV/0!</v>
      </c>
      <c r="BX99" s="9" t="e">
        <f>IF(Tableau47[[#This Row],[INDEX]]&lt;3,"",IF(Tableau47[[#This Row],[COMMAND]]="","",-([1]FSI_TB!$D$12/10)*(Tableau47[[#This Row],[LOT]]/$BW$30)))</f>
        <v>#DIV/0!</v>
      </c>
      <c r="BY99" s="9" t="s">
        <v>97</v>
      </c>
      <c r="BZ99" s="9" t="str">
        <f>IF(AND(Tableau47[[#This Row],[CLOTURE]]="REPOSITIONNER"),"OK",IF(AND(Tableau47[[#This Row],[CLOTURE]]="GAGNANT"),"KO",IF(Tableau47[[#This Row],[NON]]="NON","NON","")))</f>
        <v>NON</v>
      </c>
      <c r="CA99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99" s="9" t="str">
        <f>IFERROR(_xlfn.XLOOKUP(Tableau47[[#This Row],[COMMENTAIRE]],'[1]Tickets (2)'!$J$6:$J$805,'[1]Tickets (2)'!$F$6:$F$805),"")</f>
        <v/>
      </c>
      <c r="CC99" s="9">
        <f>IF(Tableau47[[#This Row],[INDEX]]&lt;3,"",IF(Tableau47[[#This Row],[COMMAND]]="","",Tableau47[[#This Row],[LOT]]))</f>
        <v>4000</v>
      </c>
      <c r="CD99" s="9">
        <f>IF(Tableau47[[#This Row],[INDEX]]&lt;3,"",IF(Tableau47[[#This Row],[COMMAND]]="","",IFERROR(_xlfn.XLOOKUP(Tableau47[[#This Row],[COMMENTAIRE]],[1]!Tableau4849[IDENTITE],[1]!Tableau4849[0,5]),0)))</f>
        <v>0</v>
      </c>
      <c r="CE9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9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99" s="9" t="str" cm="1">
        <f t="array" ref="CG99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99" s="9"/>
      <c r="CI99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99" s="9"/>
      <c r="CK99" s="21"/>
      <c r="CL99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99" s="9"/>
      <c r="CN99" s="9" t="str">
        <f>IF(Tableau47[[#This Row],[INDEX]]&lt;3,"",IF(Tableau47[[#This Row],[COMMAND]]="","",IF(AND(Tableau47[[#This Row],[EN ATTENTES]]="NON",Tableau47[[#This Row],[EN COURS]]&lt;&gt;""),"OK","STOP")))</f>
        <v>STOP</v>
      </c>
      <c r="CO99" s="19">
        <f>Tableau47[[#This Row],[Cst TIME]]</f>
        <v>44923.308232175928</v>
      </c>
      <c r="CP99" s="9">
        <f>[1]analos!$Q$237</f>
        <v>926507</v>
      </c>
      <c r="CQ99" s="9" t="str">
        <f>[1]FSI_TB!$F$3</f>
        <v>EURUSD</v>
      </c>
      <c r="CR99" s="9" t="str">
        <f>Tableau47[[#This Row],[GO1]]</f>
        <v>SELL</v>
      </c>
      <c r="CS99" s="9" t="str">
        <f>Tableau47[[#This Row],[PRICE]]</f>
        <v>1.06406</v>
      </c>
      <c r="CT99" s="9">
        <f>Tableau47[[#This Row],[LOT]]</f>
        <v>4000</v>
      </c>
      <c r="CU99" s="9" t="str">
        <f>Tableau47[[#This Row],[COMMENTAIRE]]</f>
        <v>1 RSRS S 1.06407 M1M1</v>
      </c>
      <c r="CV99" s="9"/>
      <c r="CW99" s="9">
        <v>1</v>
      </c>
      <c r="CX99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99" s="9">
        <f t="shared" ca="1" si="1"/>
        <v>44929.316958449075</v>
      </c>
    </row>
    <row r="100" spans="3:103" ht="15.75" x14ac:dyDescent="0.25">
      <c r="C100" s="8"/>
      <c r="D100" s="9"/>
      <c r="L100" s="9">
        <v>68</v>
      </c>
      <c r="M100" s="9" t="s">
        <v>132</v>
      </c>
      <c r="N100" s="9" t="s">
        <v>225</v>
      </c>
      <c r="O100" s="8" t="s">
        <v>226</v>
      </c>
      <c r="P100" s="9" t="s">
        <v>0</v>
      </c>
      <c r="Q100" s="9">
        <v>4000</v>
      </c>
      <c r="R10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0" s="9" t="str">
        <f>IF(AND(ISNUMBER(SEARCH("BUY",Tableau47[[#This Row],[COMMAND]]))),"BUY",IF(AND(ISNUMBER(SEARCH("SELL",Tableau47[[#This Row],[COMMAND]]))),"SELL",""))</f>
        <v>SELL</v>
      </c>
      <c r="T100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0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0" s="9">
        <v>925832</v>
      </c>
      <c r="W100" s="22">
        <v>44923.307847916665</v>
      </c>
      <c r="X100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0" s="9">
        <f>IFERROR(VALUE(SUBSTITUTE(Tableau47[[#This Row],[PRICE]],".",",")),"")</f>
        <v>1.06416</v>
      </c>
      <c r="Z100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0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0" s="9" t="str">
        <f>IF(IFERROR(_xlfn.XLOOKUP(Tableau47[[#This Row],[COMMENTAIRE]],'[1]Tickets (2)'!$J$6:$J$805,'[1]Tickets (2)'!$J$6:$J$805),"")&lt;&gt;"",1,"")</f>
        <v/>
      </c>
      <c r="AC100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0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0" s="9" t="str">
        <f>IFERROR(_xlfn.XLOOKUP(Tableau47[[#This Row],[INDEX]],Tableau47[COMPTE],Tableau47[COMPTE]),"")</f>
        <v/>
      </c>
      <c r="AF100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0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0" s="17" t="str">
        <f>IF(Tableau47[[#This Row],[COMMAND]]="BUYSTOP",IFERROR(ABS(Tableau47[[#This Row],[GO7]]-'[1]Deal ticket'!$B$15),""),"")</f>
        <v/>
      </c>
      <c r="AI100" s="9">
        <f>IF(Tableau47[[#This Row],[COMMAND]]="SELLSTOP",IFERROR(ABS(Tableau47[[#This Row],[GO7]]-'[1]Deal ticket'!$B$16),""),"")</f>
        <v>1.4199999999999768E-3</v>
      </c>
      <c r="AJ100" s="9" t="str">
        <f>IF(IFERROR(_xlfn.XLOOKUP(Tableau47[[#This Row],[COMMENTAIRE]],'[1]Tickets (2)'!$J$6:$J$805,'[1]Tickets (2)'!$J$6:$J$805),"")&lt;&gt;"",1,"")</f>
        <v/>
      </c>
      <c r="AK100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0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0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0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1.06416</v>
      </c>
      <c r="AO100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0" s="9"/>
      <c r="AQ100" s="9" t="str">
        <f>IFERROR(_xlfn.XLOOKUP(Tableau47[[#This Row],[COMMENTAIRE]],'[1]Tickets (2)'!$J$6:$J$805,'[1]Tickets (2)'!$C$6:$C$805),"")</f>
        <v/>
      </c>
      <c r="AR100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100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0" s="9" t="str">
        <f>IF(Tableau47[[#This Row],[GOUBLOP]]=1,Tableau47[[#This Row],[COMMENTAIRE]],"")</f>
        <v/>
      </c>
      <c r="AU100" s="9"/>
      <c r="AV100" s="9" t="str">
        <f>IFERROR(IF(_xlfn.XLOOKUP(Tableau47[[#This Row],[GOUBLOP2]],[1]!Tableau4849[ATTEINT],[1]!Tableau4849[ATTEINT])&lt;&gt;"",1,""),"")</f>
        <v/>
      </c>
      <c r="AW100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0" s="9" t="str">
        <f>IF(Tableau47[[#This Row],[COMMAND]]="","",IF(Tableau47[[#This Row],[INDEX]]&lt;3,"",LEFT(Tableau47[[#This Row],[COMMENTAIRE]],LEN(Tableau47[[#This Row],[COMMENTAIRE]])-2)))</f>
        <v>1 RSRS S 1.06419 M1</v>
      </c>
      <c r="AY100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0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0" s="9" t="str">
        <f>IF(Tableau47[[#This Row],[INDEX]]&lt;3,"",IF(Tableau47[[#This Row],[COMMAND]]="","",IFERROR(Tableau47[[#This Row],[DIS_BUY]]*$AX$30,"")))</f>
        <v/>
      </c>
      <c r="BB100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0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10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0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0" s="9" t="str">
        <f>IF(AND(Tableau47[[#This Row],[GO]]="GO",ISNUMBER(SEARCH("BUY",Tableau47[[#This Row],[COMMAND]]))),1,"")</f>
        <v/>
      </c>
      <c r="BH100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0" s="9" t="str">
        <f>IF(OR(Tableau47[[#This Row],[GLOBAL BUY]]=1),Tableau47[[#This Row],[COMMENTAIRE]],"")</f>
        <v/>
      </c>
      <c r="BJ100" s="9" t="str">
        <f>IF(OR(Tableau47[[#This Row],[GLOBAL SELL]]=1),Tableau47[[#This Row],[COMMENTAIRE]],"")</f>
        <v/>
      </c>
      <c r="BK100" s="9">
        <f>IF(Tableau47[[#This Row],[INDEX]]&lt;3,"",IF(Tableau47[[#This Row],[COMMAND]]="","",SUMIFS(Tableau47[COMMENTAIRE],Tableau47[COMMENTAIRE],Tableau47[[#This Row],[COMMENTAIRE]])))</f>
        <v>0</v>
      </c>
      <c r="BL100" s="9" t="str">
        <f>IF(IFERROR(_xlfn.XLOOKUP(Tableau47[[#This Row],[COMMENTAIRE]],'[1]Tickets (2)'!$J$6:$J$805,'[1]Tickets (2)'!$J$6:$J$805),"")&lt;&gt;"",1,"")</f>
        <v/>
      </c>
      <c r="BM100" s="9">
        <f>IF(Tableau47[[#This Row],[INDEX]]&lt;3,"",IF(Tableau47[[#This Row],[COMMAND]]="","",IF('[1]Bar history'!$AA$33=1,1,"")))</f>
        <v>1</v>
      </c>
      <c r="BN100" s="9">
        <f>IFERROR(IFERROR(_xlfn.XLOOKUP(Tableau47[[#This Row],[COMMENTAIRE]],[1]!Tableau4849[IDENTITE],[1]!Tableau4849[0,5]),0),"")</f>
        <v>0</v>
      </c>
      <c r="BO100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0" s="9" t="s">
        <v>60</v>
      </c>
      <c r="BQ100" s="9" t="s">
        <v>75</v>
      </c>
      <c r="BR100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0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0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0" s="9" t="s">
        <v>60</v>
      </c>
      <c r="BV100" s="9" t="s">
        <v>75</v>
      </c>
      <c r="BW100" s="9" t="e">
        <f>IF(Tableau47[[#This Row],[INDEX]]&lt;3,"",IF(Tableau47[[#This Row],[COMMAND]]="","",([1]FSI_TB!$F$12/10)*(Tableau47[[#This Row],[LOT]]/$BW$30)))</f>
        <v>#DIV/0!</v>
      </c>
      <c r="BX100" s="9" t="e">
        <f>IF(Tableau47[[#This Row],[INDEX]]&lt;3,"",IF(Tableau47[[#This Row],[COMMAND]]="","",-([1]FSI_TB!$D$12/10)*(Tableau47[[#This Row],[LOT]]/$BW$30)))</f>
        <v>#DIV/0!</v>
      </c>
      <c r="BY100" s="9" t="s">
        <v>97</v>
      </c>
      <c r="BZ100" s="9" t="str">
        <f>IF(AND(Tableau47[[#This Row],[CLOTURE]]="REPOSITIONNER"),"OK",IF(AND(Tableau47[[#This Row],[CLOTURE]]="GAGNANT"),"KO",IF(Tableau47[[#This Row],[NON]]="NON","NON","")))</f>
        <v>NON</v>
      </c>
      <c r="CA100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00" s="9" t="str">
        <f>IFERROR(_xlfn.XLOOKUP(Tableau47[[#This Row],[COMMENTAIRE]],'[1]Tickets (2)'!$J$6:$J$805,'[1]Tickets (2)'!$F$6:$F$805),"")</f>
        <v/>
      </c>
      <c r="CC100" s="9">
        <f>IF(Tableau47[[#This Row],[INDEX]]&lt;3,"",IF(Tableau47[[#This Row],[COMMAND]]="","",Tableau47[[#This Row],[LOT]]))</f>
        <v>4000</v>
      </c>
      <c r="CD100" s="9">
        <f>IF(Tableau47[[#This Row],[INDEX]]&lt;3,"",IF(Tableau47[[#This Row],[COMMAND]]="","",IFERROR(_xlfn.XLOOKUP(Tableau47[[#This Row],[COMMENTAIRE]],[1]!Tableau4849[IDENTITE],[1]!Tableau4849[0,5]),0)))</f>
        <v>0</v>
      </c>
      <c r="CE10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0" s="9" t="str" cm="1">
        <f t="array" ref="CG100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0" s="9"/>
      <c r="CI100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0" s="9"/>
      <c r="CK100" s="21"/>
      <c r="CL100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0" s="9"/>
      <c r="CN100" s="9" t="str">
        <f>IF(Tableau47[[#This Row],[INDEX]]&lt;3,"",IF(Tableau47[[#This Row],[COMMAND]]="","",IF(AND(Tableau47[[#This Row],[EN ATTENTES]]="NON",Tableau47[[#This Row],[EN COURS]]&lt;&gt;""),"OK","STOP")))</f>
        <v>STOP</v>
      </c>
      <c r="CO100" s="19">
        <f>Tableau47[[#This Row],[Cst TIME]]</f>
        <v>44923.307847916665</v>
      </c>
      <c r="CP100" s="9">
        <f>[1]analos!$Q$237</f>
        <v>926507</v>
      </c>
      <c r="CQ100" s="9" t="str">
        <f>[1]FSI_TB!$F$3</f>
        <v>EURUSD</v>
      </c>
      <c r="CR100" s="9" t="str">
        <f>Tableau47[[#This Row],[GO1]]</f>
        <v>SELL</v>
      </c>
      <c r="CS100" s="9" t="str">
        <f>Tableau47[[#This Row],[PRICE]]</f>
        <v>1.06416</v>
      </c>
      <c r="CT100" s="9">
        <f>Tableau47[[#This Row],[LOT]]</f>
        <v>4000</v>
      </c>
      <c r="CU100" s="9" t="str">
        <f>Tableau47[[#This Row],[COMMENTAIRE]]</f>
        <v>1 RSRS S 1.06419 M1M1</v>
      </c>
      <c r="CV100" s="9"/>
      <c r="CW100" s="9">
        <v>1</v>
      </c>
      <c r="CX100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0" s="9">
        <f t="shared" ca="1" si="1"/>
        <v>44929.316958449075</v>
      </c>
    </row>
    <row r="101" spans="3:103" ht="15.75" x14ac:dyDescent="0.25">
      <c r="C101" s="8"/>
      <c r="D101" s="9"/>
      <c r="L101" s="9">
        <v>69</v>
      </c>
      <c r="M101" s="9" t="s">
        <v>132</v>
      </c>
      <c r="N101" s="9" t="s">
        <v>14</v>
      </c>
      <c r="O101" s="8" t="s">
        <v>227</v>
      </c>
      <c r="P101" s="9" t="s">
        <v>0</v>
      </c>
      <c r="Q101" s="9">
        <v>4000</v>
      </c>
      <c r="R10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1" s="9" t="str">
        <f>IF(AND(ISNUMBER(SEARCH("BUY",Tableau47[[#This Row],[COMMAND]]))),"BUY",IF(AND(ISNUMBER(SEARCH("SELL",Tableau47[[#This Row],[COMMAND]]))),"SELL",""))</f>
        <v>SELL</v>
      </c>
      <c r="T101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1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1" s="9">
        <v>925832</v>
      </c>
      <c r="W101" s="22">
        <v>44923.305590046293</v>
      </c>
      <c r="X101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1" s="9">
        <f>IFERROR(VALUE(SUBSTITUTE(Tableau47[[#This Row],[PRICE]],".",",")),"")</f>
        <v>1.06396</v>
      </c>
      <c r="Z101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1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1" s="9" t="str">
        <f>IF(IFERROR(_xlfn.XLOOKUP(Tableau47[[#This Row],[COMMENTAIRE]],'[1]Tickets (2)'!$J$6:$J$805,'[1]Tickets (2)'!$J$6:$J$805),"")&lt;&gt;"",1,"")</f>
        <v/>
      </c>
      <c r="AC101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1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1" s="9" t="str">
        <f>IFERROR(_xlfn.XLOOKUP(Tableau47[[#This Row],[INDEX]],Tableau47[COMPTE],Tableau47[COMPTE]),"")</f>
        <v/>
      </c>
      <c r="AF101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1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1" s="17" t="str">
        <f>IF(Tableau47[[#This Row],[COMMAND]]="BUYSTOP",IFERROR(ABS(Tableau47[[#This Row],[GO7]]-'[1]Deal ticket'!$B$15),""),"")</f>
        <v/>
      </c>
      <c r="AI101" s="9">
        <f>IF(Tableau47[[#This Row],[COMMAND]]="SELLSTOP",IFERROR(ABS(Tableau47[[#This Row],[GO7]]-'[1]Deal ticket'!$B$16),""),"")</f>
        <v>1.6199999999999548E-3</v>
      </c>
      <c r="AJ101" s="9" t="str">
        <f>IF(IFERROR(_xlfn.XLOOKUP(Tableau47[[#This Row],[COMMENTAIRE]],'[1]Tickets (2)'!$J$6:$J$805,'[1]Tickets (2)'!$J$6:$J$805),"")&lt;&gt;"",1,"")</f>
        <v/>
      </c>
      <c r="AK101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1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1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1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1.06396</v>
      </c>
      <c r="AO101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1" s="9"/>
      <c r="AQ101" s="9" t="str">
        <f>IFERROR(_xlfn.XLOOKUP(Tableau47[[#This Row],[COMMENTAIRE]],'[1]Tickets (2)'!$J$6:$J$805,'[1]Tickets (2)'!$C$6:$C$805),"")</f>
        <v/>
      </c>
      <c r="AR101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101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1" s="9" t="str">
        <f>IF(Tableau47[[#This Row],[GOUBLOP]]=1,Tableau47[[#This Row],[COMMENTAIRE]],"")</f>
        <v/>
      </c>
      <c r="AU101" s="9"/>
      <c r="AV101" s="9" t="str">
        <f>IFERROR(IF(_xlfn.XLOOKUP(Tableau47[[#This Row],[GOUBLOP2]],[1]!Tableau4849[ATTEINT],[1]!Tableau4849[ATTEINT])&lt;&gt;"",1,""),"")</f>
        <v/>
      </c>
      <c r="AW101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1" s="9" t="str">
        <f>IF(Tableau47[[#This Row],[COMMAND]]="","",IF(Tableau47[[#This Row],[INDEX]]&lt;3,"",LEFT(Tableau47[[#This Row],[COMMENTAIRE]],LEN(Tableau47[[#This Row],[COMMENTAIRE]])-2)))</f>
        <v>1 RSRS S 1.06397 M1</v>
      </c>
      <c r="AY101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1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1" s="9" t="str">
        <f>IF(Tableau47[[#This Row],[INDEX]]&lt;3,"",IF(Tableau47[[#This Row],[COMMAND]]="","",IFERROR(Tableau47[[#This Row],[DIS_BUY]]*$AX$30,"")))</f>
        <v/>
      </c>
      <c r="BB101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1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10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1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1" s="9" t="str">
        <f>IF(AND(Tableau47[[#This Row],[GO]]="GO",ISNUMBER(SEARCH("BUY",Tableau47[[#This Row],[COMMAND]]))),1,"")</f>
        <v/>
      </c>
      <c r="BH101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1" s="9" t="str">
        <f>IF(OR(Tableau47[[#This Row],[GLOBAL BUY]]=1),Tableau47[[#This Row],[COMMENTAIRE]],"")</f>
        <v/>
      </c>
      <c r="BJ101" s="9" t="str">
        <f>IF(OR(Tableau47[[#This Row],[GLOBAL SELL]]=1),Tableau47[[#This Row],[COMMENTAIRE]],"")</f>
        <v/>
      </c>
      <c r="BK101" s="9">
        <f>IF(Tableau47[[#This Row],[INDEX]]&lt;3,"",IF(Tableau47[[#This Row],[COMMAND]]="","",SUMIFS(Tableau47[COMMENTAIRE],Tableau47[COMMENTAIRE],Tableau47[[#This Row],[COMMENTAIRE]])))</f>
        <v>0</v>
      </c>
      <c r="BL101" s="9" t="str">
        <f>IF(IFERROR(_xlfn.XLOOKUP(Tableau47[[#This Row],[COMMENTAIRE]],'[1]Tickets (2)'!$J$6:$J$805,'[1]Tickets (2)'!$J$6:$J$805),"")&lt;&gt;"",1,"")</f>
        <v/>
      </c>
      <c r="BM101" s="9">
        <f>IF(Tableau47[[#This Row],[INDEX]]&lt;3,"",IF(Tableau47[[#This Row],[COMMAND]]="","",IF('[1]Bar history'!$AA$33=1,1,"")))</f>
        <v>1</v>
      </c>
      <c r="BN101" s="9">
        <f>IFERROR(IFERROR(_xlfn.XLOOKUP(Tableau47[[#This Row],[COMMENTAIRE]],[1]!Tableau4849[IDENTITE],[1]!Tableau4849[0,5]),0),"")</f>
        <v>0</v>
      </c>
      <c r="BO101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1" s="9" t="s">
        <v>60</v>
      </c>
      <c r="BQ101" s="9" t="s">
        <v>75</v>
      </c>
      <c r="BR101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1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1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1" s="9" t="s">
        <v>60</v>
      </c>
      <c r="BV101" s="9" t="s">
        <v>75</v>
      </c>
      <c r="BW101" s="9" t="e">
        <f>IF(Tableau47[[#This Row],[INDEX]]&lt;3,"",IF(Tableau47[[#This Row],[COMMAND]]="","",([1]FSI_TB!$F$12/10)*(Tableau47[[#This Row],[LOT]]/$BW$30)))</f>
        <v>#DIV/0!</v>
      </c>
      <c r="BX101" s="9" t="e">
        <f>IF(Tableau47[[#This Row],[INDEX]]&lt;3,"",IF(Tableau47[[#This Row],[COMMAND]]="","",-([1]FSI_TB!$D$12/10)*(Tableau47[[#This Row],[LOT]]/$BW$30)))</f>
        <v>#DIV/0!</v>
      </c>
      <c r="BY101" s="9" t="s">
        <v>97</v>
      </c>
      <c r="BZ101" s="9" t="str">
        <f>IF(AND(Tableau47[[#This Row],[CLOTURE]]="REPOSITIONNER"),"OK",IF(AND(Tableau47[[#This Row],[CLOTURE]]="GAGNANT"),"KO",IF(Tableau47[[#This Row],[NON]]="NON","NON","")))</f>
        <v>NON</v>
      </c>
      <c r="CA101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01" s="9" t="str">
        <f>IFERROR(_xlfn.XLOOKUP(Tableau47[[#This Row],[COMMENTAIRE]],'[1]Tickets (2)'!$J$6:$J$805,'[1]Tickets (2)'!$F$6:$F$805),"")</f>
        <v/>
      </c>
      <c r="CC101" s="9">
        <f>IF(Tableau47[[#This Row],[INDEX]]&lt;3,"",IF(Tableau47[[#This Row],[COMMAND]]="","",Tableau47[[#This Row],[LOT]]))</f>
        <v>4000</v>
      </c>
      <c r="CD101" s="9">
        <f>IF(Tableau47[[#This Row],[INDEX]]&lt;3,"",IF(Tableau47[[#This Row],[COMMAND]]="","",IFERROR(_xlfn.XLOOKUP(Tableau47[[#This Row],[COMMENTAIRE]],[1]!Tableau4849[IDENTITE],[1]!Tableau4849[0,5]),0)))</f>
        <v>0</v>
      </c>
      <c r="CE10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1" s="9" t="str" cm="1">
        <f t="array" ref="CG10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1" s="9"/>
      <c r="CI101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1" s="9"/>
      <c r="CK101" s="21"/>
      <c r="CL101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1" s="9"/>
      <c r="CN101" s="9" t="str">
        <f>IF(Tableau47[[#This Row],[INDEX]]&lt;3,"",IF(Tableau47[[#This Row],[COMMAND]]="","",IF(AND(Tableau47[[#This Row],[EN ATTENTES]]="NON",Tableau47[[#This Row],[EN COURS]]&lt;&gt;""),"OK","STOP")))</f>
        <v>STOP</v>
      </c>
      <c r="CO101" s="19">
        <f>Tableau47[[#This Row],[Cst TIME]]</f>
        <v>44923.305590046293</v>
      </c>
      <c r="CP101" s="9">
        <f>[1]analos!$Q$237</f>
        <v>926507</v>
      </c>
      <c r="CQ101" s="9" t="str">
        <f>[1]FSI_TB!$F$3</f>
        <v>EURUSD</v>
      </c>
      <c r="CR101" s="9" t="str">
        <f>Tableau47[[#This Row],[GO1]]</f>
        <v>SELL</v>
      </c>
      <c r="CS101" s="9" t="str">
        <f>Tableau47[[#This Row],[PRICE]]</f>
        <v>1.06396</v>
      </c>
      <c r="CT101" s="9">
        <f>Tableau47[[#This Row],[LOT]]</f>
        <v>4000</v>
      </c>
      <c r="CU101" s="9" t="str">
        <f>Tableau47[[#This Row],[COMMENTAIRE]]</f>
        <v>1 RSRS S 1.06397 M1M1</v>
      </c>
      <c r="CV101" s="9"/>
      <c r="CW101" s="9">
        <v>1</v>
      </c>
      <c r="CX101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1" s="9">
        <f t="shared" ca="1" si="1"/>
        <v>44929.316958449075</v>
      </c>
    </row>
    <row r="102" spans="3:103" ht="15.75" x14ac:dyDescent="0.25">
      <c r="C102" s="8"/>
      <c r="D102" s="9"/>
      <c r="L102" s="9">
        <v>70</v>
      </c>
      <c r="M102" s="9" t="s">
        <v>132</v>
      </c>
      <c r="N102" s="9" t="s">
        <v>228</v>
      </c>
      <c r="O102" s="8" t="s">
        <v>229</v>
      </c>
      <c r="P102" s="9" t="s">
        <v>0</v>
      </c>
      <c r="Q102" s="9">
        <v>3000</v>
      </c>
      <c r="R10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2" s="9" t="str">
        <f>IF(AND(ISNUMBER(SEARCH("BUY",Tableau47[[#This Row],[COMMAND]]))),"BUY",IF(AND(ISNUMBER(SEARCH("SELL",Tableau47[[#This Row],[COMMAND]]))),"SELL",""))</f>
        <v>SELL</v>
      </c>
      <c r="T102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2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2" s="9">
        <v>925832</v>
      </c>
      <c r="W102" s="22">
        <v>44923.3036130787</v>
      </c>
      <c r="X102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2" s="9">
        <f>IFERROR(VALUE(SUBSTITUTE(Tableau47[[#This Row],[PRICE]],".",",")),"")</f>
        <v>1.06389</v>
      </c>
      <c r="Z102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2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2" s="9" t="str">
        <f>IF(IFERROR(_xlfn.XLOOKUP(Tableau47[[#This Row],[COMMENTAIRE]],'[1]Tickets (2)'!$J$6:$J$805,'[1]Tickets (2)'!$J$6:$J$805),"")&lt;&gt;"",1,"")</f>
        <v/>
      </c>
      <c r="AC102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2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2" s="9" t="str">
        <f>IFERROR(_xlfn.XLOOKUP(Tableau47[[#This Row],[INDEX]],Tableau47[COMPTE],Tableau47[COMPTE]),"")</f>
        <v/>
      </c>
      <c r="AF102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2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2" s="17" t="str">
        <f>IF(Tableau47[[#This Row],[COMMAND]]="BUYSTOP",IFERROR(ABS(Tableau47[[#This Row],[GO7]]-'[1]Deal ticket'!$B$15),""),"")</f>
        <v/>
      </c>
      <c r="AI102" s="9">
        <f>IF(Tableau47[[#This Row],[COMMAND]]="SELLSTOP",IFERROR(ABS(Tableau47[[#This Row],[GO7]]-'[1]Deal ticket'!$B$16),""),"")</f>
        <v>1.6899999999999693E-3</v>
      </c>
      <c r="AJ102" s="9" t="str">
        <f>IF(IFERROR(_xlfn.XLOOKUP(Tableau47[[#This Row],[COMMENTAIRE]],'[1]Tickets (2)'!$J$6:$J$805,'[1]Tickets (2)'!$J$6:$J$805),"")&lt;&gt;"",1,"")</f>
        <v/>
      </c>
      <c r="AK102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2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2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2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1.06389</v>
      </c>
      <c r="AO102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2" s="9"/>
      <c r="AQ102" s="9" t="str">
        <f>IFERROR(_xlfn.XLOOKUP(Tableau47[[#This Row],[COMMENTAIRE]],'[1]Tickets (2)'!$J$6:$J$805,'[1]Tickets (2)'!$C$6:$C$805),"")</f>
        <v/>
      </c>
      <c r="AR102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102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2" s="9" t="str">
        <f>IF(Tableau47[[#This Row],[GOUBLOP]]=1,Tableau47[[#This Row],[COMMENTAIRE]],"")</f>
        <v/>
      </c>
      <c r="AU102" s="9"/>
      <c r="AV102" s="9" t="str">
        <f>IFERROR(IF(_xlfn.XLOOKUP(Tableau47[[#This Row],[GOUBLOP2]],[1]!Tableau4849[ATTEINT],[1]!Tableau4849[ATTEINT])&lt;&gt;"",1,""),"")</f>
        <v/>
      </c>
      <c r="AW102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2" s="9" t="str">
        <f>IF(Tableau47[[#This Row],[COMMAND]]="","",IF(Tableau47[[#This Row],[INDEX]]&lt;3,"",LEFT(Tableau47[[#This Row],[COMMENTAIRE]],LEN(Tableau47[[#This Row],[COMMENTAIRE]])-2)))</f>
        <v>1 RSRS S 1.06389 M1</v>
      </c>
      <c r="AY102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2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2" s="9" t="str">
        <f>IF(Tableau47[[#This Row],[INDEX]]&lt;3,"",IF(Tableau47[[#This Row],[COMMAND]]="","",IFERROR(Tableau47[[#This Row],[DIS_BUY]]*$AX$30,"")))</f>
        <v/>
      </c>
      <c r="BB102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2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10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2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2" s="9" t="str">
        <f>IF(AND(Tableau47[[#This Row],[GO]]="GO",ISNUMBER(SEARCH("BUY",Tableau47[[#This Row],[COMMAND]]))),1,"")</f>
        <v/>
      </c>
      <c r="BH102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2" s="9" t="str">
        <f>IF(OR(Tableau47[[#This Row],[GLOBAL BUY]]=1),Tableau47[[#This Row],[COMMENTAIRE]],"")</f>
        <v/>
      </c>
      <c r="BJ102" s="9" t="str">
        <f>IF(OR(Tableau47[[#This Row],[GLOBAL SELL]]=1),Tableau47[[#This Row],[COMMENTAIRE]],"")</f>
        <v/>
      </c>
      <c r="BK102" s="9">
        <f>IF(Tableau47[[#This Row],[INDEX]]&lt;3,"",IF(Tableau47[[#This Row],[COMMAND]]="","",SUMIFS(Tableau47[COMMENTAIRE],Tableau47[COMMENTAIRE],Tableau47[[#This Row],[COMMENTAIRE]])))</f>
        <v>0</v>
      </c>
      <c r="BL102" s="9" t="str">
        <f>IF(IFERROR(_xlfn.XLOOKUP(Tableau47[[#This Row],[COMMENTAIRE]],'[1]Tickets (2)'!$J$6:$J$805,'[1]Tickets (2)'!$J$6:$J$805),"")&lt;&gt;"",1,"")</f>
        <v/>
      </c>
      <c r="BM102" s="9">
        <f>IF(Tableau47[[#This Row],[INDEX]]&lt;3,"",IF(Tableau47[[#This Row],[COMMAND]]="","",IF('[1]Bar history'!$AA$33=1,1,"")))</f>
        <v>1</v>
      </c>
      <c r="BN102" s="9">
        <f>IFERROR(IFERROR(_xlfn.XLOOKUP(Tableau47[[#This Row],[COMMENTAIRE]],[1]!Tableau4849[IDENTITE],[1]!Tableau4849[0,5]),0),"")</f>
        <v>0</v>
      </c>
      <c r="BO102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2" s="9" t="s">
        <v>60</v>
      </c>
      <c r="BQ102" s="9" t="s">
        <v>75</v>
      </c>
      <c r="BR102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2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2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2" s="9" t="s">
        <v>60</v>
      </c>
      <c r="BV102" s="9" t="s">
        <v>75</v>
      </c>
      <c r="BW102" s="9" t="e">
        <f>IF(Tableau47[[#This Row],[INDEX]]&lt;3,"",IF(Tableau47[[#This Row],[COMMAND]]="","",([1]FSI_TB!$F$12/10)*(Tableau47[[#This Row],[LOT]]/$BW$30)))</f>
        <v>#DIV/0!</v>
      </c>
      <c r="BX102" s="9" t="e">
        <f>IF(Tableau47[[#This Row],[INDEX]]&lt;3,"",IF(Tableau47[[#This Row],[COMMAND]]="","",-([1]FSI_TB!$D$12/10)*(Tableau47[[#This Row],[LOT]]/$BW$30)))</f>
        <v>#DIV/0!</v>
      </c>
      <c r="BY102" s="9" t="s">
        <v>97</v>
      </c>
      <c r="BZ102" s="9" t="str">
        <f>IF(AND(Tableau47[[#This Row],[CLOTURE]]="REPOSITIONNER"),"OK",IF(AND(Tableau47[[#This Row],[CLOTURE]]="GAGNANT"),"KO",IF(Tableau47[[#This Row],[NON]]="NON","NON","")))</f>
        <v>NON</v>
      </c>
      <c r="CA102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102" s="9" t="str">
        <f>IFERROR(_xlfn.XLOOKUP(Tableau47[[#This Row],[COMMENTAIRE]],'[1]Tickets (2)'!$J$6:$J$805,'[1]Tickets (2)'!$F$6:$F$805),"")</f>
        <v/>
      </c>
      <c r="CC102" s="9">
        <f>IF(Tableau47[[#This Row],[INDEX]]&lt;3,"",IF(Tableau47[[#This Row],[COMMAND]]="","",Tableau47[[#This Row],[LOT]]))</f>
        <v>3000</v>
      </c>
      <c r="CD102" s="9">
        <f>IF(Tableau47[[#This Row],[INDEX]]&lt;3,"",IF(Tableau47[[#This Row],[COMMAND]]="","",IFERROR(_xlfn.XLOOKUP(Tableau47[[#This Row],[COMMENTAIRE]],[1]!Tableau4849[IDENTITE],[1]!Tableau4849[0,5]),0)))</f>
        <v>0</v>
      </c>
      <c r="CE10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2" s="9" t="str" cm="1">
        <f t="array" ref="CG102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2" s="9"/>
      <c r="CI102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2" s="9"/>
      <c r="CK102" s="21"/>
      <c r="CL102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2" s="9"/>
      <c r="CN102" s="9" t="str">
        <f>IF(Tableau47[[#This Row],[INDEX]]&lt;3,"",IF(Tableau47[[#This Row],[COMMAND]]="","",IF(AND(Tableau47[[#This Row],[EN ATTENTES]]="NON",Tableau47[[#This Row],[EN COURS]]&lt;&gt;""),"OK","STOP")))</f>
        <v>STOP</v>
      </c>
      <c r="CO102" s="19">
        <f>Tableau47[[#This Row],[Cst TIME]]</f>
        <v>44923.3036130787</v>
      </c>
      <c r="CP102" s="9">
        <f>[1]analos!$Q$237</f>
        <v>926507</v>
      </c>
      <c r="CQ102" s="9" t="str">
        <f>[1]FSI_TB!$F$3</f>
        <v>EURUSD</v>
      </c>
      <c r="CR102" s="9" t="str">
        <f>Tableau47[[#This Row],[GO1]]</f>
        <v>SELL</v>
      </c>
      <c r="CS102" s="9" t="str">
        <f>Tableau47[[#This Row],[PRICE]]</f>
        <v>1.06389</v>
      </c>
      <c r="CT102" s="9">
        <f>Tableau47[[#This Row],[LOT]]</f>
        <v>3000</v>
      </c>
      <c r="CU102" s="9" t="str">
        <f>Tableau47[[#This Row],[COMMENTAIRE]]</f>
        <v>1 RSRS S 1.06389 M1M1</v>
      </c>
      <c r="CV102" s="9"/>
      <c r="CW102" s="9">
        <v>1</v>
      </c>
      <c r="CX102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2" s="9">
        <f t="shared" ca="1" si="1"/>
        <v>44929.316958449075</v>
      </c>
    </row>
    <row r="103" spans="3:103" ht="15.75" x14ac:dyDescent="0.25">
      <c r="C103" s="8"/>
      <c r="D103" s="9"/>
      <c r="L103" s="9">
        <v>71</v>
      </c>
      <c r="M103" s="9" t="s">
        <v>132</v>
      </c>
      <c r="N103" s="9" t="s">
        <v>230</v>
      </c>
      <c r="O103" s="8" t="s">
        <v>231</v>
      </c>
      <c r="P103" s="9" t="s">
        <v>0</v>
      </c>
      <c r="Q103" s="9">
        <v>3000</v>
      </c>
      <c r="R10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3" s="9" t="str">
        <f>IF(AND(ISNUMBER(SEARCH("BUY",Tableau47[[#This Row],[COMMAND]]))),"BUY",IF(AND(ISNUMBER(SEARCH("SELL",Tableau47[[#This Row],[COMMAND]]))),"SELL",""))</f>
        <v>SELL</v>
      </c>
      <c r="T103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3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3" s="9">
        <v>925832</v>
      </c>
      <c r="W103" s="22">
        <v>44923.303336574078</v>
      </c>
      <c r="X103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3" s="9">
        <f>IFERROR(VALUE(SUBSTITUTE(Tableau47[[#This Row],[PRICE]],".",",")),"")</f>
        <v>1.0638399999999999</v>
      </c>
      <c r="Z103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3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3" s="9" t="str">
        <f>IF(IFERROR(_xlfn.XLOOKUP(Tableau47[[#This Row],[COMMENTAIRE]],'[1]Tickets (2)'!$J$6:$J$805,'[1]Tickets (2)'!$J$6:$J$805),"")&lt;&gt;"",1,"")</f>
        <v/>
      </c>
      <c r="AC103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3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3" s="9" t="str">
        <f>IFERROR(_xlfn.XLOOKUP(Tableau47[[#This Row],[INDEX]],Tableau47[COMPTE],Tableau47[COMPTE]),"")</f>
        <v/>
      </c>
      <c r="AF103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3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3" s="17" t="str">
        <f>IF(Tableau47[[#This Row],[COMMAND]]="BUYSTOP",IFERROR(ABS(Tableau47[[#This Row],[GO7]]-'[1]Deal ticket'!$B$15),""),"")</f>
        <v/>
      </c>
      <c r="AI103" s="9">
        <f>IF(Tableau47[[#This Row],[COMMAND]]="SELLSTOP",IFERROR(ABS(Tableau47[[#This Row],[GO7]]-'[1]Deal ticket'!$B$16),""),"")</f>
        <v>1.7400000000000748E-3</v>
      </c>
      <c r="AJ103" s="9" t="str">
        <f>IF(IFERROR(_xlfn.XLOOKUP(Tableau47[[#This Row],[COMMENTAIRE]],'[1]Tickets (2)'!$J$6:$J$805,'[1]Tickets (2)'!$J$6:$J$805),"")&lt;&gt;"",1,"")</f>
        <v/>
      </c>
      <c r="AK103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3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3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3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1.0638399999999999</v>
      </c>
      <c r="AO103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3" s="9"/>
      <c r="AQ103" s="9" t="str">
        <f>IFERROR(_xlfn.XLOOKUP(Tableau47[[#This Row],[COMMENTAIRE]],'[1]Tickets (2)'!$J$6:$J$805,'[1]Tickets (2)'!$C$6:$C$805),"")</f>
        <v/>
      </c>
      <c r="AR103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103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3" s="9" t="str">
        <f>IF(Tableau47[[#This Row],[GOUBLOP]]=1,Tableau47[[#This Row],[COMMENTAIRE]],"")</f>
        <v/>
      </c>
      <c r="AU103" s="9"/>
      <c r="AV103" s="9" t="str">
        <f>IFERROR(IF(_xlfn.XLOOKUP(Tableau47[[#This Row],[GOUBLOP2]],[1]!Tableau4849[ATTEINT],[1]!Tableau4849[ATTEINT])&lt;&gt;"",1,""),"")</f>
        <v/>
      </c>
      <c r="AW103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3" s="9" t="str">
        <f>IF(Tableau47[[#This Row],[COMMAND]]="","",IF(Tableau47[[#This Row],[INDEX]]&lt;3,"",LEFT(Tableau47[[#This Row],[COMMENTAIRE]],LEN(Tableau47[[#This Row],[COMMENTAIRE]])-2)))</f>
        <v>1 RSRS S 1.06386 M1</v>
      </c>
      <c r="AY103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3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3" s="9" t="str">
        <f>IF(Tableau47[[#This Row],[INDEX]]&lt;3,"",IF(Tableau47[[#This Row],[COMMAND]]="","",IFERROR(Tableau47[[#This Row],[DIS_BUY]]*$AX$30,"")))</f>
        <v/>
      </c>
      <c r="BB103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3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10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3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3" s="9" t="str">
        <f>IF(AND(Tableau47[[#This Row],[GO]]="GO",ISNUMBER(SEARCH("BUY",Tableau47[[#This Row],[COMMAND]]))),1,"")</f>
        <v/>
      </c>
      <c r="BH103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3" s="9" t="str">
        <f>IF(OR(Tableau47[[#This Row],[GLOBAL BUY]]=1),Tableau47[[#This Row],[COMMENTAIRE]],"")</f>
        <v/>
      </c>
      <c r="BJ103" s="9" t="str">
        <f>IF(OR(Tableau47[[#This Row],[GLOBAL SELL]]=1),Tableau47[[#This Row],[COMMENTAIRE]],"")</f>
        <v/>
      </c>
      <c r="BK103" s="9">
        <f>IF(Tableau47[[#This Row],[INDEX]]&lt;3,"",IF(Tableau47[[#This Row],[COMMAND]]="","",SUMIFS(Tableau47[COMMENTAIRE],Tableau47[COMMENTAIRE],Tableau47[[#This Row],[COMMENTAIRE]])))</f>
        <v>0</v>
      </c>
      <c r="BL103" s="9" t="str">
        <f>IF(IFERROR(_xlfn.XLOOKUP(Tableau47[[#This Row],[COMMENTAIRE]],'[1]Tickets (2)'!$J$6:$J$805,'[1]Tickets (2)'!$J$6:$J$805),"")&lt;&gt;"",1,"")</f>
        <v/>
      </c>
      <c r="BM103" s="9">
        <f>IF(Tableau47[[#This Row],[INDEX]]&lt;3,"",IF(Tableau47[[#This Row],[COMMAND]]="","",IF('[1]Bar history'!$AA$33=1,1,"")))</f>
        <v>1</v>
      </c>
      <c r="BN103" s="9">
        <f>IFERROR(IFERROR(_xlfn.XLOOKUP(Tableau47[[#This Row],[COMMENTAIRE]],[1]!Tableau4849[IDENTITE],[1]!Tableau4849[0,5]),0),"")</f>
        <v>0</v>
      </c>
      <c r="BO103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3" s="9" t="s">
        <v>60</v>
      </c>
      <c r="BQ103" s="9" t="s">
        <v>75</v>
      </c>
      <c r="BR103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3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3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3" s="9" t="s">
        <v>60</v>
      </c>
      <c r="BV103" s="9" t="s">
        <v>75</v>
      </c>
      <c r="BW103" s="9" t="e">
        <f>IF(Tableau47[[#This Row],[INDEX]]&lt;3,"",IF(Tableau47[[#This Row],[COMMAND]]="","",([1]FSI_TB!$F$12/10)*(Tableau47[[#This Row],[LOT]]/$BW$30)))</f>
        <v>#DIV/0!</v>
      </c>
      <c r="BX103" s="9" t="e">
        <f>IF(Tableau47[[#This Row],[INDEX]]&lt;3,"",IF(Tableau47[[#This Row],[COMMAND]]="","",-([1]FSI_TB!$D$12/10)*(Tableau47[[#This Row],[LOT]]/$BW$30)))</f>
        <v>#DIV/0!</v>
      </c>
      <c r="BY103" s="9" t="s">
        <v>97</v>
      </c>
      <c r="BZ103" s="9" t="str">
        <f>IF(AND(Tableau47[[#This Row],[CLOTURE]]="REPOSITIONNER"),"OK",IF(AND(Tableau47[[#This Row],[CLOTURE]]="GAGNANT"),"KO",IF(Tableau47[[#This Row],[NON]]="NON","NON","")))</f>
        <v>NON</v>
      </c>
      <c r="CA103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103" s="9" t="str">
        <f>IFERROR(_xlfn.XLOOKUP(Tableau47[[#This Row],[COMMENTAIRE]],'[1]Tickets (2)'!$J$6:$J$805,'[1]Tickets (2)'!$F$6:$F$805),"")</f>
        <v/>
      </c>
      <c r="CC103" s="9">
        <f>IF(Tableau47[[#This Row],[INDEX]]&lt;3,"",IF(Tableau47[[#This Row],[COMMAND]]="","",Tableau47[[#This Row],[LOT]]))</f>
        <v>3000</v>
      </c>
      <c r="CD103" s="9">
        <f>IF(Tableau47[[#This Row],[INDEX]]&lt;3,"",IF(Tableau47[[#This Row],[COMMAND]]="","",IFERROR(_xlfn.XLOOKUP(Tableau47[[#This Row],[COMMENTAIRE]],[1]!Tableau4849[IDENTITE],[1]!Tableau4849[0,5]),0)))</f>
        <v>0</v>
      </c>
      <c r="CE10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3" s="9" t="str" cm="1">
        <f t="array" ref="CG103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3" s="9"/>
      <c r="CI103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3" s="9"/>
      <c r="CK103" s="21"/>
      <c r="CL103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3" s="9"/>
      <c r="CN103" s="9" t="str">
        <f>IF(Tableau47[[#This Row],[INDEX]]&lt;3,"",IF(Tableau47[[#This Row],[COMMAND]]="","",IF(AND(Tableau47[[#This Row],[EN ATTENTES]]="NON",Tableau47[[#This Row],[EN COURS]]&lt;&gt;""),"OK","STOP")))</f>
        <v>STOP</v>
      </c>
      <c r="CO103" s="19">
        <f>Tableau47[[#This Row],[Cst TIME]]</f>
        <v>44923.303336574078</v>
      </c>
      <c r="CP103" s="9">
        <f>[1]analos!$Q$237</f>
        <v>926507</v>
      </c>
      <c r="CQ103" s="9" t="str">
        <f>[1]FSI_TB!$F$3</f>
        <v>EURUSD</v>
      </c>
      <c r="CR103" s="9" t="str">
        <f>Tableau47[[#This Row],[GO1]]</f>
        <v>SELL</v>
      </c>
      <c r="CS103" s="9" t="str">
        <f>Tableau47[[#This Row],[PRICE]]</f>
        <v>1.06384</v>
      </c>
      <c r="CT103" s="9">
        <f>Tableau47[[#This Row],[LOT]]</f>
        <v>3000</v>
      </c>
      <c r="CU103" s="9" t="str">
        <f>Tableau47[[#This Row],[COMMENTAIRE]]</f>
        <v>1 RSRS S 1.06386 M1M1</v>
      </c>
      <c r="CV103" s="9"/>
      <c r="CW103" s="9">
        <v>1</v>
      </c>
      <c r="CX103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3" s="9">
        <f t="shared" ca="1" si="1"/>
        <v>44929.316958449075</v>
      </c>
    </row>
    <row r="104" spans="3:103" ht="15.75" x14ac:dyDescent="0.25">
      <c r="C104" s="8"/>
      <c r="D104" s="9"/>
      <c r="L104" s="9">
        <v>72</v>
      </c>
      <c r="M104" s="9" t="s">
        <v>132</v>
      </c>
      <c r="N104" s="9" t="s">
        <v>232</v>
      </c>
      <c r="O104" s="8" t="s">
        <v>233</v>
      </c>
      <c r="P104" s="9" t="s">
        <v>0</v>
      </c>
      <c r="Q104" s="9">
        <v>4000</v>
      </c>
      <c r="R10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4" s="9" t="str">
        <f>IF(AND(ISNUMBER(SEARCH("BUY",Tableau47[[#This Row],[COMMAND]]))),"BUY",IF(AND(ISNUMBER(SEARCH("SELL",Tableau47[[#This Row],[COMMAND]]))),"SELL",""))</f>
        <v>SELL</v>
      </c>
      <c r="T104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4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4" s="9">
        <v>925832</v>
      </c>
      <c r="W104" s="22">
        <v>44923.30309548611</v>
      </c>
      <c r="X104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4" s="9">
        <f>IFERROR(VALUE(SUBSTITUTE(Tableau47[[#This Row],[PRICE]],".",",")),"")</f>
        <v>1.0638099999999999</v>
      </c>
      <c r="Z104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4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4" s="9" t="str">
        <f>IF(IFERROR(_xlfn.XLOOKUP(Tableau47[[#This Row],[COMMENTAIRE]],'[1]Tickets (2)'!$J$6:$J$805,'[1]Tickets (2)'!$J$6:$J$805),"")&lt;&gt;"",1,"")</f>
        <v/>
      </c>
      <c r="AC104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4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4" s="9" t="str">
        <f>IFERROR(_xlfn.XLOOKUP(Tableau47[[#This Row],[INDEX]],Tableau47[COMPTE],Tableau47[COMPTE]),"")</f>
        <v/>
      </c>
      <c r="AF104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4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4" s="17" t="str">
        <f>IF(Tableau47[[#This Row],[COMMAND]]="BUYSTOP",IFERROR(ABS(Tableau47[[#This Row],[GO7]]-'[1]Deal ticket'!$B$15),""),"")</f>
        <v/>
      </c>
      <c r="AI104" s="9">
        <f>IF(Tableau47[[#This Row],[COMMAND]]="SELLSTOP",IFERROR(ABS(Tableau47[[#This Row],[GO7]]-'[1]Deal ticket'!$B$16),""),"")</f>
        <v>1.7700000000000493E-3</v>
      </c>
      <c r="AJ104" s="9" t="str">
        <f>IF(IFERROR(_xlfn.XLOOKUP(Tableau47[[#This Row],[COMMENTAIRE]],'[1]Tickets (2)'!$J$6:$J$805,'[1]Tickets (2)'!$J$6:$J$805),"")&lt;&gt;"",1,"")</f>
        <v/>
      </c>
      <c r="AK104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4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4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4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1.0638099999999999</v>
      </c>
      <c r="AO104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4" s="9"/>
      <c r="AQ104" s="9" t="str">
        <f>IFERROR(_xlfn.XLOOKUP(Tableau47[[#This Row],[COMMENTAIRE]],'[1]Tickets (2)'!$J$6:$J$805,'[1]Tickets (2)'!$C$6:$C$805),"")</f>
        <v/>
      </c>
      <c r="AR104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104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4" s="9" t="str">
        <f>IF(Tableau47[[#This Row],[GOUBLOP]]=1,Tableau47[[#This Row],[COMMENTAIRE]],"")</f>
        <v/>
      </c>
      <c r="AU104" s="9"/>
      <c r="AV104" s="9" t="str">
        <f>IFERROR(IF(_xlfn.XLOOKUP(Tableau47[[#This Row],[GOUBLOP2]],[1]!Tableau4849[ATTEINT],[1]!Tableau4849[ATTEINT])&lt;&gt;"",1,""),"")</f>
        <v/>
      </c>
      <c r="AW104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4" s="9" t="str">
        <f>IF(Tableau47[[#This Row],[COMMAND]]="","",IF(Tableau47[[#This Row],[INDEX]]&lt;3,"",LEFT(Tableau47[[#This Row],[COMMENTAIRE]],LEN(Tableau47[[#This Row],[COMMENTAIRE]])-2)))</f>
        <v>1 RSRS S 1.06382 M1</v>
      </c>
      <c r="AY104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4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4" s="9" t="str">
        <f>IF(Tableau47[[#This Row],[INDEX]]&lt;3,"",IF(Tableau47[[#This Row],[COMMAND]]="","",IFERROR(Tableau47[[#This Row],[DIS_BUY]]*$AX$30,"")))</f>
        <v/>
      </c>
      <c r="BB104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4" s="9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>2</v>
      </c>
      <c r="BD10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4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4" s="9" t="str">
        <f>IF(AND(Tableau47[[#This Row],[GO]]="GO",ISNUMBER(SEARCH("BUY",Tableau47[[#This Row],[COMMAND]]))),1,"")</f>
        <v/>
      </c>
      <c r="BH104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4" s="9" t="str">
        <f>IF(OR(Tableau47[[#This Row],[GLOBAL BUY]]=1),Tableau47[[#This Row],[COMMENTAIRE]],"")</f>
        <v/>
      </c>
      <c r="BJ104" s="9" t="str">
        <f>IF(OR(Tableau47[[#This Row],[GLOBAL SELL]]=1),Tableau47[[#This Row],[COMMENTAIRE]],"")</f>
        <v/>
      </c>
      <c r="BK104" s="9">
        <f>IF(Tableau47[[#This Row],[INDEX]]&lt;3,"",IF(Tableau47[[#This Row],[COMMAND]]="","",SUMIFS(Tableau47[COMMENTAIRE],Tableau47[COMMENTAIRE],Tableau47[[#This Row],[COMMENTAIRE]])))</f>
        <v>0</v>
      </c>
      <c r="BL104" s="9" t="str">
        <f>IF(IFERROR(_xlfn.XLOOKUP(Tableau47[[#This Row],[COMMENTAIRE]],'[1]Tickets (2)'!$J$6:$J$805,'[1]Tickets (2)'!$J$6:$J$805),"")&lt;&gt;"",1,"")</f>
        <v/>
      </c>
      <c r="BM104" s="9">
        <f>IF(Tableau47[[#This Row],[INDEX]]&lt;3,"",IF(Tableau47[[#This Row],[COMMAND]]="","",IF('[1]Bar history'!$AA$33=1,1,"")))</f>
        <v>1</v>
      </c>
      <c r="BN104" s="9">
        <f>IFERROR(IFERROR(_xlfn.XLOOKUP(Tableau47[[#This Row],[COMMENTAIRE]],[1]!Tableau4849[IDENTITE],[1]!Tableau4849[0,5]),0),"")</f>
        <v>0</v>
      </c>
      <c r="BO104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4" s="9" t="s">
        <v>60</v>
      </c>
      <c r="BQ104" s="9" t="s">
        <v>75</v>
      </c>
      <c r="BR104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4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4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4" s="9" t="s">
        <v>60</v>
      </c>
      <c r="BV104" s="9" t="s">
        <v>75</v>
      </c>
      <c r="BW104" s="9" t="e">
        <f>IF(Tableau47[[#This Row],[INDEX]]&lt;3,"",IF(Tableau47[[#This Row],[COMMAND]]="","",([1]FSI_TB!$F$12/10)*(Tableau47[[#This Row],[LOT]]/$BW$30)))</f>
        <v>#DIV/0!</v>
      </c>
      <c r="BX104" s="9" t="e">
        <f>IF(Tableau47[[#This Row],[INDEX]]&lt;3,"",IF(Tableau47[[#This Row],[COMMAND]]="","",-([1]FSI_TB!$D$12/10)*(Tableau47[[#This Row],[LOT]]/$BW$30)))</f>
        <v>#DIV/0!</v>
      </c>
      <c r="BY104" s="9" t="s">
        <v>97</v>
      </c>
      <c r="BZ104" s="9" t="str">
        <f>IF(AND(Tableau47[[#This Row],[CLOTURE]]="REPOSITIONNER"),"OK",IF(AND(Tableau47[[#This Row],[CLOTURE]]="GAGNANT"),"KO",IF(Tableau47[[#This Row],[NON]]="NON","NON","")))</f>
        <v>NON</v>
      </c>
      <c r="CA104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04" s="9" t="str">
        <f>IFERROR(_xlfn.XLOOKUP(Tableau47[[#This Row],[COMMENTAIRE]],'[1]Tickets (2)'!$J$6:$J$805,'[1]Tickets (2)'!$F$6:$F$805),"")</f>
        <v/>
      </c>
      <c r="CC104" s="9">
        <f>IF(Tableau47[[#This Row],[INDEX]]&lt;3,"",IF(Tableau47[[#This Row],[COMMAND]]="","",Tableau47[[#This Row],[LOT]]))</f>
        <v>4000</v>
      </c>
      <c r="CD104" s="9">
        <f>IF(Tableau47[[#This Row],[INDEX]]&lt;3,"",IF(Tableau47[[#This Row],[COMMAND]]="","",IFERROR(_xlfn.XLOOKUP(Tableau47[[#This Row],[COMMENTAIRE]],[1]!Tableau4849[IDENTITE],[1]!Tableau4849[0,5]),0)))</f>
        <v>0</v>
      </c>
      <c r="CE10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4" s="9" t="str" cm="1">
        <f t="array" ref="CG104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4" s="9"/>
      <c r="CI104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4" s="9"/>
      <c r="CK104" s="21"/>
      <c r="CL104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4" s="9"/>
      <c r="CN104" s="9" t="str">
        <f>IF(Tableau47[[#This Row],[INDEX]]&lt;3,"",IF(Tableau47[[#This Row],[COMMAND]]="","",IF(AND(Tableau47[[#This Row],[EN ATTENTES]]="NON",Tableau47[[#This Row],[EN COURS]]&lt;&gt;""),"OK","STOP")))</f>
        <v>STOP</v>
      </c>
      <c r="CO104" s="19">
        <f>Tableau47[[#This Row],[Cst TIME]]</f>
        <v>44923.30309548611</v>
      </c>
      <c r="CP104" s="9">
        <f>[1]analos!$Q$237</f>
        <v>926507</v>
      </c>
      <c r="CQ104" s="9" t="str">
        <f>[1]FSI_TB!$F$3</f>
        <v>EURUSD</v>
      </c>
      <c r="CR104" s="9" t="str">
        <f>Tableau47[[#This Row],[GO1]]</f>
        <v>SELL</v>
      </c>
      <c r="CS104" s="9" t="str">
        <f>Tableau47[[#This Row],[PRICE]]</f>
        <v>1.06381</v>
      </c>
      <c r="CT104" s="9">
        <f>Tableau47[[#This Row],[LOT]]</f>
        <v>4000</v>
      </c>
      <c r="CU104" s="9" t="str">
        <f>Tableau47[[#This Row],[COMMENTAIRE]]</f>
        <v>1 RSRS S 1.06382 M1M1</v>
      </c>
      <c r="CV104" s="9"/>
      <c r="CW104" s="9">
        <v>1</v>
      </c>
      <c r="CX104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4" s="9">
        <f t="shared" ca="1" si="1"/>
        <v>44929.316958449075</v>
      </c>
    </row>
    <row r="105" spans="3:103" ht="15.75" x14ac:dyDescent="0.25">
      <c r="C105" s="8"/>
      <c r="D105" s="9"/>
      <c r="L105" s="9">
        <v>73</v>
      </c>
      <c r="M105" s="9" t="s">
        <v>132</v>
      </c>
      <c r="N105" s="9" t="s">
        <v>234</v>
      </c>
      <c r="O105" s="8" t="s">
        <v>235</v>
      </c>
      <c r="P105" s="9" t="s">
        <v>0</v>
      </c>
      <c r="Q105" s="9">
        <v>3000</v>
      </c>
      <c r="R10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5" s="9" t="str">
        <f>IF(AND(ISNUMBER(SEARCH("BUY",Tableau47[[#This Row],[COMMAND]]))),"BUY",IF(AND(ISNUMBER(SEARCH("SELL",Tableau47[[#This Row],[COMMAND]]))),"SELL",""))</f>
        <v>SELL</v>
      </c>
      <c r="T105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5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5" s="9">
        <v>925832</v>
      </c>
      <c r="W105" s="22">
        <v>44923.30262534722</v>
      </c>
      <c r="X105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5" s="9">
        <f>IFERROR(VALUE(SUBSTITUTE(Tableau47[[#This Row],[PRICE]],".",",")),"")</f>
        <v>1.0639099999999999</v>
      </c>
      <c r="Z105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5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5" s="9" t="str">
        <f>IF(IFERROR(_xlfn.XLOOKUP(Tableau47[[#This Row],[COMMENTAIRE]],'[1]Tickets (2)'!$J$6:$J$805,'[1]Tickets (2)'!$J$6:$J$805),"")&lt;&gt;"",1,"")</f>
        <v/>
      </c>
      <c r="AC105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5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5" s="9" t="str">
        <f>IFERROR(_xlfn.XLOOKUP(Tableau47[[#This Row],[INDEX]],Tableau47[COMPTE],Tableau47[COMPTE]),"")</f>
        <v/>
      </c>
      <c r="AF105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5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5" s="17" t="str">
        <f>IF(Tableau47[[#This Row],[COMMAND]]="BUYSTOP",IFERROR(ABS(Tableau47[[#This Row],[GO7]]-'[1]Deal ticket'!$B$15),""),"")</f>
        <v/>
      </c>
      <c r="AI105" s="9">
        <f>IF(Tableau47[[#This Row],[COMMAND]]="SELLSTOP",IFERROR(ABS(Tableau47[[#This Row],[GO7]]-'[1]Deal ticket'!$B$16),""),"")</f>
        <v>1.6700000000000603E-3</v>
      </c>
      <c r="AJ105" s="9" t="str">
        <f>IF(IFERROR(_xlfn.XLOOKUP(Tableau47[[#This Row],[COMMENTAIRE]],'[1]Tickets (2)'!$J$6:$J$805,'[1]Tickets (2)'!$J$6:$J$805),"")&lt;&gt;"",1,"")</f>
        <v/>
      </c>
      <c r="AK105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5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5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5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1.0639099999999999</v>
      </c>
      <c r="AO105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5" s="9" t="s">
        <v>97</v>
      </c>
      <c r="AQ105" s="9" t="str">
        <f>IFERROR(_xlfn.XLOOKUP(Tableau47[[#This Row],[COMMENTAIRE]],'[1]Tickets (2)'!$J$6:$J$805,'[1]Tickets (2)'!$C$6:$C$805),"")</f>
        <v/>
      </c>
      <c r="AR105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05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5" s="9" t="str">
        <f>IF(Tableau47[[#This Row],[GOUBLOP]]=1,Tableau47[[#This Row],[COMMENTAIRE]],"")</f>
        <v/>
      </c>
      <c r="AU105" s="9"/>
      <c r="AV105" s="9" t="str">
        <f>IFERROR(IF(_xlfn.XLOOKUP(Tableau47[[#This Row],[GOUBLOP2]],[1]!Tableau4849[ATTEINT],[1]!Tableau4849[ATTEINT])&lt;&gt;"",1,""),"")</f>
        <v/>
      </c>
      <c r="AW105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5" s="9" t="str">
        <f>IF(Tableau47[[#This Row],[COMMAND]]="","",IF(Tableau47[[#This Row],[INDEX]]&lt;3,"",LEFT(Tableau47[[#This Row],[COMMENTAIRE]],LEN(Tableau47[[#This Row],[COMMENTAIRE]])-2)))</f>
        <v>1 RSRS S 1.06391 M1</v>
      </c>
      <c r="AY105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5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5" s="9" t="str">
        <f>IF(Tableau47[[#This Row],[INDEX]]&lt;3,"",IF(Tableau47[[#This Row],[COMMAND]]="","",IFERROR(Tableau47[[#This Row],[DIS_BUY]]*$AX$30,"")))</f>
        <v/>
      </c>
      <c r="BB105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5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0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5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5" s="9" t="str">
        <f>IF(AND(Tableau47[[#This Row],[GO]]="GO",ISNUMBER(SEARCH("BUY",Tableau47[[#This Row],[COMMAND]]))),1,"")</f>
        <v/>
      </c>
      <c r="BH105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5" s="9" t="str">
        <f>IF(OR(Tableau47[[#This Row],[GLOBAL BUY]]=1),Tableau47[[#This Row],[COMMENTAIRE]],"")</f>
        <v/>
      </c>
      <c r="BJ105" s="9" t="str">
        <f>IF(OR(Tableau47[[#This Row],[GLOBAL SELL]]=1),Tableau47[[#This Row],[COMMENTAIRE]],"")</f>
        <v/>
      </c>
      <c r="BK105" s="9">
        <f>IF(Tableau47[[#This Row],[INDEX]]&lt;3,"",IF(Tableau47[[#This Row],[COMMAND]]="","",SUMIFS(Tableau47[COMMENTAIRE],Tableau47[COMMENTAIRE],Tableau47[[#This Row],[COMMENTAIRE]])))</f>
        <v>0</v>
      </c>
      <c r="BL105" s="9" t="str">
        <f>IF(IFERROR(_xlfn.XLOOKUP(Tableau47[[#This Row],[COMMENTAIRE]],'[1]Tickets (2)'!$J$6:$J$805,'[1]Tickets (2)'!$J$6:$J$805),"")&lt;&gt;"",1,"")</f>
        <v/>
      </c>
      <c r="BM105" s="9">
        <f>IF(Tableau47[[#This Row],[INDEX]]&lt;3,"",IF(Tableau47[[#This Row],[COMMAND]]="","",IF('[1]Bar history'!$AA$33=1,1,"")))</f>
        <v>1</v>
      </c>
      <c r="BN105" s="9">
        <f>IFERROR(IFERROR(_xlfn.XLOOKUP(Tableau47[[#This Row],[COMMENTAIRE]],[1]!Tableau4849[IDENTITE],[1]!Tableau4849[0,5]),0),"")</f>
        <v>0</v>
      </c>
      <c r="BO105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5" s="9" t="str">
        <f>IF(IFERROR(_xlfn.XLOOKUP(Tableau47[[#This Row],[COMMENTAIRE]],'[1]Tickets (2)'!$J$6:$J$805,'[1]Tickets (2)'!$U$6:$U$805)," ")="","OK","")</f>
        <v/>
      </c>
      <c r="BQ105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05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5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5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5" s="9" t="str">
        <f>IF(IFERROR(_xlfn.XLOOKUP(Tableau47[[#This Row],[COMMENTAIRE]],'[1]Tickets (2)'!$J$6:$J$805,'[1]Tickets (2)'!$U$6:$U$805)," ")="","OK","")</f>
        <v/>
      </c>
      <c r="BV105" s="9" t="str">
        <f>IF(IFERROR(_xlfn.XLOOKUP(Tableau47[[#This Row],[COMMENTAIRE]],'[1]Tickets (2)'!$J$6:$J$805,'[1]Tickets (2)'!$V$6:$V$805)," ")="","OK","")</f>
        <v/>
      </c>
      <c r="BW105" s="9" t="e">
        <f>IF(Tableau47[[#This Row],[INDEX]]&lt;3,"",IF(Tableau47[[#This Row],[COMMAND]]="","",([1]FSI_TB!$F$12/10)*(Tableau47[[#This Row],[LOT]]/$BW$30)))</f>
        <v>#DIV/0!</v>
      </c>
      <c r="BX105" s="9" t="e">
        <f>IF(Tableau47[[#This Row],[INDEX]]&lt;3,"",IF(Tableau47[[#This Row],[COMMAND]]="","",-([1]FSI_TB!$D$12/10)*(Tableau47[[#This Row],[LOT]]/$BW$30)))</f>
        <v>#DIV/0!</v>
      </c>
      <c r="BY105" s="9" t="s">
        <v>97</v>
      </c>
      <c r="BZ105" s="9" t="str">
        <f>IF(AND(Tableau47[[#This Row],[CLOTURE]]="REPOSITIONNER"),"OK",IF(AND(Tableau47[[#This Row],[CLOTURE]]="GAGNANT"),"KO",IF(Tableau47[[#This Row],[NON]]="NON","NON","")))</f>
        <v>NON</v>
      </c>
      <c r="CA105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105" s="9" t="str">
        <f>IFERROR(_xlfn.XLOOKUP(Tableau47[[#This Row],[COMMENTAIRE]],'[1]Tickets (2)'!$J$6:$J$805,'[1]Tickets (2)'!$F$6:$F$805),"")</f>
        <v/>
      </c>
      <c r="CC105" s="9">
        <f>IF(Tableau47[[#This Row],[INDEX]]&lt;3,"",IF(Tableau47[[#This Row],[COMMAND]]="","",Tableau47[[#This Row],[LOT]]))</f>
        <v>3000</v>
      </c>
      <c r="CD105" s="9">
        <f>IF(Tableau47[[#This Row],[INDEX]]&lt;3,"",IF(Tableau47[[#This Row],[COMMAND]]="","",IFERROR(_xlfn.XLOOKUP(Tableau47[[#This Row],[COMMENTAIRE]],[1]!Tableau4849[IDENTITE],[1]!Tableau4849[0,5]),0)))</f>
        <v>0</v>
      </c>
      <c r="CE10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5" s="9" t="str" cm="1">
        <f t="array" ref="CG105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5" s="9"/>
      <c r="CI105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5" s="9"/>
      <c r="CK105" s="21"/>
      <c r="CL105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5" s="9"/>
      <c r="CN105" s="9" t="str">
        <f>IF(Tableau47[[#This Row],[INDEX]]&lt;3,"",IF(Tableau47[[#This Row],[COMMAND]]="","",IF(AND(Tableau47[[#This Row],[EN ATTENTES]]="NON",Tableau47[[#This Row],[EN COURS]]&lt;&gt;""),"OK","STOP")))</f>
        <v>STOP</v>
      </c>
      <c r="CO105" s="19">
        <f>Tableau47[[#This Row],[Cst TIME]]</f>
        <v>44923.30262534722</v>
      </c>
      <c r="CP105" s="9">
        <f>[1]analos!$Q$237</f>
        <v>926507</v>
      </c>
      <c r="CQ105" s="9" t="str">
        <f>[1]FSI_TB!$F$3</f>
        <v>EURUSD</v>
      </c>
      <c r="CR105" s="9" t="str">
        <f>Tableau47[[#This Row],[GO1]]</f>
        <v>SELL</v>
      </c>
      <c r="CS105" s="9" t="str">
        <f>Tableau47[[#This Row],[PRICE]]</f>
        <v>1.06391</v>
      </c>
      <c r="CT105" s="9">
        <f>Tableau47[[#This Row],[LOT]]</f>
        <v>3000</v>
      </c>
      <c r="CU105" s="9" t="str">
        <f>Tableau47[[#This Row],[COMMENTAIRE]]</f>
        <v>1 RSRS S 1.06391 M1M1</v>
      </c>
      <c r="CV105" s="9"/>
      <c r="CW105" s="9">
        <v>1</v>
      </c>
      <c r="CX105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5" s="9">
        <f t="shared" ca="1" si="1"/>
        <v>44929.316958449075</v>
      </c>
    </row>
    <row r="106" spans="3:103" ht="15.75" x14ac:dyDescent="0.25">
      <c r="C106" s="8"/>
      <c r="D106" s="9"/>
      <c r="L106" s="9">
        <v>74</v>
      </c>
      <c r="M106" s="9" t="s">
        <v>132</v>
      </c>
      <c r="N106" s="9" t="s">
        <v>18</v>
      </c>
      <c r="O106" s="8" t="s">
        <v>236</v>
      </c>
      <c r="P106" s="9" t="s">
        <v>0</v>
      </c>
      <c r="Q106" s="9">
        <v>4000</v>
      </c>
      <c r="R10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6" s="9" t="str">
        <f>IF(AND(ISNUMBER(SEARCH("BUY",Tableau47[[#This Row],[COMMAND]]))),"BUY",IF(AND(ISNUMBER(SEARCH("SELL",Tableau47[[#This Row],[COMMAND]]))),"SELL",""))</f>
        <v>SELL</v>
      </c>
      <c r="T106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6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6" s="9">
        <v>925832</v>
      </c>
      <c r="W106" s="22">
        <v>44923.127354976852</v>
      </c>
      <c r="X106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6" s="9">
        <f>IFERROR(VALUE(SUBSTITUTE(Tableau47[[#This Row],[PRICE]],".",",")),"")</f>
        <v>1.06271</v>
      </c>
      <c r="Z106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6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6" s="9" t="str">
        <f>IF(IFERROR(_xlfn.XLOOKUP(Tableau47[[#This Row],[COMMENTAIRE]],'[1]Tickets (2)'!$J$6:$J$805,'[1]Tickets (2)'!$J$6:$J$805),"")&lt;&gt;"",1,"")</f>
        <v/>
      </c>
      <c r="AC106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6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6" s="9" t="str">
        <f>IFERROR(_xlfn.XLOOKUP(Tableau47[[#This Row],[INDEX]],Tableau47[COMPTE],Tableau47[COMPTE]),"")</f>
        <v/>
      </c>
      <c r="AF106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6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6" s="17" t="str">
        <f>IF(Tableau47[[#This Row],[COMMAND]]="BUYSTOP",IFERROR(ABS(Tableau47[[#This Row],[GO7]]-'[1]Deal ticket'!$B$15),""),"")</f>
        <v/>
      </c>
      <c r="AI106" s="9">
        <f>IF(Tableau47[[#This Row],[COMMAND]]="SELLSTOP",IFERROR(ABS(Tableau47[[#This Row],[GO7]]-'[1]Deal ticket'!$B$16),""),"")</f>
        <v>2.8699999999999282E-3</v>
      </c>
      <c r="AJ106" s="9" t="str">
        <f>IF(IFERROR(_xlfn.XLOOKUP(Tableau47[[#This Row],[COMMENTAIRE]],'[1]Tickets (2)'!$J$6:$J$805,'[1]Tickets (2)'!$J$6:$J$805),"")&lt;&gt;"",1,"")</f>
        <v/>
      </c>
      <c r="AK106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6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6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6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1.06271</v>
      </c>
      <c r="AO106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6" s="9" t="s">
        <v>97</v>
      </c>
      <c r="AQ106" s="9" t="str">
        <f>IFERROR(_xlfn.XLOOKUP(Tableau47[[#This Row],[COMMENTAIRE]],'[1]Tickets (2)'!$J$6:$J$805,'[1]Tickets (2)'!$C$6:$C$805),"")</f>
        <v/>
      </c>
      <c r="AR106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06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6" s="9" t="str">
        <f>IF(Tableau47[[#This Row],[GOUBLOP]]=1,Tableau47[[#This Row],[COMMENTAIRE]],"")</f>
        <v/>
      </c>
      <c r="AU106" s="9"/>
      <c r="AV106" s="9" t="str">
        <f>IFERROR(IF(_xlfn.XLOOKUP(Tableau47[[#This Row],[GOUBLOP2]],[1]!Tableau4849[ATTEINT],[1]!Tableau4849[ATTEINT])&lt;&gt;"",1,""),"")</f>
        <v/>
      </c>
      <c r="AW106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6" s="9" t="str">
        <f>IF(Tableau47[[#This Row],[COMMAND]]="","",IF(Tableau47[[#This Row],[INDEX]]&lt;3,"",LEFT(Tableau47[[#This Row],[COMMENTAIRE]],LEN(Tableau47[[#This Row],[COMMENTAIRE]])-2)))</f>
        <v>1 RSRS S 1.06271 M1</v>
      </c>
      <c r="AY106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6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6" s="9" t="str">
        <f>IF(Tableau47[[#This Row],[INDEX]]&lt;3,"",IF(Tableau47[[#This Row],[COMMAND]]="","",IFERROR(Tableau47[[#This Row],[DIS_BUY]]*$AX$30,"")))</f>
        <v/>
      </c>
      <c r="BB106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6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0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6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6" s="9" t="str">
        <f>IF(AND(Tableau47[[#This Row],[GO]]="GO",ISNUMBER(SEARCH("BUY",Tableau47[[#This Row],[COMMAND]]))),1,"")</f>
        <v/>
      </c>
      <c r="BH106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6" s="9" t="str">
        <f>IF(OR(Tableau47[[#This Row],[GLOBAL BUY]]=1),Tableau47[[#This Row],[COMMENTAIRE]],"")</f>
        <v/>
      </c>
      <c r="BJ106" s="9" t="str">
        <f>IF(OR(Tableau47[[#This Row],[GLOBAL SELL]]=1),Tableau47[[#This Row],[COMMENTAIRE]],"")</f>
        <v/>
      </c>
      <c r="BK106" s="9">
        <f>IF(Tableau47[[#This Row],[INDEX]]&lt;3,"",IF(Tableau47[[#This Row],[COMMAND]]="","",SUMIFS(Tableau47[COMMENTAIRE],Tableau47[COMMENTAIRE],Tableau47[[#This Row],[COMMENTAIRE]])))</f>
        <v>0</v>
      </c>
      <c r="BL106" s="9" t="str">
        <f>IF(IFERROR(_xlfn.XLOOKUP(Tableau47[[#This Row],[COMMENTAIRE]],'[1]Tickets (2)'!$J$6:$J$805,'[1]Tickets (2)'!$J$6:$J$805),"")&lt;&gt;"",1,"")</f>
        <v/>
      </c>
      <c r="BM106" s="9">
        <f>IF(Tableau47[[#This Row],[INDEX]]&lt;3,"",IF(Tableau47[[#This Row],[COMMAND]]="","",IF('[1]Bar history'!$AA$33=1,1,"")))</f>
        <v>1</v>
      </c>
      <c r="BN106" s="9">
        <f>IFERROR(IFERROR(_xlfn.XLOOKUP(Tableau47[[#This Row],[COMMENTAIRE]],[1]!Tableau4849[IDENTITE],[1]!Tableau4849[0,5]),0),"")</f>
        <v>0</v>
      </c>
      <c r="BO106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6" s="9" t="str">
        <f>IF(IFERROR(_xlfn.XLOOKUP(Tableau47[[#This Row],[COMMENTAIRE]],'[1]Tickets (2)'!$J$6:$J$805,'[1]Tickets (2)'!$U$6:$U$805)," ")="","OK","")</f>
        <v/>
      </c>
      <c r="BQ106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06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6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6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6" s="9" t="str">
        <f>IF(IFERROR(_xlfn.XLOOKUP(Tableau47[[#This Row],[COMMENTAIRE]],'[1]Tickets (2)'!$J$6:$J$805,'[1]Tickets (2)'!$U$6:$U$805)," ")="","OK","")</f>
        <v/>
      </c>
      <c r="BV106" s="9" t="str">
        <f>IF(IFERROR(_xlfn.XLOOKUP(Tableau47[[#This Row],[COMMENTAIRE]],'[1]Tickets (2)'!$J$6:$J$805,'[1]Tickets (2)'!$V$6:$V$805)," ")="","OK","")</f>
        <v/>
      </c>
      <c r="BW106" s="9" t="e">
        <f>IF(Tableau47[[#This Row],[INDEX]]&lt;3,"",IF(Tableau47[[#This Row],[COMMAND]]="","",([1]FSI_TB!$F$12/10)*(Tableau47[[#This Row],[LOT]]/$BW$30)))</f>
        <v>#DIV/0!</v>
      </c>
      <c r="BX106" s="9" t="e">
        <f>IF(Tableau47[[#This Row],[INDEX]]&lt;3,"",IF(Tableau47[[#This Row],[COMMAND]]="","",-([1]FSI_TB!$D$12/10)*(Tableau47[[#This Row],[LOT]]/$BW$30)))</f>
        <v>#DIV/0!</v>
      </c>
      <c r="BY106" s="9" t="s">
        <v>97</v>
      </c>
      <c r="BZ106" s="9" t="str">
        <f>IF(AND(Tableau47[[#This Row],[CLOTURE]]="REPOSITIONNER"),"OK",IF(AND(Tableau47[[#This Row],[CLOTURE]]="GAGNANT"),"KO",IF(Tableau47[[#This Row],[NON]]="NON","NON","")))</f>
        <v>NON</v>
      </c>
      <c r="CA106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06" s="9" t="str">
        <f>IFERROR(_xlfn.XLOOKUP(Tableau47[[#This Row],[COMMENTAIRE]],'[1]Tickets (2)'!$J$6:$J$805,'[1]Tickets (2)'!$F$6:$F$805),"")</f>
        <v/>
      </c>
      <c r="CC106" s="9">
        <f>IF(Tableau47[[#This Row],[INDEX]]&lt;3,"",IF(Tableau47[[#This Row],[COMMAND]]="","",Tableau47[[#This Row],[LOT]]))</f>
        <v>4000</v>
      </c>
      <c r="CD106" s="9">
        <f>IF(Tableau47[[#This Row],[INDEX]]&lt;3,"",IF(Tableau47[[#This Row],[COMMAND]]="","",IFERROR(_xlfn.XLOOKUP(Tableau47[[#This Row],[COMMENTAIRE]],[1]!Tableau4849[IDENTITE],[1]!Tableau4849[0,5]),0)))</f>
        <v>0</v>
      </c>
      <c r="CE10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6" s="9" t="str" cm="1">
        <f t="array" ref="CG106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6" s="9"/>
      <c r="CI106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6" s="9"/>
      <c r="CK106" s="21"/>
      <c r="CL106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6" s="9"/>
      <c r="CN106" s="9" t="str">
        <f>IF(Tableau47[[#This Row],[INDEX]]&lt;3,"",IF(Tableau47[[#This Row],[COMMAND]]="","",IF(AND(Tableau47[[#This Row],[EN ATTENTES]]="NON",Tableau47[[#This Row],[EN COURS]]&lt;&gt;""),"OK","STOP")))</f>
        <v>STOP</v>
      </c>
      <c r="CO106" s="19">
        <f>Tableau47[[#This Row],[Cst TIME]]</f>
        <v>44923.127354976852</v>
      </c>
      <c r="CP106" s="9">
        <f>[1]analos!$Q$237</f>
        <v>926507</v>
      </c>
      <c r="CQ106" s="9" t="str">
        <f>[1]FSI_TB!$F$3</f>
        <v>EURUSD</v>
      </c>
      <c r="CR106" s="9" t="str">
        <f>Tableau47[[#This Row],[GO1]]</f>
        <v>SELL</v>
      </c>
      <c r="CS106" s="9" t="str">
        <f>Tableau47[[#This Row],[PRICE]]</f>
        <v>1.06271</v>
      </c>
      <c r="CT106" s="9">
        <f>Tableau47[[#This Row],[LOT]]</f>
        <v>4000</v>
      </c>
      <c r="CU106" s="9" t="str">
        <f>Tableau47[[#This Row],[COMMENTAIRE]]</f>
        <v>1 RSRS S 1.06271 M1M1</v>
      </c>
      <c r="CV106" s="9"/>
      <c r="CW106" s="9">
        <v>1</v>
      </c>
      <c r="CX106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6" s="9">
        <f t="shared" ca="1" si="1"/>
        <v>44929.316958449075</v>
      </c>
    </row>
    <row r="107" spans="3:103" ht="15.75" x14ac:dyDescent="0.25">
      <c r="C107" s="8"/>
      <c r="D107" s="9"/>
      <c r="L107" s="9">
        <v>75</v>
      </c>
      <c r="M107" s="9" t="s">
        <v>132</v>
      </c>
      <c r="N107" s="9" t="s">
        <v>18</v>
      </c>
      <c r="O107" s="8" t="s">
        <v>237</v>
      </c>
      <c r="P107" s="9" t="s">
        <v>0</v>
      </c>
      <c r="Q107" s="9">
        <v>4000</v>
      </c>
      <c r="R10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7" s="9" t="str">
        <f>IF(AND(ISNUMBER(SEARCH("BUY",Tableau47[[#This Row],[COMMAND]]))),"BUY",IF(AND(ISNUMBER(SEARCH("SELL",Tableau47[[#This Row],[COMMAND]]))),"SELL",""))</f>
        <v>SELL</v>
      </c>
      <c r="T107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7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7" s="9">
        <v>925832</v>
      </c>
      <c r="W107" s="22">
        <v>44923.127117476855</v>
      </c>
      <c r="X107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7" s="9">
        <f>IFERROR(VALUE(SUBSTITUTE(Tableau47[[#This Row],[PRICE]],".",",")),"")</f>
        <v>1.06271</v>
      </c>
      <c r="Z107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7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7" s="9" t="str">
        <f>IF(IFERROR(_xlfn.XLOOKUP(Tableau47[[#This Row],[COMMENTAIRE]],'[1]Tickets (2)'!$J$6:$J$805,'[1]Tickets (2)'!$J$6:$J$805),"")&lt;&gt;"",1,"")</f>
        <v/>
      </c>
      <c r="AC107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7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7" s="9" t="str">
        <f>IFERROR(_xlfn.XLOOKUP(Tableau47[[#This Row],[INDEX]],Tableau47[COMPTE],Tableau47[COMPTE]),"")</f>
        <v/>
      </c>
      <c r="AF107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7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7" s="17" t="str">
        <f>IF(Tableau47[[#This Row],[COMMAND]]="BUYSTOP",IFERROR(ABS(Tableau47[[#This Row],[GO7]]-'[1]Deal ticket'!$B$15),""),"")</f>
        <v/>
      </c>
      <c r="AI107" s="9">
        <f>IF(Tableau47[[#This Row],[COMMAND]]="SELLSTOP",IFERROR(ABS(Tableau47[[#This Row],[GO7]]-'[1]Deal ticket'!$B$16),""),"")</f>
        <v>2.8699999999999282E-3</v>
      </c>
      <c r="AJ107" s="9" t="str">
        <f>IF(IFERROR(_xlfn.XLOOKUP(Tableau47[[#This Row],[COMMENTAIRE]],'[1]Tickets (2)'!$J$6:$J$805,'[1]Tickets (2)'!$J$6:$J$805),"")&lt;&gt;"",1,"")</f>
        <v/>
      </c>
      <c r="AK107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7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7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7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1.06271</v>
      </c>
      <c r="AO107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7" s="9" t="s">
        <v>97</v>
      </c>
      <c r="AQ107" s="9" t="str">
        <f>IFERROR(_xlfn.XLOOKUP(Tableau47[[#This Row],[COMMENTAIRE]],'[1]Tickets (2)'!$J$6:$J$805,'[1]Tickets (2)'!$C$6:$C$805),"")</f>
        <v/>
      </c>
      <c r="AR107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07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7" s="9" t="str">
        <f>IF(Tableau47[[#This Row],[GOUBLOP]]=1,Tableau47[[#This Row],[COMMENTAIRE]],"")</f>
        <v/>
      </c>
      <c r="AU107" s="9"/>
      <c r="AV107" s="9" t="str">
        <f>IFERROR(IF(_xlfn.XLOOKUP(Tableau47[[#This Row],[GOUBLOP2]],[1]!Tableau4849[ATTEINT],[1]!Tableau4849[ATTEINT])&lt;&gt;"",1,""),"")</f>
        <v/>
      </c>
      <c r="AW107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7" s="9" t="str">
        <f>IF(Tableau47[[#This Row],[COMMAND]]="","",IF(Tableau47[[#This Row],[INDEX]]&lt;3,"",LEFT(Tableau47[[#This Row],[COMMENTAIRE]],LEN(Tableau47[[#This Row],[COMMENTAIRE]])-2)))</f>
        <v>1 RSRS S 1.06269 M1</v>
      </c>
      <c r="AY107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7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7" s="9" t="str">
        <f>IF(Tableau47[[#This Row],[INDEX]]&lt;3,"",IF(Tableau47[[#This Row],[COMMAND]]="","",IFERROR(Tableau47[[#This Row],[DIS_BUY]]*$AX$30,"")))</f>
        <v/>
      </c>
      <c r="BB107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7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0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7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7" s="9" t="str">
        <f>IF(AND(Tableau47[[#This Row],[GO]]="GO",ISNUMBER(SEARCH("BUY",Tableau47[[#This Row],[COMMAND]]))),1,"")</f>
        <v/>
      </c>
      <c r="BH107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7" s="9" t="str">
        <f>IF(OR(Tableau47[[#This Row],[GLOBAL BUY]]=1),Tableau47[[#This Row],[COMMENTAIRE]],"")</f>
        <v/>
      </c>
      <c r="BJ107" s="9" t="str">
        <f>IF(OR(Tableau47[[#This Row],[GLOBAL SELL]]=1),Tableau47[[#This Row],[COMMENTAIRE]],"")</f>
        <v/>
      </c>
      <c r="BK107" s="9">
        <f>IF(Tableau47[[#This Row],[INDEX]]&lt;3,"",IF(Tableau47[[#This Row],[COMMAND]]="","",SUMIFS(Tableau47[COMMENTAIRE],Tableau47[COMMENTAIRE],Tableau47[[#This Row],[COMMENTAIRE]])))</f>
        <v>0</v>
      </c>
      <c r="BL107" s="9" t="str">
        <f>IF(IFERROR(_xlfn.XLOOKUP(Tableau47[[#This Row],[COMMENTAIRE]],'[1]Tickets (2)'!$J$6:$J$805,'[1]Tickets (2)'!$J$6:$J$805),"")&lt;&gt;"",1,"")</f>
        <v/>
      </c>
      <c r="BM107" s="9">
        <f>IF(Tableau47[[#This Row],[INDEX]]&lt;3,"",IF(Tableau47[[#This Row],[COMMAND]]="","",IF('[1]Bar history'!$AA$33=1,1,"")))</f>
        <v>1</v>
      </c>
      <c r="BN107" s="9">
        <f>IFERROR(IFERROR(_xlfn.XLOOKUP(Tableau47[[#This Row],[COMMENTAIRE]],[1]!Tableau4849[IDENTITE],[1]!Tableau4849[0,5]),0),"")</f>
        <v>0</v>
      </c>
      <c r="BO107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7" s="9" t="str">
        <f>IF(IFERROR(_xlfn.XLOOKUP(Tableau47[[#This Row],[COMMENTAIRE]],'[1]Tickets (2)'!$J$6:$J$805,'[1]Tickets (2)'!$U$6:$U$805)," ")="","OK","")</f>
        <v/>
      </c>
      <c r="BQ107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07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7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7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7" s="9" t="str">
        <f>IF(IFERROR(_xlfn.XLOOKUP(Tableau47[[#This Row],[COMMENTAIRE]],'[1]Tickets (2)'!$J$6:$J$805,'[1]Tickets (2)'!$U$6:$U$805)," ")="","OK","")</f>
        <v/>
      </c>
      <c r="BV107" s="9" t="str">
        <f>IF(IFERROR(_xlfn.XLOOKUP(Tableau47[[#This Row],[COMMENTAIRE]],'[1]Tickets (2)'!$J$6:$J$805,'[1]Tickets (2)'!$V$6:$V$805)," ")="","OK","")</f>
        <v/>
      </c>
      <c r="BW107" s="9" t="e">
        <f>IF(Tableau47[[#This Row],[INDEX]]&lt;3,"",IF(Tableau47[[#This Row],[COMMAND]]="","",([1]FSI_TB!$F$12/10)*(Tableau47[[#This Row],[LOT]]/$BW$30)))</f>
        <v>#DIV/0!</v>
      </c>
      <c r="BX107" s="9" t="e">
        <f>IF(Tableau47[[#This Row],[INDEX]]&lt;3,"",IF(Tableau47[[#This Row],[COMMAND]]="","",-([1]FSI_TB!$D$12/10)*(Tableau47[[#This Row],[LOT]]/$BW$30)))</f>
        <v>#DIV/0!</v>
      </c>
      <c r="BY107" s="9" t="s">
        <v>97</v>
      </c>
      <c r="BZ107" s="9" t="str">
        <f>IF(AND(Tableau47[[#This Row],[CLOTURE]]="REPOSITIONNER"),"OK",IF(AND(Tableau47[[#This Row],[CLOTURE]]="GAGNANT"),"KO",IF(Tableau47[[#This Row],[NON]]="NON","NON","")))</f>
        <v>NON</v>
      </c>
      <c r="CA107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07" s="9" t="str">
        <f>IFERROR(_xlfn.XLOOKUP(Tableau47[[#This Row],[COMMENTAIRE]],'[1]Tickets (2)'!$J$6:$J$805,'[1]Tickets (2)'!$F$6:$F$805),"")</f>
        <v/>
      </c>
      <c r="CC107" s="9">
        <f>IF(Tableau47[[#This Row],[INDEX]]&lt;3,"",IF(Tableau47[[#This Row],[COMMAND]]="","",Tableau47[[#This Row],[LOT]]))</f>
        <v>4000</v>
      </c>
      <c r="CD107" s="9">
        <f>IF(Tableau47[[#This Row],[INDEX]]&lt;3,"",IF(Tableau47[[#This Row],[COMMAND]]="","",IFERROR(_xlfn.XLOOKUP(Tableau47[[#This Row],[COMMENTAIRE]],[1]!Tableau4849[IDENTITE],[1]!Tableau4849[0,5]),0)))</f>
        <v>0</v>
      </c>
      <c r="CE10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7" s="9" t="str" cm="1">
        <f t="array" ref="CG107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7" s="9"/>
      <c r="CI107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7" s="9"/>
      <c r="CK107" s="21"/>
      <c r="CL107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7" s="9"/>
      <c r="CN107" s="9" t="str">
        <f>IF(Tableau47[[#This Row],[INDEX]]&lt;3,"",IF(Tableau47[[#This Row],[COMMAND]]="","",IF(AND(Tableau47[[#This Row],[EN ATTENTES]]="NON",Tableau47[[#This Row],[EN COURS]]&lt;&gt;""),"OK","STOP")))</f>
        <v>STOP</v>
      </c>
      <c r="CO107" s="19">
        <f>Tableau47[[#This Row],[Cst TIME]]</f>
        <v>44923.127117476855</v>
      </c>
      <c r="CP107" s="9">
        <f>[1]analos!$Q$237</f>
        <v>926507</v>
      </c>
      <c r="CQ107" s="9" t="str">
        <f>[1]FSI_TB!$F$3</f>
        <v>EURUSD</v>
      </c>
      <c r="CR107" s="9" t="str">
        <f>Tableau47[[#This Row],[GO1]]</f>
        <v>SELL</v>
      </c>
      <c r="CS107" s="9" t="str">
        <f>Tableau47[[#This Row],[PRICE]]</f>
        <v>1.06271</v>
      </c>
      <c r="CT107" s="9">
        <f>Tableau47[[#This Row],[LOT]]</f>
        <v>4000</v>
      </c>
      <c r="CU107" s="9" t="str">
        <f>Tableau47[[#This Row],[COMMENTAIRE]]</f>
        <v>1 RSRS S 1.06269 M1M1</v>
      </c>
      <c r="CV107" s="9"/>
      <c r="CW107" s="9">
        <v>1</v>
      </c>
      <c r="CX107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7" s="9">
        <f t="shared" ca="1" si="1"/>
        <v>44929.316958449075</v>
      </c>
    </row>
    <row r="108" spans="3:103" ht="15.75" x14ac:dyDescent="0.25">
      <c r="C108" s="8"/>
      <c r="D108" s="9"/>
      <c r="L108" s="9">
        <v>76</v>
      </c>
      <c r="M108" s="9" t="s">
        <v>132</v>
      </c>
      <c r="N108" s="9" t="s">
        <v>238</v>
      </c>
      <c r="O108" s="8" t="s">
        <v>239</v>
      </c>
      <c r="P108" s="9" t="s">
        <v>0</v>
      </c>
      <c r="Q108" s="9">
        <v>4000</v>
      </c>
      <c r="R10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8" s="9" t="str">
        <f>IF(AND(ISNUMBER(SEARCH("BUY",Tableau47[[#This Row],[COMMAND]]))),"BUY",IF(AND(ISNUMBER(SEARCH("SELL",Tableau47[[#This Row],[COMMAND]]))),"SELL",""))</f>
        <v>SELL</v>
      </c>
      <c r="T108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8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8" s="9">
        <v>925832</v>
      </c>
      <c r="W108" s="22">
        <v>44923.126893981484</v>
      </c>
      <c r="X108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8" s="9">
        <f>IFERROR(VALUE(SUBSTITUTE(Tableau47[[#This Row],[PRICE]],".",",")),"")</f>
        <v>1.0626800000000001</v>
      </c>
      <c r="Z108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8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8" s="9" t="str">
        <f>IF(IFERROR(_xlfn.XLOOKUP(Tableau47[[#This Row],[COMMENTAIRE]],'[1]Tickets (2)'!$J$6:$J$805,'[1]Tickets (2)'!$J$6:$J$805),"")&lt;&gt;"",1,"")</f>
        <v/>
      </c>
      <c r="AC108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8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8" s="9" t="str">
        <f>IFERROR(_xlfn.XLOOKUP(Tableau47[[#This Row],[INDEX]],Tableau47[COMPTE],Tableau47[COMPTE]),"")</f>
        <v/>
      </c>
      <c r="AF108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8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8" s="17" t="str">
        <f>IF(Tableau47[[#This Row],[COMMAND]]="BUYSTOP",IFERROR(ABS(Tableau47[[#This Row],[GO7]]-'[1]Deal ticket'!$B$15),""),"")</f>
        <v/>
      </c>
      <c r="AI108" s="9">
        <f>IF(Tableau47[[#This Row],[COMMAND]]="SELLSTOP",IFERROR(ABS(Tableau47[[#This Row],[GO7]]-'[1]Deal ticket'!$B$16),""),"")</f>
        <v>2.8999999999999027E-3</v>
      </c>
      <c r="AJ108" s="9" t="str">
        <f>IF(IFERROR(_xlfn.XLOOKUP(Tableau47[[#This Row],[COMMENTAIRE]],'[1]Tickets (2)'!$J$6:$J$805,'[1]Tickets (2)'!$J$6:$J$805),"")&lt;&gt;"",1,"")</f>
        <v/>
      </c>
      <c r="AK108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8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8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8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1.0626800000000001</v>
      </c>
      <c r="AO108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8" s="9" t="s">
        <v>97</v>
      </c>
      <c r="AQ108" s="9" t="str">
        <f>IFERROR(_xlfn.XLOOKUP(Tableau47[[#This Row],[COMMENTAIRE]],'[1]Tickets (2)'!$J$6:$J$805,'[1]Tickets (2)'!$C$6:$C$805),"")</f>
        <v/>
      </c>
      <c r="AR108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08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8" s="9" t="str">
        <f>IF(Tableau47[[#This Row],[GOUBLOP]]=1,Tableau47[[#This Row],[COMMENTAIRE]],"")</f>
        <v/>
      </c>
      <c r="AU108" s="9"/>
      <c r="AV108" s="9" t="str">
        <f>IFERROR(IF(_xlfn.XLOOKUP(Tableau47[[#This Row],[GOUBLOP2]],[1]!Tableau4849[ATTEINT],[1]!Tableau4849[ATTEINT])&lt;&gt;"",1,""),"")</f>
        <v/>
      </c>
      <c r="AW108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8" s="9" t="str">
        <f>IF(Tableau47[[#This Row],[COMMAND]]="","",IF(Tableau47[[#This Row],[INDEX]]&lt;3,"",LEFT(Tableau47[[#This Row],[COMMENTAIRE]],LEN(Tableau47[[#This Row],[COMMENTAIRE]])-2)))</f>
        <v>1 RSRS S 1.06268 M1</v>
      </c>
      <c r="AY108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8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8" s="9" t="str">
        <f>IF(Tableau47[[#This Row],[INDEX]]&lt;3,"",IF(Tableau47[[#This Row],[COMMAND]]="","",IFERROR(Tableau47[[#This Row],[DIS_BUY]]*$AX$30,"")))</f>
        <v/>
      </c>
      <c r="BB108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8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0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8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8" s="9" t="str">
        <f>IF(AND(Tableau47[[#This Row],[GO]]="GO",ISNUMBER(SEARCH("BUY",Tableau47[[#This Row],[COMMAND]]))),1,"")</f>
        <v/>
      </c>
      <c r="BH108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8" s="9" t="str">
        <f>IF(OR(Tableau47[[#This Row],[GLOBAL BUY]]=1),Tableau47[[#This Row],[COMMENTAIRE]],"")</f>
        <v/>
      </c>
      <c r="BJ108" s="9" t="str">
        <f>IF(OR(Tableau47[[#This Row],[GLOBAL SELL]]=1),Tableau47[[#This Row],[COMMENTAIRE]],"")</f>
        <v/>
      </c>
      <c r="BK108" s="9">
        <f>IF(Tableau47[[#This Row],[INDEX]]&lt;3,"",IF(Tableau47[[#This Row],[COMMAND]]="","",SUMIFS(Tableau47[COMMENTAIRE],Tableau47[COMMENTAIRE],Tableau47[[#This Row],[COMMENTAIRE]])))</f>
        <v>0</v>
      </c>
      <c r="BL108" s="9" t="str">
        <f>IF(IFERROR(_xlfn.XLOOKUP(Tableau47[[#This Row],[COMMENTAIRE]],'[1]Tickets (2)'!$J$6:$J$805,'[1]Tickets (2)'!$J$6:$J$805),"")&lt;&gt;"",1,"")</f>
        <v/>
      </c>
      <c r="BM108" s="9">
        <f>IF(Tableau47[[#This Row],[INDEX]]&lt;3,"",IF(Tableau47[[#This Row],[COMMAND]]="","",IF('[1]Bar history'!$AA$33=1,1,"")))</f>
        <v>1</v>
      </c>
      <c r="BN108" s="9">
        <f>IFERROR(IFERROR(_xlfn.XLOOKUP(Tableau47[[#This Row],[COMMENTAIRE]],[1]!Tableau4849[IDENTITE],[1]!Tableau4849[0,5]),0),"")</f>
        <v>0</v>
      </c>
      <c r="BO108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8" s="9" t="str">
        <f>IF(IFERROR(_xlfn.XLOOKUP(Tableau47[[#This Row],[COMMENTAIRE]],'[1]Tickets (2)'!$J$6:$J$805,'[1]Tickets (2)'!$U$6:$U$805)," ")="","OK","")</f>
        <v/>
      </c>
      <c r="BQ108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08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8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8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8" s="9" t="str">
        <f>IF(IFERROR(_xlfn.XLOOKUP(Tableau47[[#This Row],[COMMENTAIRE]],'[1]Tickets (2)'!$J$6:$J$805,'[1]Tickets (2)'!$U$6:$U$805)," ")="","OK","")</f>
        <v/>
      </c>
      <c r="BV108" s="9" t="str">
        <f>IF(IFERROR(_xlfn.XLOOKUP(Tableau47[[#This Row],[COMMENTAIRE]],'[1]Tickets (2)'!$J$6:$J$805,'[1]Tickets (2)'!$V$6:$V$805)," ")="","OK","")</f>
        <v/>
      </c>
      <c r="BW108" s="9" t="e">
        <f>IF(Tableau47[[#This Row],[INDEX]]&lt;3,"",IF(Tableau47[[#This Row],[COMMAND]]="","",([1]FSI_TB!$F$12/10)*(Tableau47[[#This Row],[LOT]]/$BW$30)))</f>
        <v>#DIV/0!</v>
      </c>
      <c r="BX108" s="9" t="e">
        <f>IF(Tableau47[[#This Row],[INDEX]]&lt;3,"",IF(Tableau47[[#This Row],[COMMAND]]="","",-([1]FSI_TB!$D$12/10)*(Tableau47[[#This Row],[LOT]]/$BW$30)))</f>
        <v>#DIV/0!</v>
      </c>
      <c r="BY108" s="9" t="s">
        <v>97</v>
      </c>
      <c r="BZ108" s="9" t="str">
        <f>IF(AND(Tableau47[[#This Row],[CLOTURE]]="REPOSITIONNER"),"OK",IF(AND(Tableau47[[#This Row],[CLOTURE]]="GAGNANT"),"KO",IF(Tableau47[[#This Row],[NON]]="NON","NON","")))</f>
        <v>NON</v>
      </c>
      <c r="CA108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08" s="9" t="str">
        <f>IFERROR(_xlfn.XLOOKUP(Tableau47[[#This Row],[COMMENTAIRE]],'[1]Tickets (2)'!$J$6:$J$805,'[1]Tickets (2)'!$F$6:$F$805),"")</f>
        <v/>
      </c>
      <c r="CC108" s="9">
        <f>IF(Tableau47[[#This Row],[INDEX]]&lt;3,"",IF(Tableau47[[#This Row],[COMMAND]]="","",Tableau47[[#This Row],[LOT]]))</f>
        <v>4000</v>
      </c>
      <c r="CD108" s="9">
        <f>IF(Tableau47[[#This Row],[INDEX]]&lt;3,"",IF(Tableau47[[#This Row],[COMMAND]]="","",IFERROR(_xlfn.XLOOKUP(Tableau47[[#This Row],[COMMENTAIRE]],[1]!Tableau4849[IDENTITE],[1]!Tableau4849[0,5]),0)))</f>
        <v>0</v>
      </c>
      <c r="CE10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8" s="9" t="str" cm="1">
        <f t="array" ref="CG108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8" s="9"/>
      <c r="CI108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8" s="9"/>
      <c r="CK108" s="21"/>
      <c r="CL108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8" s="9"/>
      <c r="CN108" s="9" t="str">
        <f>IF(Tableau47[[#This Row],[INDEX]]&lt;3,"",IF(Tableau47[[#This Row],[COMMAND]]="","",IF(AND(Tableau47[[#This Row],[EN ATTENTES]]="NON",Tableau47[[#This Row],[EN COURS]]&lt;&gt;""),"OK","STOP")))</f>
        <v>STOP</v>
      </c>
      <c r="CO108" s="19">
        <f>Tableau47[[#This Row],[Cst TIME]]</f>
        <v>44923.126893981484</v>
      </c>
      <c r="CP108" s="9">
        <f>[1]analos!$Q$237</f>
        <v>926507</v>
      </c>
      <c r="CQ108" s="9" t="str">
        <f>[1]FSI_TB!$F$3</f>
        <v>EURUSD</v>
      </c>
      <c r="CR108" s="9" t="str">
        <f>Tableau47[[#This Row],[GO1]]</f>
        <v>SELL</v>
      </c>
      <c r="CS108" s="9" t="str">
        <f>Tableau47[[#This Row],[PRICE]]</f>
        <v>1.06268</v>
      </c>
      <c r="CT108" s="9">
        <f>Tableau47[[#This Row],[LOT]]</f>
        <v>4000</v>
      </c>
      <c r="CU108" s="9" t="str">
        <f>Tableau47[[#This Row],[COMMENTAIRE]]</f>
        <v>1 RSRS S 1.06268 M1M1</v>
      </c>
      <c r="CV108" s="9"/>
      <c r="CW108" s="9">
        <v>1</v>
      </c>
      <c r="CX108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8" s="9">
        <f t="shared" ca="1" si="1"/>
        <v>44929.316958449075</v>
      </c>
    </row>
    <row r="109" spans="3:103" ht="15.75" x14ac:dyDescent="0.25">
      <c r="C109" s="8"/>
      <c r="D109" s="9"/>
      <c r="L109" s="9">
        <v>77</v>
      </c>
      <c r="M109" s="9" t="s">
        <v>132</v>
      </c>
      <c r="N109" s="9" t="s">
        <v>240</v>
      </c>
      <c r="O109" s="8" t="s">
        <v>241</v>
      </c>
      <c r="P109" s="9" t="s">
        <v>0</v>
      </c>
      <c r="Q109" s="9">
        <v>4000</v>
      </c>
      <c r="R10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09" s="9" t="str">
        <f>IF(AND(ISNUMBER(SEARCH("BUY",Tableau47[[#This Row],[COMMAND]]))),"BUY",IF(AND(ISNUMBER(SEARCH("SELL",Tableau47[[#This Row],[COMMAND]]))),"SELL",""))</f>
        <v>SELL</v>
      </c>
      <c r="T109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09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09" s="9">
        <v>925832</v>
      </c>
      <c r="W109" s="22">
        <v>44923.126654629632</v>
      </c>
      <c r="X109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09" s="9">
        <f>IFERROR(VALUE(SUBSTITUTE(Tableau47[[#This Row],[PRICE]],".",",")),"")</f>
        <v>1.0626599999999999</v>
      </c>
      <c r="Z109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09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09" s="9" t="str">
        <f>IF(IFERROR(_xlfn.XLOOKUP(Tableau47[[#This Row],[COMMENTAIRE]],'[1]Tickets (2)'!$J$6:$J$805,'[1]Tickets (2)'!$J$6:$J$805),"")&lt;&gt;"",1,"")</f>
        <v/>
      </c>
      <c r="AC109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09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09" s="9" t="str">
        <f>IFERROR(_xlfn.XLOOKUP(Tableau47[[#This Row],[INDEX]],Tableau47[COMPTE],Tableau47[COMPTE]),"")</f>
        <v/>
      </c>
      <c r="AF109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09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09" s="17" t="str">
        <f>IF(Tableau47[[#This Row],[COMMAND]]="BUYSTOP",IFERROR(ABS(Tableau47[[#This Row],[GO7]]-'[1]Deal ticket'!$B$15),""),"")</f>
        <v/>
      </c>
      <c r="AI109" s="9">
        <f>IF(Tableau47[[#This Row],[COMMAND]]="SELLSTOP",IFERROR(ABS(Tableau47[[#This Row],[GO7]]-'[1]Deal ticket'!$B$16),""),"")</f>
        <v>2.9200000000000337E-3</v>
      </c>
      <c r="AJ109" s="9" t="str">
        <f>IF(IFERROR(_xlfn.XLOOKUP(Tableau47[[#This Row],[COMMENTAIRE]],'[1]Tickets (2)'!$J$6:$J$805,'[1]Tickets (2)'!$J$6:$J$805),"")&lt;&gt;"",1,"")</f>
        <v/>
      </c>
      <c r="AK109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09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09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09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1.0626599999999999</v>
      </c>
      <c r="AO109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09" s="9" t="s">
        <v>97</v>
      </c>
      <c r="AQ109" s="9" t="str">
        <f>IFERROR(_xlfn.XLOOKUP(Tableau47[[#This Row],[COMMENTAIRE]],'[1]Tickets (2)'!$J$6:$J$805,'[1]Tickets (2)'!$C$6:$C$805),"")</f>
        <v/>
      </c>
      <c r="AR109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09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09" s="9" t="str">
        <f>IF(Tableau47[[#This Row],[GOUBLOP]]=1,Tableau47[[#This Row],[COMMENTAIRE]],"")</f>
        <v/>
      </c>
      <c r="AU109" s="9"/>
      <c r="AV109" s="9" t="str">
        <f>IFERROR(IF(_xlfn.XLOOKUP(Tableau47[[#This Row],[GOUBLOP2]],[1]!Tableau4849[ATTEINT],[1]!Tableau4849[ATTEINT])&lt;&gt;"",1,""),"")</f>
        <v/>
      </c>
      <c r="AW109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09" s="9" t="str">
        <f>IF(Tableau47[[#This Row],[COMMAND]]="","",IF(Tableau47[[#This Row],[INDEX]]&lt;3,"",LEFT(Tableau47[[#This Row],[COMMENTAIRE]],LEN(Tableau47[[#This Row],[COMMENTAIRE]])-2)))</f>
        <v>1 RSRS S 1.06266 M1</v>
      </c>
      <c r="AY109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09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09" s="9" t="str">
        <f>IF(Tableau47[[#This Row],[INDEX]]&lt;3,"",IF(Tableau47[[#This Row],[COMMAND]]="","",IFERROR(Tableau47[[#This Row],[DIS_BUY]]*$AX$30,"")))</f>
        <v/>
      </c>
      <c r="BB109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09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0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09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0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09" s="9" t="str">
        <f>IF(AND(Tableau47[[#This Row],[GO]]="GO",ISNUMBER(SEARCH("BUY",Tableau47[[#This Row],[COMMAND]]))),1,"")</f>
        <v/>
      </c>
      <c r="BH109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09" s="9" t="str">
        <f>IF(OR(Tableau47[[#This Row],[GLOBAL BUY]]=1),Tableau47[[#This Row],[COMMENTAIRE]],"")</f>
        <v/>
      </c>
      <c r="BJ109" s="9" t="str">
        <f>IF(OR(Tableau47[[#This Row],[GLOBAL SELL]]=1),Tableau47[[#This Row],[COMMENTAIRE]],"")</f>
        <v/>
      </c>
      <c r="BK109" s="9">
        <f>IF(Tableau47[[#This Row],[INDEX]]&lt;3,"",IF(Tableau47[[#This Row],[COMMAND]]="","",SUMIFS(Tableau47[COMMENTAIRE],Tableau47[COMMENTAIRE],Tableau47[[#This Row],[COMMENTAIRE]])))</f>
        <v>0</v>
      </c>
      <c r="BL109" s="9" t="str">
        <f>IF(IFERROR(_xlfn.XLOOKUP(Tableau47[[#This Row],[COMMENTAIRE]],'[1]Tickets (2)'!$J$6:$J$805,'[1]Tickets (2)'!$J$6:$J$805),"")&lt;&gt;"",1,"")</f>
        <v/>
      </c>
      <c r="BM109" s="9">
        <f>IF(Tableau47[[#This Row],[INDEX]]&lt;3,"",IF(Tableau47[[#This Row],[COMMAND]]="","",IF('[1]Bar history'!$AA$33=1,1,"")))</f>
        <v>1</v>
      </c>
      <c r="BN109" s="9">
        <f>IFERROR(IFERROR(_xlfn.XLOOKUP(Tableau47[[#This Row],[COMMENTAIRE]],[1]!Tableau4849[IDENTITE],[1]!Tableau4849[0,5]),0),"")</f>
        <v>0</v>
      </c>
      <c r="BO109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09" s="9" t="str">
        <f>IF(IFERROR(_xlfn.XLOOKUP(Tableau47[[#This Row],[COMMENTAIRE]],'[1]Tickets (2)'!$J$6:$J$805,'[1]Tickets (2)'!$U$6:$U$805)," ")="","OK","")</f>
        <v/>
      </c>
      <c r="BQ109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09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09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09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09" s="9" t="str">
        <f>IF(IFERROR(_xlfn.XLOOKUP(Tableau47[[#This Row],[COMMENTAIRE]],'[1]Tickets (2)'!$J$6:$J$805,'[1]Tickets (2)'!$U$6:$U$805)," ")="","OK","")</f>
        <v/>
      </c>
      <c r="BV109" s="9" t="str">
        <f>IF(IFERROR(_xlfn.XLOOKUP(Tableau47[[#This Row],[COMMENTAIRE]],'[1]Tickets (2)'!$J$6:$J$805,'[1]Tickets (2)'!$V$6:$V$805)," ")="","OK","")</f>
        <v/>
      </c>
      <c r="BW109" s="9" t="e">
        <f>IF(Tableau47[[#This Row],[INDEX]]&lt;3,"",IF(Tableau47[[#This Row],[COMMAND]]="","",([1]FSI_TB!$F$12/10)*(Tableau47[[#This Row],[LOT]]/$BW$30)))</f>
        <v>#DIV/0!</v>
      </c>
      <c r="BX109" s="9" t="e">
        <f>IF(Tableau47[[#This Row],[INDEX]]&lt;3,"",IF(Tableau47[[#This Row],[COMMAND]]="","",-([1]FSI_TB!$D$12/10)*(Tableau47[[#This Row],[LOT]]/$BW$30)))</f>
        <v>#DIV/0!</v>
      </c>
      <c r="BY109" s="9" t="s">
        <v>97</v>
      </c>
      <c r="BZ109" s="9" t="str">
        <f>IF(AND(Tableau47[[#This Row],[CLOTURE]]="REPOSITIONNER"),"OK",IF(AND(Tableau47[[#This Row],[CLOTURE]]="GAGNANT"),"KO",IF(Tableau47[[#This Row],[NON]]="NON","NON","")))</f>
        <v>NON</v>
      </c>
      <c r="CA109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09" s="9" t="str">
        <f>IFERROR(_xlfn.XLOOKUP(Tableau47[[#This Row],[COMMENTAIRE]],'[1]Tickets (2)'!$J$6:$J$805,'[1]Tickets (2)'!$F$6:$F$805),"")</f>
        <v/>
      </c>
      <c r="CC109" s="9">
        <f>IF(Tableau47[[#This Row],[INDEX]]&lt;3,"",IF(Tableau47[[#This Row],[COMMAND]]="","",Tableau47[[#This Row],[LOT]]))</f>
        <v>4000</v>
      </c>
      <c r="CD109" s="9">
        <f>IF(Tableau47[[#This Row],[INDEX]]&lt;3,"",IF(Tableau47[[#This Row],[COMMAND]]="","",IFERROR(_xlfn.XLOOKUP(Tableau47[[#This Row],[COMMENTAIRE]],[1]!Tableau4849[IDENTITE],[1]!Tableau4849[0,5]),0)))</f>
        <v>0</v>
      </c>
      <c r="CE10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0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09" s="9" t="str" cm="1">
        <f t="array" ref="CG109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09" s="9"/>
      <c r="CI109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09" s="9"/>
      <c r="CK109" s="21"/>
      <c r="CL109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09" s="9"/>
      <c r="CN109" s="9" t="str">
        <f>IF(Tableau47[[#This Row],[INDEX]]&lt;3,"",IF(Tableau47[[#This Row],[COMMAND]]="","",IF(AND(Tableau47[[#This Row],[EN ATTENTES]]="NON",Tableau47[[#This Row],[EN COURS]]&lt;&gt;""),"OK","STOP")))</f>
        <v>STOP</v>
      </c>
      <c r="CO109" s="19">
        <f>Tableau47[[#This Row],[Cst TIME]]</f>
        <v>44923.126654629632</v>
      </c>
      <c r="CP109" s="9">
        <f>[1]analos!$Q$237</f>
        <v>926507</v>
      </c>
      <c r="CQ109" s="9" t="str">
        <f>[1]FSI_TB!$F$3</f>
        <v>EURUSD</v>
      </c>
      <c r="CR109" s="9" t="str">
        <f>Tableau47[[#This Row],[GO1]]</f>
        <v>SELL</v>
      </c>
      <c r="CS109" s="9" t="str">
        <f>Tableau47[[#This Row],[PRICE]]</f>
        <v>1.06266</v>
      </c>
      <c r="CT109" s="9">
        <f>Tableau47[[#This Row],[LOT]]</f>
        <v>4000</v>
      </c>
      <c r="CU109" s="9" t="str">
        <f>Tableau47[[#This Row],[COMMENTAIRE]]</f>
        <v>1 RSRS S 1.06266 M1M1</v>
      </c>
      <c r="CV109" s="9"/>
      <c r="CW109" s="9">
        <v>1</v>
      </c>
      <c r="CX109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09" s="9">
        <f t="shared" ca="1" si="1"/>
        <v>44929.316958449075</v>
      </c>
    </row>
    <row r="110" spans="3:103" ht="15.75" x14ac:dyDescent="0.25">
      <c r="C110" s="8"/>
      <c r="D110" s="9"/>
      <c r="L110" s="9">
        <v>78</v>
      </c>
      <c r="M110" s="9" t="s">
        <v>132</v>
      </c>
      <c r="N110" s="9" t="s">
        <v>240</v>
      </c>
      <c r="O110" s="8" t="s">
        <v>242</v>
      </c>
      <c r="P110" s="9" t="s">
        <v>0</v>
      </c>
      <c r="Q110" s="9">
        <v>4000</v>
      </c>
      <c r="R11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0" s="9" t="str">
        <f>IF(AND(ISNUMBER(SEARCH("BUY",Tableau47[[#This Row],[COMMAND]]))),"BUY",IF(AND(ISNUMBER(SEARCH("SELL",Tableau47[[#This Row],[COMMAND]]))),"SELL",""))</f>
        <v>SELL</v>
      </c>
      <c r="T110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0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0" s="9">
        <v>925832</v>
      </c>
      <c r="W110" s="22">
        <v>44923.126406597221</v>
      </c>
      <c r="X110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0" s="9">
        <f>IFERROR(VALUE(SUBSTITUTE(Tableau47[[#This Row],[PRICE]],".",",")),"")</f>
        <v>1.0626599999999999</v>
      </c>
      <c r="Z110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0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0" s="9" t="str">
        <f>IF(IFERROR(_xlfn.XLOOKUP(Tableau47[[#This Row],[COMMENTAIRE]],'[1]Tickets (2)'!$J$6:$J$805,'[1]Tickets (2)'!$J$6:$J$805),"")&lt;&gt;"",1,"")</f>
        <v/>
      </c>
      <c r="AC110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0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0" s="9" t="str">
        <f>IFERROR(_xlfn.XLOOKUP(Tableau47[[#This Row],[INDEX]],Tableau47[COMPTE],Tableau47[COMPTE]),"")</f>
        <v/>
      </c>
      <c r="AF110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0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0" s="17" t="str">
        <f>IF(Tableau47[[#This Row],[COMMAND]]="BUYSTOP",IFERROR(ABS(Tableau47[[#This Row],[GO7]]-'[1]Deal ticket'!$B$15),""),"")</f>
        <v/>
      </c>
      <c r="AI110" s="9">
        <f>IF(Tableau47[[#This Row],[COMMAND]]="SELLSTOP",IFERROR(ABS(Tableau47[[#This Row],[GO7]]-'[1]Deal ticket'!$B$16),""),"")</f>
        <v>2.9200000000000337E-3</v>
      </c>
      <c r="AJ110" s="9" t="str">
        <f>IF(IFERROR(_xlfn.XLOOKUP(Tableau47[[#This Row],[COMMENTAIRE]],'[1]Tickets (2)'!$J$6:$J$805,'[1]Tickets (2)'!$J$6:$J$805),"")&lt;&gt;"",1,"")</f>
        <v/>
      </c>
      <c r="AK110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0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0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0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1.0626599999999999</v>
      </c>
      <c r="AO110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0" s="9" t="s">
        <v>97</v>
      </c>
      <c r="AQ110" s="9" t="str">
        <f>IFERROR(_xlfn.XLOOKUP(Tableau47[[#This Row],[COMMENTAIRE]],'[1]Tickets (2)'!$J$6:$J$805,'[1]Tickets (2)'!$C$6:$C$805),"")</f>
        <v/>
      </c>
      <c r="AR110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0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0" s="9" t="str">
        <f>IF(Tableau47[[#This Row],[GOUBLOP]]=1,Tableau47[[#This Row],[COMMENTAIRE]],"")</f>
        <v/>
      </c>
      <c r="AU110" s="9"/>
      <c r="AV110" s="9" t="str">
        <f>IFERROR(IF(_xlfn.XLOOKUP(Tableau47[[#This Row],[GOUBLOP2]],[1]!Tableau4849[ATTEINT],[1]!Tableau4849[ATTEINT])&lt;&gt;"",1,""),"")</f>
        <v/>
      </c>
      <c r="AW110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0" s="9" t="str">
        <f>IF(Tableau47[[#This Row],[COMMAND]]="","",IF(Tableau47[[#This Row],[INDEX]]&lt;3,"",LEFT(Tableau47[[#This Row],[COMMENTAIRE]],LEN(Tableau47[[#This Row],[COMMENTAIRE]])-2)))</f>
        <v>1 RSRS S 1.06264 M1</v>
      </c>
      <c r="AY110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0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0" s="9" t="str">
        <f>IF(Tableau47[[#This Row],[INDEX]]&lt;3,"",IF(Tableau47[[#This Row],[COMMAND]]="","",IFERROR(Tableau47[[#This Row],[DIS_BUY]]*$AX$30,"")))</f>
        <v/>
      </c>
      <c r="BB110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0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0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0" s="9" t="str">
        <f>IF(AND(Tableau47[[#This Row],[GO]]="GO",ISNUMBER(SEARCH("BUY",Tableau47[[#This Row],[COMMAND]]))),1,"")</f>
        <v/>
      </c>
      <c r="BH110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0" s="9" t="str">
        <f>IF(OR(Tableau47[[#This Row],[GLOBAL BUY]]=1),Tableau47[[#This Row],[COMMENTAIRE]],"")</f>
        <v/>
      </c>
      <c r="BJ110" s="9" t="str">
        <f>IF(OR(Tableau47[[#This Row],[GLOBAL SELL]]=1),Tableau47[[#This Row],[COMMENTAIRE]],"")</f>
        <v/>
      </c>
      <c r="BK110" s="9">
        <f>IF(Tableau47[[#This Row],[INDEX]]&lt;3,"",IF(Tableau47[[#This Row],[COMMAND]]="","",SUMIFS(Tableau47[COMMENTAIRE],Tableau47[COMMENTAIRE],Tableau47[[#This Row],[COMMENTAIRE]])))</f>
        <v>0</v>
      </c>
      <c r="BL110" s="9" t="str">
        <f>IF(IFERROR(_xlfn.XLOOKUP(Tableau47[[#This Row],[COMMENTAIRE]],'[1]Tickets (2)'!$J$6:$J$805,'[1]Tickets (2)'!$J$6:$J$805),"")&lt;&gt;"",1,"")</f>
        <v/>
      </c>
      <c r="BM110" s="9">
        <f>IF(Tableau47[[#This Row],[INDEX]]&lt;3,"",IF(Tableau47[[#This Row],[COMMAND]]="","",IF('[1]Bar history'!$AA$33=1,1,"")))</f>
        <v>1</v>
      </c>
      <c r="BN110" s="9">
        <f>IFERROR(IFERROR(_xlfn.XLOOKUP(Tableau47[[#This Row],[COMMENTAIRE]],[1]!Tableau4849[IDENTITE],[1]!Tableau4849[0,5]),0),"")</f>
        <v>0</v>
      </c>
      <c r="BO110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0" s="9" t="str">
        <f>IF(IFERROR(_xlfn.XLOOKUP(Tableau47[[#This Row],[COMMENTAIRE]],'[1]Tickets (2)'!$J$6:$J$805,'[1]Tickets (2)'!$U$6:$U$805)," ")="","OK","")</f>
        <v/>
      </c>
      <c r="BQ110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0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0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0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0" s="9" t="str">
        <f>IF(IFERROR(_xlfn.XLOOKUP(Tableau47[[#This Row],[COMMENTAIRE]],'[1]Tickets (2)'!$J$6:$J$805,'[1]Tickets (2)'!$U$6:$U$805)," ")="","OK","")</f>
        <v/>
      </c>
      <c r="BV110" s="9" t="str">
        <f>IF(IFERROR(_xlfn.XLOOKUP(Tableau47[[#This Row],[COMMENTAIRE]],'[1]Tickets (2)'!$J$6:$J$805,'[1]Tickets (2)'!$V$6:$V$805)," ")="","OK","")</f>
        <v/>
      </c>
      <c r="BW110" s="9" t="e">
        <f>IF(Tableau47[[#This Row],[INDEX]]&lt;3,"",IF(Tableau47[[#This Row],[COMMAND]]="","",([1]FSI_TB!$F$12/10)*(Tableau47[[#This Row],[LOT]]/$BW$30)))</f>
        <v>#DIV/0!</v>
      </c>
      <c r="BX110" s="9" t="e">
        <f>IF(Tableau47[[#This Row],[INDEX]]&lt;3,"",IF(Tableau47[[#This Row],[COMMAND]]="","",-([1]FSI_TB!$D$12/10)*(Tableau47[[#This Row],[LOT]]/$BW$30)))</f>
        <v>#DIV/0!</v>
      </c>
      <c r="BY110" s="9" t="s">
        <v>97</v>
      </c>
      <c r="BZ110" s="9" t="str">
        <f>IF(AND(Tableau47[[#This Row],[CLOTURE]]="REPOSITIONNER"),"OK",IF(AND(Tableau47[[#This Row],[CLOTURE]]="GAGNANT"),"KO",IF(Tableau47[[#This Row],[NON]]="NON","NON","")))</f>
        <v>NON</v>
      </c>
      <c r="CA110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10" s="9" t="str">
        <f>IFERROR(_xlfn.XLOOKUP(Tableau47[[#This Row],[COMMENTAIRE]],'[1]Tickets (2)'!$J$6:$J$805,'[1]Tickets (2)'!$F$6:$F$805),"")</f>
        <v/>
      </c>
      <c r="CC110" s="9">
        <f>IF(Tableau47[[#This Row],[INDEX]]&lt;3,"",IF(Tableau47[[#This Row],[COMMAND]]="","",Tableau47[[#This Row],[LOT]]))</f>
        <v>4000</v>
      </c>
      <c r="CD110" s="9">
        <f>IF(Tableau47[[#This Row],[INDEX]]&lt;3,"",IF(Tableau47[[#This Row],[COMMAND]]="","",IFERROR(_xlfn.XLOOKUP(Tableau47[[#This Row],[COMMENTAIRE]],[1]!Tableau4849[IDENTITE],[1]!Tableau4849[0,5]),0)))</f>
        <v>0</v>
      </c>
      <c r="CE11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0" s="9" t="str" cm="1">
        <f t="array" ref="CG110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0" s="9"/>
      <c r="CI110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0" s="9"/>
      <c r="CK110" s="21"/>
      <c r="CL110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0" s="9"/>
      <c r="CN110" s="9" t="str">
        <f>IF(Tableau47[[#This Row],[INDEX]]&lt;3,"",IF(Tableau47[[#This Row],[COMMAND]]="","",IF(AND(Tableau47[[#This Row],[EN ATTENTES]]="NON",Tableau47[[#This Row],[EN COURS]]&lt;&gt;""),"OK","STOP")))</f>
        <v>STOP</v>
      </c>
      <c r="CO110" s="19">
        <f>Tableau47[[#This Row],[Cst TIME]]</f>
        <v>44923.126406597221</v>
      </c>
      <c r="CP110" s="9">
        <f>[1]analos!$Q$237</f>
        <v>926507</v>
      </c>
      <c r="CQ110" s="9" t="str">
        <f>[1]FSI_TB!$F$3</f>
        <v>EURUSD</v>
      </c>
      <c r="CR110" s="9" t="str">
        <f>Tableau47[[#This Row],[GO1]]</f>
        <v>SELL</v>
      </c>
      <c r="CS110" s="9" t="str">
        <f>Tableau47[[#This Row],[PRICE]]</f>
        <v>1.06266</v>
      </c>
      <c r="CT110" s="9">
        <f>Tableau47[[#This Row],[LOT]]</f>
        <v>4000</v>
      </c>
      <c r="CU110" s="9" t="str">
        <f>Tableau47[[#This Row],[COMMENTAIRE]]</f>
        <v>1 RSRS S 1.06264 M1M1</v>
      </c>
      <c r="CV110" s="9"/>
      <c r="CW110" s="9">
        <v>1</v>
      </c>
      <c r="CX110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0" s="9">
        <f t="shared" ca="1" si="1"/>
        <v>44929.316958449075</v>
      </c>
    </row>
    <row r="111" spans="3:103" ht="15.75" x14ac:dyDescent="0.25">
      <c r="C111" s="8"/>
      <c r="D111" s="9"/>
      <c r="L111" s="9">
        <v>79</v>
      </c>
      <c r="M111" s="9" t="s">
        <v>132</v>
      </c>
      <c r="N111" s="9" t="s">
        <v>243</v>
      </c>
      <c r="O111" s="8" t="s">
        <v>244</v>
      </c>
      <c r="P111" s="9" t="s">
        <v>0</v>
      </c>
      <c r="Q111" s="9">
        <v>4000</v>
      </c>
      <c r="R11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1" s="9" t="str">
        <f>IF(AND(ISNUMBER(SEARCH("BUY",Tableau47[[#This Row],[COMMAND]]))),"BUY",IF(AND(ISNUMBER(SEARCH("SELL",Tableau47[[#This Row],[COMMAND]]))),"SELL",""))</f>
        <v>SELL</v>
      </c>
      <c r="T111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1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1" s="9">
        <v>925832</v>
      </c>
      <c r="W111" s="22">
        <v>44923.126166087961</v>
      </c>
      <c r="X111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1" s="9">
        <f>IFERROR(VALUE(SUBSTITUTE(Tableau47[[#This Row],[PRICE]],".",",")),"")</f>
        <v>1.0626500000000001</v>
      </c>
      <c r="Z111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1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1" s="9" t="str">
        <f>IF(IFERROR(_xlfn.XLOOKUP(Tableau47[[#This Row],[COMMENTAIRE]],'[1]Tickets (2)'!$J$6:$J$805,'[1]Tickets (2)'!$J$6:$J$805),"")&lt;&gt;"",1,"")</f>
        <v/>
      </c>
      <c r="AC111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1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1" s="9" t="str">
        <f>IFERROR(_xlfn.XLOOKUP(Tableau47[[#This Row],[INDEX]],Tableau47[COMPTE],Tableau47[COMPTE]),"")</f>
        <v/>
      </c>
      <c r="AF111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1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1" s="17" t="str">
        <f>IF(Tableau47[[#This Row],[COMMAND]]="BUYSTOP",IFERROR(ABS(Tableau47[[#This Row],[GO7]]-'[1]Deal ticket'!$B$15),""),"")</f>
        <v/>
      </c>
      <c r="AI111" s="9">
        <f>IF(Tableau47[[#This Row],[COMMAND]]="SELLSTOP",IFERROR(ABS(Tableau47[[#This Row],[GO7]]-'[1]Deal ticket'!$B$16),""),"")</f>
        <v>2.9299999999998771E-3</v>
      </c>
      <c r="AJ111" s="9" t="str">
        <f>IF(IFERROR(_xlfn.XLOOKUP(Tableau47[[#This Row],[COMMENTAIRE]],'[1]Tickets (2)'!$J$6:$J$805,'[1]Tickets (2)'!$J$6:$J$805),"")&lt;&gt;"",1,"")</f>
        <v/>
      </c>
      <c r="AK111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1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1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1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1.0626500000000001</v>
      </c>
      <c r="AO111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1" s="9" t="s">
        <v>97</v>
      </c>
      <c r="AQ111" s="9" t="str">
        <f>IFERROR(_xlfn.XLOOKUP(Tableau47[[#This Row],[COMMENTAIRE]],'[1]Tickets (2)'!$J$6:$J$805,'[1]Tickets (2)'!$C$6:$C$805),"")</f>
        <v/>
      </c>
      <c r="AR111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1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1" s="9" t="str">
        <f>IF(Tableau47[[#This Row],[GOUBLOP]]=1,Tableau47[[#This Row],[COMMENTAIRE]],"")</f>
        <v/>
      </c>
      <c r="AU111" s="9"/>
      <c r="AV111" s="9" t="str">
        <f>IFERROR(IF(_xlfn.XLOOKUP(Tableau47[[#This Row],[GOUBLOP2]],[1]!Tableau4849[ATTEINT],[1]!Tableau4849[ATTEINT])&lt;&gt;"",1,""),"")</f>
        <v/>
      </c>
      <c r="AW111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1" s="9" t="str">
        <f>IF(Tableau47[[#This Row],[COMMAND]]="","",IF(Tableau47[[#This Row],[INDEX]]&lt;3,"",LEFT(Tableau47[[#This Row],[COMMENTAIRE]],LEN(Tableau47[[#This Row],[COMMENTAIRE]])-2)))</f>
        <v>1 RSRS S 1.0626 M1</v>
      </c>
      <c r="AY111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1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1" s="9" t="str">
        <f>IF(Tableau47[[#This Row],[INDEX]]&lt;3,"",IF(Tableau47[[#This Row],[COMMAND]]="","",IFERROR(Tableau47[[#This Row],[DIS_BUY]]*$AX$30,"")))</f>
        <v/>
      </c>
      <c r="BB111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1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1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1" s="9" t="str">
        <f>IF(AND(Tableau47[[#This Row],[GO]]="GO",ISNUMBER(SEARCH("BUY",Tableau47[[#This Row],[COMMAND]]))),1,"")</f>
        <v/>
      </c>
      <c r="BH111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1" s="9" t="str">
        <f>IF(OR(Tableau47[[#This Row],[GLOBAL BUY]]=1),Tableau47[[#This Row],[COMMENTAIRE]],"")</f>
        <v/>
      </c>
      <c r="BJ111" s="9" t="str">
        <f>IF(OR(Tableau47[[#This Row],[GLOBAL SELL]]=1),Tableau47[[#This Row],[COMMENTAIRE]],"")</f>
        <v/>
      </c>
      <c r="BK111" s="9">
        <f>IF(Tableau47[[#This Row],[INDEX]]&lt;3,"",IF(Tableau47[[#This Row],[COMMAND]]="","",SUMIFS(Tableau47[COMMENTAIRE],Tableau47[COMMENTAIRE],Tableau47[[#This Row],[COMMENTAIRE]])))</f>
        <v>0</v>
      </c>
      <c r="BL111" s="9" t="str">
        <f>IF(IFERROR(_xlfn.XLOOKUP(Tableau47[[#This Row],[COMMENTAIRE]],'[1]Tickets (2)'!$J$6:$J$805,'[1]Tickets (2)'!$J$6:$J$805),"")&lt;&gt;"",1,"")</f>
        <v/>
      </c>
      <c r="BM111" s="9">
        <f>IF(Tableau47[[#This Row],[INDEX]]&lt;3,"",IF(Tableau47[[#This Row],[COMMAND]]="","",IF('[1]Bar history'!$AA$33=1,1,"")))</f>
        <v>1</v>
      </c>
      <c r="BN111" s="9">
        <f>IFERROR(IFERROR(_xlfn.XLOOKUP(Tableau47[[#This Row],[COMMENTAIRE]],[1]!Tableau4849[IDENTITE],[1]!Tableau4849[0,5]),0),"")</f>
        <v>0</v>
      </c>
      <c r="BO111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1" s="9" t="str">
        <f>IF(IFERROR(_xlfn.XLOOKUP(Tableau47[[#This Row],[COMMENTAIRE]],'[1]Tickets (2)'!$J$6:$J$805,'[1]Tickets (2)'!$U$6:$U$805)," ")="","OK","")</f>
        <v/>
      </c>
      <c r="BQ111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1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1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1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1" s="9" t="str">
        <f>IF(IFERROR(_xlfn.XLOOKUP(Tableau47[[#This Row],[COMMENTAIRE]],'[1]Tickets (2)'!$J$6:$J$805,'[1]Tickets (2)'!$U$6:$U$805)," ")="","OK","")</f>
        <v/>
      </c>
      <c r="BV111" s="9" t="str">
        <f>IF(IFERROR(_xlfn.XLOOKUP(Tableau47[[#This Row],[COMMENTAIRE]],'[1]Tickets (2)'!$J$6:$J$805,'[1]Tickets (2)'!$V$6:$V$805)," ")="","OK","")</f>
        <v/>
      </c>
      <c r="BW111" s="9" t="e">
        <f>IF(Tableau47[[#This Row],[INDEX]]&lt;3,"",IF(Tableau47[[#This Row],[COMMAND]]="","",([1]FSI_TB!$F$12/10)*(Tableau47[[#This Row],[LOT]]/$BW$30)))</f>
        <v>#DIV/0!</v>
      </c>
      <c r="BX111" s="9" t="e">
        <f>IF(Tableau47[[#This Row],[INDEX]]&lt;3,"",IF(Tableau47[[#This Row],[COMMAND]]="","",-([1]FSI_TB!$D$12/10)*(Tableau47[[#This Row],[LOT]]/$BW$30)))</f>
        <v>#DIV/0!</v>
      </c>
      <c r="BY111" s="9" t="s">
        <v>97</v>
      </c>
      <c r="BZ111" s="9" t="str">
        <f>IF(AND(Tableau47[[#This Row],[CLOTURE]]="REPOSITIONNER"),"OK",IF(AND(Tableau47[[#This Row],[CLOTURE]]="GAGNANT"),"KO",IF(Tableau47[[#This Row],[NON]]="NON","NON","")))</f>
        <v>NON</v>
      </c>
      <c r="CA111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11" s="9" t="str">
        <f>IFERROR(_xlfn.XLOOKUP(Tableau47[[#This Row],[COMMENTAIRE]],'[1]Tickets (2)'!$J$6:$J$805,'[1]Tickets (2)'!$F$6:$F$805),"")</f>
        <v/>
      </c>
      <c r="CC111" s="9">
        <f>IF(Tableau47[[#This Row],[INDEX]]&lt;3,"",IF(Tableau47[[#This Row],[COMMAND]]="","",Tableau47[[#This Row],[LOT]]))</f>
        <v>4000</v>
      </c>
      <c r="CD111" s="9">
        <f>IF(Tableau47[[#This Row],[INDEX]]&lt;3,"",IF(Tableau47[[#This Row],[COMMAND]]="","",IFERROR(_xlfn.XLOOKUP(Tableau47[[#This Row],[COMMENTAIRE]],[1]!Tableau4849[IDENTITE],[1]!Tableau4849[0,5]),0)))</f>
        <v>0</v>
      </c>
      <c r="CE11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1" s="9" t="str" cm="1">
        <f t="array" ref="CG11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1" s="9"/>
      <c r="CI111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1" s="9"/>
      <c r="CK111" s="21"/>
      <c r="CL111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1" s="9"/>
      <c r="CN111" s="9" t="str">
        <f>IF(Tableau47[[#This Row],[INDEX]]&lt;3,"",IF(Tableau47[[#This Row],[COMMAND]]="","",IF(AND(Tableau47[[#This Row],[EN ATTENTES]]="NON",Tableau47[[#This Row],[EN COURS]]&lt;&gt;""),"OK","STOP")))</f>
        <v>STOP</v>
      </c>
      <c r="CO111" s="19">
        <f>Tableau47[[#This Row],[Cst TIME]]</f>
        <v>44923.126166087961</v>
      </c>
      <c r="CP111" s="9">
        <f>[1]analos!$Q$237</f>
        <v>926507</v>
      </c>
      <c r="CQ111" s="9" t="str">
        <f>[1]FSI_TB!$F$3</f>
        <v>EURUSD</v>
      </c>
      <c r="CR111" s="9" t="str">
        <f>Tableau47[[#This Row],[GO1]]</f>
        <v>SELL</v>
      </c>
      <c r="CS111" s="9" t="str">
        <f>Tableau47[[#This Row],[PRICE]]</f>
        <v>1.06265</v>
      </c>
      <c r="CT111" s="9">
        <f>Tableau47[[#This Row],[LOT]]</f>
        <v>4000</v>
      </c>
      <c r="CU111" s="9" t="str">
        <f>Tableau47[[#This Row],[COMMENTAIRE]]</f>
        <v>1 RSRS S 1.0626 M1M1</v>
      </c>
      <c r="CV111" s="9"/>
      <c r="CW111" s="9">
        <v>1</v>
      </c>
      <c r="CX111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1" s="9">
        <f t="shared" ca="1" si="1"/>
        <v>44929.316958449075</v>
      </c>
    </row>
    <row r="112" spans="3:103" ht="15.75" x14ac:dyDescent="0.25">
      <c r="C112" s="8"/>
      <c r="D112" s="9"/>
      <c r="L112" s="9">
        <v>80</v>
      </c>
      <c r="M112" s="9" t="s">
        <v>132</v>
      </c>
      <c r="N112" s="9" t="s">
        <v>240</v>
      </c>
      <c r="O112" s="8" t="s">
        <v>245</v>
      </c>
      <c r="P112" s="9" t="s">
        <v>0</v>
      </c>
      <c r="Q112" s="9">
        <v>4000</v>
      </c>
      <c r="R11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2" s="9" t="str">
        <f>IF(AND(ISNUMBER(SEARCH("BUY",Tableau47[[#This Row],[COMMAND]]))),"BUY",IF(AND(ISNUMBER(SEARCH("SELL",Tableau47[[#This Row],[COMMAND]]))),"SELL",""))</f>
        <v>SELL</v>
      </c>
      <c r="T112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2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2" s="9">
        <v>925832</v>
      </c>
      <c r="W112" s="22">
        <v>44923.125898611113</v>
      </c>
      <c r="X112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2" s="9">
        <f>IFERROR(VALUE(SUBSTITUTE(Tableau47[[#This Row],[PRICE]],".",",")),"")</f>
        <v>1.0626599999999999</v>
      </c>
      <c r="Z112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2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2" s="9" t="str">
        <f>IF(IFERROR(_xlfn.XLOOKUP(Tableau47[[#This Row],[COMMENTAIRE]],'[1]Tickets (2)'!$J$6:$J$805,'[1]Tickets (2)'!$J$6:$J$805),"")&lt;&gt;"",1,"")</f>
        <v/>
      </c>
      <c r="AC112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2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2" s="9" t="str">
        <f>IFERROR(_xlfn.XLOOKUP(Tableau47[[#This Row],[INDEX]],Tableau47[COMPTE],Tableau47[COMPTE]),"")</f>
        <v/>
      </c>
      <c r="AF112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2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2" s="17" t="str">
        <f>IF(Tableau47[[#This Row],[COMMAND]]="BUYSTOP",IFERROR(ABS(Tableau47[[#This Row],[GO7]]-'[1]Deal ticket'!$B$15),""),"")</f>
        <v/>
      </c>
      <c r="AI112" s="9">
        <f>IF(Tableau47[[#This Row],[COMMAND]]="SELLSTOP",IFERROR(ABS(Tableau47[[#This Row],[GO7]]-'[1]Deal ticket'!$B$16),""),"")</f>
        <v>2.9200000000000337E-3</v>
      </c>
      <c r="AJ112" s="9" t="str">
        <f>IF(IFERROR(_xlfn.XLOOKUP(Tableau47[[#This Row],[COMMENTAIRE]],'[1]Tickets (2)'!$J$6:$J$805,'[1]Tickets (2)'!$J$6:$J$805),"")&lt;&gt;"",1,"")</f>
        <v/>
      </c>
      <c r="AK112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2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2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2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1.0626599999999999</v>
      </c>
      <c r="AO112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2" s="9" t="s">
        <v>97</v>
      </c>
      <c r="AQ112" s="9" t="str">
        <f>IFERROR(_xlfn.XLOOKUP(Tableau47[[#This Row],[COMMENTAIRE]],'[1]Tickets (2)'!$J$6:$J$805,'[1]Tickets (2)'!$C$6:$C$805),"")</f>
        <v/>
      </c>
      <c r="AR112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2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2" s="9" t="str">
        <f>IF(Tableau47[[#This Row],[GOUBLOP]]=1,Tableau47[[#This Row],[COMMENTAIRE]],"")</f>
        <v/>
      </c>
      <c r="AU112" s="9"/>
      <c r="AV112" s="9" t="str">
        <f>IFERROR(IF(_xlfn.XLOOKUP(Tableau47[[#This Row],[GOUBLOP2]],[1]!Tableau4849[ATTEINT],[1]!Tableau4849[ATTEINT])&lt;&gt;"",1,""),"")</f>
        <v/>
      </c>
      <c r="AW112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2" s="9" t="str">
        <f>IF(Tableau47[[#This Row],[COMMAND]]="","",IF(Tableau47[[#This Row],[INDEX]]&lt;3,"",LEFT(Tableau47[[#This Row],[COMMENTAIRE]],LEN(Tableau47[[#This Row],[COMMENTAIRE]])-2)))</f>
        <v>1 RSRS S 1.06267 M1</v>
      </c>
      <c r="AY112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2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2" s="9" t="str">
        <f>IF(Tableau47[[#This Row],[INDEX]]&lt;3,"",IF(Tableau47[[#This Row],[COMMAND]]="","",IFERROR(Tableau47[[#This Row],[DIS_BUY]]*$AX$30,"")))</f>
        <v/>
      </c>
      <c r="BB112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2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2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2" s="9" t="str">
        <f>IF(AND(Tableau47[[#This Row],[GO]]="GO",ISNUMBER(SEARCH("BUY",Tableau47[[#This Row],[COMMAND]]))),1,"")</f>
        <v/>
      </c>
      <c r="BH112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2" s="9" t="str">
        <f>IF(OR(Tableau47[[#This Row],[GLOBAL BUY]]=1),Tableau47[[#This Row],[COMMENTAIRE]],"")</f>
        <v/>
      </c>
      <c r="BJ112" s="9" t="str">
        <f>IF(OR(Tableau47[[#This Row],[GLOBAL SELL]]=1),Tableau47[[#This Row],[COMMENTAIRE]],"")</f>
        <v/>
      </c>
      <c r="BK112" s="9">
        <f>IF(Tableau47[[#This Row],[INDEX]]&lt;3,"",IF(Tableau47[[#This Row],[COMMAND]]="","",SUMIFS(Tableau47[COMMENTAIRE],Tableau47[COMMENTAIRE],Tableau47[[#This Row],[COMMENTAIRE]])))</f>
        <v>0</v>
      </c>
      <c r="BL112" s="9" t="str">
        <f>IF(IFERROR(_xlfn.XLOOKUP(Tableau47[[#This Row],[COMMENTAIRE]],'[1]Tickets (2)'!$J$6:$J$805,'[1]Tickets (2)'!$J$6:$J$805),"")&lt;&gt;"",1,"")</f>
        <v/>
      </c>
      <c r="BM112" s="9">
        <f>IF(Tableau47[[#This Row],[INDEX]]&lt;3,"",IF(Tableau47[[#This Row],[COMMAND]]="","",IF('[1]Bar history'!$AA$33=1,1,"")))</f>
        <v>1</v>
      </c>
      <c r="BN112" s="9">
        <f>IFERROR(IFERROR(_xlfn.XLOOKUP(Tableau47[[#This Row],[COMMENTAIRE]],[1]!Tableau4849[IDENTITE],[1]!Tableau4849[0,5]),0),"")</f>
        <v>0</v>
      </c>
      <c r="BO112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2" s="9" t="str">
        <f>IF(IFERROR(_xlfn.XLOOKUP(Tableau47[[#This Row],[COMMENTAIRE]],'[1]Tickets (2)'!$J$6:$J$805,'[1]Tickets (2)'!$U$6:$U$805)," ")="","OK","")</f>
        <v/>
      </c>
      <c r="BQ112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2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2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2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2" s="9" t="str">
        <f>IF(IFERROR(_xlfn.XLOOKUP(Tableau47[[#This Row],[COMMENTAIRE]],'[1]Tickets (2)'!$J$6:$J$805,'[1]Tickets (2)'!$U$6:$U$805)," ")="","OK","")</f>
        <v/>
      </c>
      <c r="BV112" s="9" t="str">
        <f>IF(IFERROR(_xlfn.XLOOKUP(Tableau47[[#This Row],[COMMENTAIRE]],'[1]Tickets (2)'!$J$6:$J$805,'[1]Tickets (2)'!$V$6:$V$805)," ")="","OK","")</f>
        <v/>
      </c>
      <c r="BW112" s="9" t="e">
        <f>IF(Tableau47[[#This Row],[INDEX]]&lt;3,"",IF(Tableau47[[#This Row],[COMMAND]]="","",([1]FSI_TB!$F$12/10)*(Tableau47[[#This Row],[LOT]]/$BW$30)))</f>
        <v>#DIV/0!</v>
      </c>
      <c r="BX112" s="9" t="e">
        <f>IF(Tableau47[[#This Row],[INDEX]]&lt;3,"",IF(Tableau47[[#This Row],[COMMAND]]="","",-([1]FSI_TB!$D$12/10)*(Tableau47[[#This Row],[LOT]]/$BW$30)))</f>
        <v>#DIV/0!</v>
      </c>
      <c r="BY112" s="9" t="s">
        <v>97</v>
      </c>
      <c r="BZ112" s="9" t="str">
        <f>IF(AND(Tableau47[[#This Row],[CLOTURE]]="REPOSITIONNER"),"OK",IF(AND(Tableau47[[#This Row],[CLOTURE]]="GAGNANT"),"KO",IF(Tableau47[[#This Row],[NON]]="NON","NON","")))</f>
        <v>NON</v>
      </c>
      <c r="CA112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12" s="9" t="str">
        <f>IFERROR(_xlfn.XLOOKUP(Tableau47[[#This Row],[COMMENTAIRE]],'[1]Tickets (2)'!$J$6:$J$805,'[1]Tickets (2)'!$F$6:$F$805),"")</f>
        <v/>
      </c>
      <c r="CC112" s="9">
        <f>IF(Tableau47[[#This Row],[INDEX]]&lt;3,"",IF(Tableau47[[#This Row],[COMMAND]]="","",Tableau47[[#This Row],[LOT]]))</f>
        <v>4000</v>
      </c>
      <c r="CD112" s="9">
        <f>IF(Tableau47[[#This Row],[INDEX]]&lt;3,"",IF(Tableau47[[#This Row],[COMMAND]]="","",IFERROR(_xlfn.XLOOKUP(Tableau47[[#This Row],[COMMENTAIRE]],[1]!Tableau4849[IDENTITE],[1]!Tableau4849[0,5]),0)))</f>
        <v>0</v>
      </c>
      <c r="CE11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2" s="9" t="str" cm="1">
        <f t="array" ref="CG112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2" s="9"/>
      <c r="CI112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2" s="9"/>
      <c r="CK112" s="21"/>
      <c r="CL112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2" s="9"/>
      <c r="CN112" s="9" t="str">
        <f>IF(Tableau47[[#This Row],[INDEX]]&lt;3,"",IF(Tableau47[[#This Row],[COMMAND]]="","",IF(AND(Tableau47[[#This Row],[EN ATTENTES]]="NON",Tableau47[[#This Row],[EN COURS]]&lt;&gt;""),"OK","STOP")))</f>
        <v>STOP</v>
      </c>
      <c r="CO112" s="19">
        <f>Tableau47[[#This Row],[Cst TIME]]</f>
        <v>44923.125898611113</v>
      </c>
      <c r="CP112" s="9">
        <f>[1]analos!$Q$237</f>
        <v>926507</v>
      </c>
      <c r="CQ112" s="9" t="str">
        <f>[1]FSI_TB!$F$3</f>
        <v>EURUSD</v>
      </c>
      <c r="CR112" s="9" t="str">
        <f>Tableau47[[#This Row],[GO1]]</f>
        <v>SELL</v>
      </c>
      <c r="CS112" s="9" t="str">
        <f>Tableau47[[#This Row],[PRICE]]</f>
        <v>1.06266</v>
      </c>
      <c r="CT112" s="9">
        <f>Tableau47[[#This Row],[LOT]]</f>
        <v>4000</v>
      </c>
      <c r="CU112" s="9" t="str">
        <f>Tableau47[[#This Row],[COMMENTAIRE]]</f>
        <v>1 RSRS S 1.06267 M1M1</v>
      </c>
      <c r="CV112" s="9"/>
      <c r="CW112" s="9">
        <v>1</v>
      </c>
      <c r="CX112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2" s="9">
        <f t="shared" ca="1" si="1"/>
        <v>44929.316958449075</v>
      </c>
    </row>
    <row r="113" spans="3:103" ht="15.75" x14ac:dyDescent="0.25">
      <c r="C113" s="8"/>
      <c r="D113" s="9"/>
      <c r="L113" s="9">
        <v>81</v>
      </c>
      <c r="M113" s="9" t="s">
        <v>132</v>
      </c>
      <c r="N113" s="9" t="s">
        <v>246</v>
      </c>
      <c r="O113" s="8" t="s">
        <v>247</v>
      </c>
      <c r="P113" s="9" t="s">
        <v>0</v>
      </c>
      <c r="Q113" s="9">
        <v>4000</v>
      </c>
      <c r="R11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3" s="9" t="str">
        <f>IF(AND(ISNUMBER(SEARCH("BUY",Tableau47[[#This Row],[COMMAND]]))),"BUY",IF(AND(ISNUMBER(SEARCH("SELL",Tableau47[[#This Row],[COMMAND]]))),"SELL",""))</f>
        <v>SELL</v>
      </c>
      <c r="T113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3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3" s="9">
        <v>925832</v>
      </c>
      <c r="W113" s="22">
        <v>44923.100309606481</v>
      </c>
      <c r="X113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3" s="9">
        <f>IFERROR(VALUE(SUBSTITUTE(Tableau47[[#This Row],[PRICE]],".",",")),"")</f>
        <v>1.06253</v>
      </c>
      <c r="Z113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3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3" s="9" t="str">
        <f>IF(IFERROR(_xlfn.XLOOKUP(Tableau47[[#This Row],[COMMENTAIRE]],'[1]Tickets (2)'!$J$6:$J$805,'[1]Tickets (2)'!$J$6:$J$805),"")&lt;&gt;"",1,"")</f>
        <v/>
      </c>
      <c r="AC113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3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3" s="9" t="str">
        <f>IFERROR(_xlfn.XLOOKUP(Tableau47[[#This Row],[INDEX]],Tableau47[COMPTE],Tableau47[COMPTE]),"")</f>
        <v/>
      </c>
      <c r="AF113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3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3" s="17" t="str">
        <f>IF(Tableau47[[#This Row],[COMMAND]]="BUYSTOP",IFERROR(ABS(Tableau47[[#This Row],[GO7]]-'[1]Deal ticket'!$B$15),""),"")</f>
        <v/>
      </c>
      <c r="AI113" s="9">
        <f>IF(Tableau47[[#This Row],[COMMAND]]="SELLSTOP",IFERROR(ABS(Tableau47[[#This Row],[GO7]]-'[1]Deal ticket'!$B$16),""),"")</f>
        <v>3.0499999999999972E-3</v>
      </c>
      <c r="AJ113" s="9" t="str">
        <f>IF(IFERROR(_xlfn.XLOOKUP(Tableau47[[#This Row],[COMMENTAIRE]],'[1]Tickets (2)'!$J$6:$J$805,'[1]Tickets (2)'!$J$6:$J$805),"")&lt;&gt;"",1,"")</f>
        <v/>
      </c>
      <c r="AK113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3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3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3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1.06253</v>
      </c>
      <c r="AO113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3" s="9" t="s">
        <v>97</v>
      </c>
      <c r="AQ113" s="9" t="str">
        <f>IFERROR(_xlfn.XLOOKUP(Tableau47[[#This Row],[COMMENTAIRE]],'[1]Tickets (2)'!$J$6:$J$805,'[1]Tickets (2)'!$C$6:$C$805),"")</f>
        <v/>
      </c>
      <c r="AR113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3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3" s="9" t="str">
        <f>IF(Tableau47[[#This Row],[GOUBLOP]]=1,Tableau47[[#This Row],[COMMENTAIRE]],"")</f>
        <v/>
      </c>
      <c r="AU113" s="9"/>
      <c r="AV113" s="9" t="str">
        <f>IFERROR(IF(_xlfn.XLOOKUP(Tableau47[[#This Row],[GOUBLOP2]],[1]!Tableau4849[ATTEINT],[1]!Tableau4849[ATTEINT])&lt;&gt;"",1,""),"")</f>
        <v/>
      </c>
      <c r="AW113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3" s="9" t="str">
        <f>IF(Tableau47[[#This Row],[COMMAND]]="","",IF(Tableau47[[#This Row],[INDEX]]&lt;3,"",LEFT(Tableau47[[#This Row],[COMMENTAIRE]],LEN(Tableau47[[#This Row],[COMMENTAIRE]])-2)))</f>
        <v>1 RSRS S 1.06255 M1</v>
      </c>
      <c r="AY113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3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3" s="9" t="str">
        <f>IF(Tableau47[[#This Row],[INDEX]]&lt;3,"",IF(Tableau47[[#This Row],[COMMAND]]="","",IFERROR(Tableau47[[#This Row],[DIS_BUY]]*$AX$30,"")))</f>
        <v/>
      </c>
      <c r="BB113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3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3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3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3" s="9" t="str">
        <f>IF(AND(Tableau47[[#This Row],[GO]]="GO",ISNUMBER(SEARCH("BUY",Tableau47[[#This Row],[COMMAND]]))),1,"")</f>
        <v/>
      </c>
      <c r="BH113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3" s="9" t="str">
        <f>IF(OR(Tableau47[[#This Row],[GLOBAL BUY]]=1),Tableau47[[#This Row],[COMMENTAIRE]],"")</f>
        <v/>
      </c>
      <c r="BJ113" s="9" t="str">
        <f>IF(OR(Tableau47[[#This Row],[GLOBAL SELL]]=1),Tableau47[[#This Row],[COMMENTAIRE]],"")</f>
        <v/>
      </c>
      <c r="BK113" s="9">
        <f>IF(Tableau47[[#This Row],[INDEX]]&lt;3,"",IF(Tableau47[[#This Row],[COMMAND]]="","",SUMIFS(Tableau47[COMMENTAIRE],Tableau47[COMMENTAIRE],Tableau47[[#This Row],[COMMENTAIRE]])))</f>
        <v>0</v>
      </c>
      <c r="BL113" s="9" t="str">
        <f>IF(IFERROR(_xlfn.XLOOKUP(Tableau47[[#This Row],[COMMENTAIRE]],'[1]Tickets (2)'!$J$6:$J$805,'[1]Tickets (2)'!$J$6:$J$805),"")&lt;&gt;"",1,"")</f>
        <v/>
      </c>
      <c r="BM113" s="9">
        <f>IF(Tableau47[[#This Row],[INDEX]]&lt;3,"",IF(Tableau47[[#This Row],[COMMAND]]="","",IF('[1]Bar history'!$AA$33=1,1,"")))</f>
        <v>1</v>
      </c>
      <c r="BN113" s="9">
        <f>IFERROR(IFERROR(_xlfn.XLOOKUP(Tableau47[[#This Row],[COMMENTAIRE]],[1]!Tableau4849[IDENTITE],[1]!Tableau4849[0,5]),0),"")</f>
        <v>0</v>
      </c>
      <c r="BO113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3" s="9" t="str">
        <f>IF(IFERROR(_xlfn.XLOOKUP(Tableau47[[#This Row],[COMMENTAIRE]],'[1]Tickets (2)'!$J$6:$J$805,'[1]Tickets (2)'!$U$6:$U$805)," ")="","OK","")</f>
        <v/>
      </c>
      <c r="BQ113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3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3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3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3" s="9" t="str">
        <f>IF(IFERROR(_xlfn.XLOOKUP(Tableau47[[#This Row],[COMMENTAIRE]],'[1]Tickets (2)'!$J$6:$J$805,'[1]Tickets (2)'!$U$6:$U$805)," ")="","OK","")</f>
        <v/>
      </c>
      <c r="BV113" s="9" t="str">
        <f>IF(IFERROR(_xlfn.XLOOKUP(Tableau47[[#This Row],[COMMENTAIRE]],'[1]Tickets (2)'!$J$6:$J$805,'[1]Tickets (2)'!$V$6:$V$805)," ")="","OK","")</f>
        <v/>
      </c>
      <c r="BW113" s="9" t="e">
        <f>IF(Tableau47[[#This Row],[INDEX]]&lt;3,"",IF(Tableau47[[#This Row],[COMMAND]]="","",([1]FSI_TB!$F$12/10)*(Tableau47[[#This Row],[LOT]]/$BW$30)))</f>
        <v>#DIV/0!</v>
      </c>
      <c r="BX113" s="9" t="e">
        <f>IF(Tableau47[[#This Row],[INDEX]]&lt;3,"",IF(Tableau47[[#This Row],[COMMAND]]="","",-([1]FSI_TB!$D$12/10)*(Tableau47[[#This Row],[LOT]]/$BW$30)))</f>
        <v>#DIV/0!</v>
      </c>
      <c r="BY113" s="9" t="s">
        <v>97</v>
      </c>
      <c r="BZ113" s="9" t="str">
        <f>IF(AND(Tableau47[[#This Row],[CLOTURE]]="REPOSITIONNER"),"OK",IF(AND(Tableau47[[#This Row],[CLOTURE]]="GAGNANT"),"KO",IF(Tableau47[[#This Row],[NON]]="NON","NON","")))</f>
        <v>NON</v>
      </c>
      <c r="CA113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</v>
      </c>
      <c r="CB113" s="9" t="str">
        <f>IFERROR(_xlfn.XLOOKUP(Tableau47[[#This Row],[COMMENTAIRE]],'[1]Tickets (2)'!$J$6:$J$805,'[1]Tickets (2)'!$F$6:$F$805),"")</f>
        <v/>
      </c>
      <c r="CC113" s="9">
        <f>IF(Tableau47[[#This Row],[INDEX]]&lt;3,"",IF(Tableau47[[#This Row],[COMMAND]]="","",Tableau47[[#This Row],[LOT]]))</f>
        <v>4000</v>
      </c>
      <c r="CD113" s="9">
        <f>IF(Tableau47[[#This Row],[INDEX]]&lt;3,"",IF(Tableau47[[#This Row],[COMMAND]]="","",IFERROR(_xlfn.XLOOKUP(Tableau47[[#This Row],[COMMENTAIRE]],[1]!Tableau4849[IDENTITE],[1]!Tableau4849[0,5]),0)))</f>
        <v>0</v>
      </c>
      <c r="CE11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3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3" s="9" t="str" cm="1">
        <f t="array" ref="CG113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3" s="9"/>
      <c r="CI113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3" s="9"/>
      <c r="CK113" s="21"/>
      <c r="CL113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3" s="9"/>
      <c r="CN113" s="9" t="str">
        <f>IF(Tableau47[[#This Row],[INDEX]]&lt;3,"",IF(Tableau47[[#This Row],[COMMAND]]="","",IF(AND(Tableau47[[#This Row],[EN ATTENTES]]="NON",Tableau47[[#This Row],[EN COURS]]&lt;&gt;""),"OK","STOP")))</f>
        <v>STOP</v>
      </c>
      <c r="CO113" s="19">
        <f>Tableau47[[#This Row],[Cst TIME]]</f>
        <v>44923.100309606481</v>
      </c>
      <c r="CP113" s="9">
        <f>[1]analos!$Q$237</f>
        <v>926507</v>
      </c>
      <c r="CQ113" s="9" t="str">
        <f>[1]FSI_TB!$F$3</f>
        <v>EURUSD</v>
      </c>
      <c r="CR113" s="9" t="str">
        <f>Tableau47[[#This Row],[GO1]]</f>
        <v>SELL</v>
      </c>
      <c r="CS113" s="9" t="str">
        <f>Tableau47[[#This Row],[PRICE]]</f>
        <v>1.06253</v>
      </c>
      <c r="CT113" s="9">
        <f>Tableau47[[#This Row],[LOT]]</f>
        <v>4000</v>
      </c>
      <c r="CU113" s="9" t="str">
        <f>Tableau47[[#This Row],[COMMENTAIRE]]</f>
        <v>1 RSRS S 1.06255 M1M1</v>
      </c>
      <c r="CV113" s="9"/>
      <c r="CW113" s="9">
        <v>1</v>
      </c>
      <c r="CX113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3" s="9">
        <f t="shared" ca="1" si="1"/>
        <v>44929.316958449075</v>
      </c>
    </row>
    <row r="114" spans="3:103" ht="15.75" x14ac:dyDescent="0.25">
      <c r="C114" s="8"/>
      <c r="D114" s="9"/>
      <c r="L114" s="9">
        <v>82</v>
      </c>
      <c r="M114" s="9" t="s">
        <v>132</v>
      </c>
      <c r="N114" s="9" t="s">
        <v>248</v>
      </c>
      <c r="O114" s="8" t="s">
        <v>2</v>
      </c>
      <c r="P114" s="9" t="s">
        <v>0</v>
      </c>
      <c r="Q114" s="9">
        <v>3000</v>
      </c>
      <c r="R11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4" s="9" t="str">
        <f>IF(AND(ISNUMBER(SEARCH("BUY",Tableau47[[#This Row],[COMMAND]]))),"BUY",IF(AND(ISNUMBER(SEARCH("SELL",Tableau47[[#This Row],[COMMAND]]))),"SELL",""))</f>
        <v>SELL</v>
      </c>
      <c r="T114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4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4" s="9">
        <v>925832</v>
      </c>
      <c r="W114" s="22">
        <v>44923.100084953701</v>
      </c>
      <c r="X114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4" s="9">
        <f>IFERROR(VALUE(SUBSTITUTE(Tableau47[[#This Row],[PRICE]],".",",")),"")</f>
        <v>1.0626</v>
      </c>
      <c r="Z114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4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4" s="9" t="str">
        <f>IF(IFERROR(_xlfn.XLOOKUP(Tableau47[[#This Row],[COMMENTAIRE]],'[1]Tickets (2)'!$J$6:$J$805,'[1]Tickets (2)'!$J$6:$J$805),"")&lt;&gt;"",1,"")</f>
        <v/>
      </c>
      <c r="AC114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4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4" s="9" t="str">
        <f>IFERROR(_xlfn.XLOOKUP(Tableau47[[#This Row],[INDEX]],Tableau47[COMPTE],Tableau47[COMPTE]),"")</f>
        <v/>
      </c>
      <c r="AF114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4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4" s="17" t="str">
        <f>IF(Tableau47[[#This Row],[COMMAND]]="BUYSTOP",IFERROR(ABS(Tableau47[[#This Row],[GO7]]-'[1]Deal ticket'!$B$15),""),"")</f>
        <v/>
      </c>
      <c r="AI114" s="9">
        <f>IF(Tableau47[[#This Row],[COMMAND]]="SELLSTOP",IFERROR(ABS(Tableau47[[#This Row],[GO7]]-'[1]Deal ticket'!$B$16),""),"")</f>
        <v>2.9799999999999827E-3</v>
      </c>
      <c r="AJ114" s="9" t="str">
        <f>IF(IFERROR(_xlfn.XLOOKUP(Tableau47[[#This Row],[COMMENTAIRE]],'[1]Tickets (2)'!$J$6:$J$805,'[1]Tickets (2)'!$J$6:$J$805),"")&lt;&gt;"",1,"")</f>
        <v/>
      </c>
      <c r="AK114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4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4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4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1.0626</v>
      </c>
      <c r="AO114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4" s="9" t="s">
        <v>97</v>
      </c>
      <c r="AQ114" s="9" t="str">
        <f>IFERROR(_xlfn.XLOOKUP(Tableau47[[#This Row],[COMMENTAIRE]],'[1]Tickets (2)'!$J$6:$J$805,'[1]Tickets (2)'!$C$6:$C$805),"")</f>
        <v/>
      </c>
      <c r="AR114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4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4" s="9" t="str">
        <f>IF(Tableau47[[#This Row],[GOUBLOP]]=1,Tableau47[[#This Row],[COMMENTAIRE]],"")</f>
        <v/>
      </c>
      <c r="AU114" s="9"/>
      <c r="AV114" s="9" t="str">
        <f>IFERROR(IF(_xlfn.XLOOKUP(Tableau47[[#This Row],[GOUBLOP2]],[1]!Tableau4849[ATTEINT],[1]!Tableau4849[ATTEINT])&lt;&gt;"",1,""),"")</f>
        <v/>
      </c>
      <c r="AW114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4" s="9" t="str">
        <f>IF(Tableau47[[#This Row],[COMMAND]]="","",IF(Tableau47[[#This Row],[INDEX]]&lt;3,"",LEFT(Tableau47[[#This Row],[COMMENTAIRE]],LEN(Tableau47[[#This Row],[COMMENTAIRE]])-2)))</f>
        <v>1 RSRS S 1.06246 M1</v>
      </c>
      <c r="AY114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4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4" s="9" t="str">
        <f>IF(Tableau47[[#This Row],[INDEX]]&lt;3,"",IF(Tableau47[[#This Row],[COMMAND]]="","",IFERROR(Tableau47[[#This Row],[DIS_BUY]]*$AX$30,"")))</f>
        <v/>
      </c>
      <c r="BB114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4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4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4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4" s="9" t="str">
        <f>IF(AND(Tableau47[[#This Row],[GO]]="GO",ISNUMBER(SEARCH("BUY",Tableau47[[#This Row],[COMMAND]]))),1,"")</f>
        <v/>
      </c>
      <c r="BH114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4" s="9" t="str">
        <f>IF(OR(Tableau47[[#This Row],[GLOBAL BUY]]=1),Tableau47[[#This Row],[COMMENTAIRE]],"")</f>
        <v/>
      </c>
      <c r="BJ114" s="9" t="str">
        <f>IF(OR(Tableau47[[#This Row],[GLOBAL SELL]]=1),Tableau47[[#This Row],[COMMENTAIRE]],"")</f>
        <v/>
      </c>
      <c r="BK114" s="9">
        <f>IF(Tableau47[[#This Row],[INDEX]]&lt;3,"",IF(Tableau47[[#This Row],[COMMAND]]="","",SUMIFS(Tableau47[COMMENTAIRE],Tableau47[COMMENTAIRE],Tableau47[[#This Row],[COMMENTAIRE]])))</f>
        <v>0</v>
      </c>
      <c r="BL114" s="9" t="str">
        <f>IF(IFERROR(_xlfn.XLOOKUP(Tableau47[[#This Row],[COMMENTAIRE]],'[1]Tickets (2)'!$J$6:$J$805,'[1]Tickets (2)'!$J$6:$J$805),"")&lt;&gt;"",1,"")</f>
        <v/>
      </c>
      <c r="BM114" s="9">
        <f>IF(Tableau47[[#This Row],[INDEX]]&lt;3,"",IF(Tableau47[[#This Row],[COMMAND]]="","",IF('[1]Bar history'!$AA$33=1,1,"")))</f>
        <v>1</v>
      </c>
      <c r="BN114" s="9">
        <f>IFERROR(IFERROR(_xlfn.XLOOKUP(Tableau47[[#This Row],[COMMENTAIRE]],[1]!Tableau4849[IDENTITE],[1]!Tableau4849[0,5]),0),"")</f>
        <v>0</v>
      </c>
      <c r="BO114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4" s="9" t="str">
        <f>IF(IFERROR(_xlfn.XLOOKUP(Tableau47[[#This Row],[COMMENTAIRE]],'[1]Tickets (2)'!$J$6:$J$805,'[1]Tickets (2)'!$U$6:$U$805)," ")="","OK","")</f>
        <v/>
      </c>
      <c r="BQ114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4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4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4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4" s="9" t="str">
        <f>IF(IFERROR(_xlfn.XLOOKUP(Tableau47[[#This Row],[COMMENTAIRE]],'[1]Tickets (2)'!$J$6:$J$805,'[1]Tickets (2)'!$U$6:$U$805)," ")="","OK","")</f>
        <v/>
      </c>
      <c r="BV114" s="9" t="str">
        <f>IF(IFERROR(_xlfn.XLOOKUP(Tableau47[[#This Row],[COMMENTAIRE]],'[1]Tickets (2)'!$J$6:$J$805,'[1]Tickets (2)'!$V$6:$V$805)," ")="","OK","")</f>
        <v/>
      </c>
      <c r="BW114" s="9" t="e">
        <f>IF(Tableau47[[#This Row],[INDEX]]&lt;3,"",IF(Tableau47[[#This Row],[COMMAND]]="","",([1]FSI_TB!$F$12/10)*(Tableau47[[#This Row],[LOT]]/$BW$30)))</f>
        <v>#DIV/0!</v>
      </c>
      <c r="BX114" s="9" t="e">
        <f>IF(Tableau47[[#This Row],[INDEX]]&lt;3,"",IF(Tableau47[[#This Row],[COMMAND]]="","",-([1]FSI_TB!$D$12/10)*(Tableau47[[#This Row],[LOT]]/$BW$30)))</f>
        <v>#DIV/0!</v>
      </c>
      <c r="BY114" s="9" t="s">
        <v>97</v>
      </c>
      <c r="BZ114" s="9" t="str">
        <f>IF(AND(Tableau47[[#This Row],[CLOTURE]]="REPOSITIONNER"),"OK",IF(AND(Tableau47[[#This Row],[CLOTURE]]="GAGNANT"),"KO",IF(Tableau47[[#This Row],[NON]]="NON","NON","")))</f>
        <v>NON</v>
      </c>
      <c r="CA114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3000</v>
      </c>
      <c r="CB114" s="9" t="str">
        <f>IFERROR(_xlfn.XLOOKUP(Tableau47[[#This Row],[COMMENTAIRE]],'[1]Tickets (2)'!$J$6:$J$805,'[1]Tickets (2)'!$F$6:$F$805),"")</f>
        <v/>
      </c>
      <c r="CC114" s="9">
        <f>IF(Tableau47[[#This Row],[INDEX]]&lt;3,"",IF(Tableau47[[#This Row],[COMMAND]]="","",Tableau47[[#This Row],[LOT]]))</f>
        <v>3000</v>
      </c>
      <c r="CD114" s="9">
        <f>IF(Tableau47[[#This Row],[INDEX]]&lt;3,"",IF(Tableau47[[#This Row],[COMMAND]]="","",IFERROR(_xlfn.XLOOKUP(Tableau47[[#This Row],[COMMENTAIRE]],[1]!Tableau4849[IDENTITE],[1]!Tableau4849[0,5]),0)))</f>
        <v>0</v>
      </c>
      <c r="CE11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4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4" s="9" t="str" cm="1">
        <f t="array" ref="CG114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4" s="9"/>
      <c r="CI114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4" s="9"/>
      <c r="CK114" s="21"/>
      <c r="CL114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4" s="9"/>
      <c r="CN114" s="9" t="str">
        <f>IF(Tableau47[[#This Row],[INDEX]]&lt;3,"",IF(Tableau47[[#This Row],[COMMAND]]="","",IF(AND(Tableau47[[#This Row],[EN ATTENTES]]="NON",Tableau47[[#This Row],[EN COURS]]&lt;&gt;""),"OK","STOP")))</f>
        <v>STOP</v>
      </c>
      <c r="CO114" s="19">
        <f>Tableau47[[#This Row],[Cst TIME]]</f>
        <v>44923.100084953701</v>
      </c>
      <c r="CP114" s="9">
        <f>[1]analos!$Q$237</f>
        <v>926507</v>
      </c>
      <c r="CQ114" s="9" t="str">
        <f>[1]FSI_TB!$F$3</f>
        <v>EURUSD</v>
      </c>
      <c r="CR114" s="9" t="str">
        <f>Tableau47[[#This Row],[GO1]]</f>
        <v>SELL</v>
      </c>
      <c r="CS114" s="9" t="str">
        <f>Tableau47[[#This Row],[PRICE]]</f>
        <v>1.0626</v>
      </c>
      <c r="CT114" s="9">
        <f>Tableau47[[#This Row],[LOT]]</f>
        <v>3000</v>
      </c>
      <c r="CU114" s="9" t="str">
        <f>Tableau47[[#This Row],[COMMENTAIRE]]</f>
        <v>1 RSRS S 1.06246 M1M1</v>
      </c>
      <c r="CV114" s="9"/>
      <c r="CW114" s="9">
        <v>1</v>
      </c>
      <c r="CX114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4" s="9">
        <f t="shared" ca="1" si="1"/>
        <v>44929.316958449075</v>
      </c>
    </row>
    <row r="115" spans="3:103" ht="15.75" x14ac:dyDescent="0.25">
      <c r="C115" s="8"/>
      <c r="D115" s="9"/>
      <c r="L115" s="9">
        <v>83</v>
      </c>
      <c r="M115" s="9" t="s">
        <v>123</v>
      </c>
      <c r="N115" s="9" t="s">
        <v>187</v>
      </c>
      <c r="O115" s="8" t="s">
        <v>249</v>
      </c>
      <c r="P115" s="9" t="s">
        <v>0</v>
      </c>
      <c r="Q115" s="9">
        <v>21000</v>
      </c>
      <c r="R11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5" s="9" t="str">
        <f>IF(AND(ISNUMBER(SEARCH("BUY",Tableau47[[#This Row],[COMMAND]]))),"BUY",IF(AND(ISNUMBER(SEARCH("SELL",Tableau47[[#This Row],[COMMAND]]))),"SELL",""))</f>
        <v>BUY</v>
      </c>
      <c r="T115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5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5" s="9">
        <v>925832</v>
      </c>
      <c r="W115" s="22">
        <v>44923.055477430556</v>
      </c>
      <c r="X115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5" s="9">
        <f>IFERROR(VALUE(SUBSTITUTE(Tableau47[[#This Row],[PRICE]],".",",")),"")</f>
        <v>1.0655300000000001</v>
      </c>
      <c r="Z115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5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5" s="9" t="str">
        <f>IF(IFERROR(_xlfn.XLOOKUP(Tableau47[[#This Row],[COMMENTAIRE]],'[1]Tickets (2)'!$J$6:$J$805,'[1]Tickets (2)'!$J$6:$J$805),"")&lt;&gt;"",1,"")</f>
        <v/>
      </c>
      <c r="AC115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5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5" s="9" t="str">
        <f>IFERROR(_xlfn.XLOOKUP(Tableau47[[#This Row],[INDEX]],Tableau47[COMPTE],Tableau47[COMPTE]),"")</f>
        <v/>
      </c>
      <c r="AF115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5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5" s="17">
        <f>IF(Tableau47[[#This Row],[COMMAND]]="BUYSTOP",IFERROR(ABS(Tableau47[[#This Row],[GO7]]-'[1]Deal ticket'!$B$15),""),"")</f>
        <v>9.0000000000145519E-5</v>
      </c>
      <c r="AI115" s="9" t="str">
        <f>IF(Tableau47[[#This Row],[COMMAND]]="SELLSTOP",IFERROR(ABS(Tableau47[[#This Row],[GO7]]-'[1]Deal ticket'!$B$16),""),"")</f>
        <v/>
      </c>
      <c r="AJ115" s="9" t="str">
        <f>IF(IFERROR(_xlfn.XLOOKUP(Tableau47[[#This Row],[COMMENTAIRE]],'[1]Tickets (2)'!$J$6:$J$805,'[1]Tickets (2)'!$J$6:$J$805),"")&lt;&gt;"",1,"")</f>
        <v/>
      </c>
      <c r="AK115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5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5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5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1.0655300000000001</v>
      </c>
      <c r="AO115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5" s="9" t="s">
        <v>97</v>
      </c>
      <c r="AQ115" s="9" t="str">
        <f>IFERROR(_xlfn.XLOOKUP(Tableau47[[#This Row],[COMMENTAIRE]],'[1]Tickets (2)'!$J$6:$J$805,'[1]Tickets (2)'!$C$6:$C$805),"")</f>
        <v/>
      </c>
      <c r="AR115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5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5" s="9" t="str">
        <f>IF(Tableau47[[#This Row],[GOUBLOP]]=1,Tableau47[[#This Row],[COMMENTAIRE]],"")</f>
        <v/>
      </c>
      <c r="AU115" s="9"/>
      <c r="AV115" s="9" t="str">
        <f>IFERROR(IF(_xlfn.XLOOKUP(Tableau47[[#This Row],[GOUBLOP2]],[1]!Tableau4849[ATTEINT],[1]!Tableau4849[ATTEINT])&lt;&gt;"",1,""),"")</f>
        <v/>
      </c>
      <c r="AW115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5" s="9" t="str">
        <f>IF(Tableau47[[#This Row],[COMMAND]]="","",IF(Tableau47[[#This Row],[INDEX]]&lt;3,"",LEFT(Tableau47[[#This Row],[COMMENTAIRE]],LEN(Tableau47[[#This Row],[COMMENTAIRE]])-2)))</f>
        <v>1 RBRB B 1.06414 M1</v>
      </c>
      <c r="AY115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5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5" s="9">
        <f>IF(Tableau47[[#This Row],[INDEX]]&lt;3,"",IF(Tableau47[[#This Row],[COMMAND]]="","",IFERROR(Tableau47[[#This Row],[DIS_BUY]]*$AX$30,"")))</f>
        <v>0</v>
      </c>
      <c r="BB115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5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5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5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5" s="9" t="str">
        <f>IF(AND(Tableau47[[#This Row],[GO]]="GO",ISNUMBER(SEARCH("BUY",Tableau47[[#This Row],[COMMAND]]))),1,"")</f>
        <v/>
      </c>
      <c r="BH115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5" s="9" t="str">
        <f>IF(OR(Tableau47[[#This Row],[GLOBAL BUY]]=1),Tableau47[[#This Row],[COMMENTAIRE]],"")</f>
        <v/>
      </c>
      <c r="BJ115" s="9" t="str">
        <f>IF(OR(Tableau47[[#This Row],[GLOBAL SELL]]=1),Tableau47[[#This Row],[COMMENTAIRE]],"")</f>
        <v/>
      </c>
      <c r="BK115" s="9">
        <f>IF(Tableau47[[#This Row],[INDEX]]&lt;3,"",IF(Tableau47[[#This Row],[COMMAND]]="","",SUMIFS(Tableau47[COMMENTAIRE],Tableau47[COMMENTAIRE],Tableau47[[#This Row],[COMMENTAIRE]])))</f>
        <v>0</v>
      </c>
      <c r="BL115" s="9" t="str">
        <f>IF(IFERROR(_xlfn.XLOOKUP(Tableau47[[#This Row],[COMMENTAIRE]],'[1]Tickets (2)'!$J$6:$J$805,'[1]Tickets (2)'!$J$6:$J$805),"")&lt;&gt;"",1,"")</f>
        <v/>
      </c>
      <c r="BM115" s="9">
        <f>IF(Tableau47[[#This Row],[INDEX]]&lt;3,"",IF(Tableau47[[#This Row],[COMMAND]]="","",IF('[1]Bar history'!$AA$33=1,1,"")))</f>
        <v>1</v>
      </c>
      <c r="BN115" s="9">
        <f>IFERROR(IFERROR(_xlfn.XLOOKUP(Tableau47[[#This Row],[COMMENTAIRE]],[1]!Tableau4849[IDENTITE],[1]!Tableau4849[0,5]),0),"")</f>
        <v>0</v>
      </c>
      <c r="BO115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5" s="9" t="str">
        <f>IF(IFERROR(_xlfn.XLOOKUP(Tableau47[[#This Row],[COMMENTAIRE]],'[1]Tickets (2)'!$J$6:$J$805,'[1]Tickets (2)'!$U$6:$U$805)," ")="","OK","")</f>
        <v/>
      </c>
      <c r="BQ115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5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5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5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5" s="9" t="str">
        <f>IF(IFERROR(_xlfn.XLOOKUP(Tableau47[[#This Row],[COMMENTAIRE]],'[1]Tickets (2)'!$J$6:$J$805,'[1]Tickets (2)'!$U$6:$U$805)," ")="","OK","")</f>
        <v/>
      </c>
      <c r="BV115" s="9" t="str">
        <f>IF(IFERROR(_xlfn.XLOOKUP(Tableau47[[#This Row],[COMMENTAIRE]],'[1]Tickets (2)'!$J$6:$J$805,'[1]Tickets (2)'!$V$6:$V$805)," ")="","OK","")</f>
        <v/>
      </c>
      <c r="BW115" s="9" t="e">
        <f>IF(Tableau47[[#This Row],[INDEX]]&lt;3,"",IF(Tableau47[[#This Row],[COMMAND]]="","",([1]FSI_TB!$F$12/10)*(Tableau47[[#This Row],[LOT]]/$BW$30)))</f>
        <v>#DIV/0!</v>
      </c>
      <c r="BX115" s="9" t="e">
        <f>IF(Tableau47[[#This Row],[INDEX]]&lt;3,"",IF(Tableau47[[#This Row],[COMMAND]]="","",-([1]FSI_TB!$D$12/10)*(Tableau47[[#This Row],[LOT]]/$BW$30)))</f>
        <v>#DIV/0!</v>
      </c>
      <c r="BY115" s="9" t="s">
        <v>97</v>
      </c>
      <c r="BZ115" s="9" t="str">
        <f>IF(AND(Tableau47[[#This Row],[CLOTURE]]="REPOSITIONNER"),"OK",IF(AND(Tableau47[[#This Row],[CLOTURE]]="GAGNANT"),"KO",IF(Tableau47[[#This Row],[NON]]="NON","NON","")))</f>
        <v>NON</v>
      </c>
      <c r="CA115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21000</v>
      </c>
      <c r="CB115" s="9" t="str">
        <f>IFERROR(_xlfn.XLOOKUP(Tableau47[[#This Row],[COMMENTAIRE]],'[1]Tickets (2)'!$J$6:$J$805,'[1]Tickets (2)'!$F$6:$F$805),"")</f>
        <v/>
      </c>
      <c r="CC115" s="9">
        <f>IF(Tableau47[[#This Row],[INDEX]]&lt;3,"",IF(Tableau47[[#This Row],[COMMAND]]="","",Tableau47[[#This Row],[LOT]]))</f>
        <v>21000</v>
      </c>
      <c r="CD115" s="9">
        <f>IF(Tableau47[[#This Row],[INDEX]]&lt;3,"",IF(Tableau47[[#This Row],[COMMAND]]="","",IFERROR(_xlfn.XLOOKUP(Tableau47[[#This Row],[COMMENTAIRE]],[1]!Tableau4849[IDENTITE],[1]!Tableau4849[0,5]),0)))</f>
        <v>0</v>
      </c>
      <c r="CE11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5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5" s="9" t="str" cm="1">
        <f t="array" ref="CG115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5" s="9"/>
      <c r="CI115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5" s="9"/>
      <c r="CK115" s="21"/>
      <c r="CL115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5" s="9"/>
      <c r="CN115" s="9" t="str">
        <f>IF(Tableau47[[#This Row],[INDEX]]&lt;3,"",IF(Tableau47[[#This Row],[COMMAND]]="","",IF(AND(Tableau47[[#This Row],[EN ATTENTES]]="NON",Tableau47[[#This Row],[EN COURS]]&lt;&gt;""),"OK","STOP")))</f>
        <v>STOP</v>
      </c>
      <c r="CO115" s="19">
        <f>Tableau47[[#This Row],[Cst TIME]]</f>
        <v>44923.055477430556</v>
      </c>
      <c r="CP115" s="9">
        <f>[1]analos!$Q$237</f>
        <v>926507</v>
      </c>
      <c r="CQ115" s="9" t="str">
        <f>[1]FSI_TB!$F$3</f>
        <v>EURUSD</v>
      </c>
      <c r="CR115" s="9" t="str">
        <f>Tableau47[[#This Row],[GO1]]</f>
        <v>BUY</v>
      </c>
      <c r="CS115" s="9" t="str">
        <f>Tableau47[[#This Row],[PRICE]]</f>
        <v>1.06553</v>
      </c>
      <c r="CT115" s="9">
        <f>Tableau47[[#This Row],[LOT]]</f>
        <v>21000</v>
      </c>
      <c r="CU115" s="9" t="str">
        <f>Tableau47[[#This Row],[COMMENTAIRE]]</f>
        <v>1 RBRB B 1.06414 M1M1</v>
      </c>
      <c r="CV115" s="9"/>
      <c r="CW115" s="9">
        <v>1</v>
      </c>
      <c r="CX115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5" s="9">
        <f t="shared" ca="1" si="1"/>
        <v>44929.316958449075</v>
      </c>
    </row>
    <row r="116" spans="3:103" ht="15.75" x14ac:dyDescent="0.25">
      <c r="C116" s="8"/>
      <c r="D116" s="9"/>
      <c r="L116" s="9">
        <v>84</v>
      </c>
      <c r="M116" s="9" t="s">
        <v>123</v>
      </c>
      <c r="N116" s="9" t="s">
        <v>23</v>
      </c>
      <c r="O116" s="8" t="s">
        <v>250</v>
      </c>
      <c r="P116" s="9" t="s">
        <v>0</v>
      </c>
      <c r="Q116" s="9">
        <v>41000</v>
      </c>
      <c r="R11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6" s="9" t="str">
        <f>IF(AND(ISNUMBER(SEARCH("BUY",Tableau47[[#This Row],[COMMAND]]))),"BUY",IF(AND(ISNUMBER(SEARCH("SELL",Tableau47[[#This Row],[COMMAND]]))),"SELL",""))</f>
        <v>BUY</v>
      </c>
      <c r="T116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6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6" s="9">
        <v>925832</v>
      </c>
      <c r="W116" s="22">
        <v>44923.036449305553</v>
      </c>
      <c r="X116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6" s="9">
        <f>IFERROR(VALUE(SUBSTITUTE(Tableau47[[#This Row],[PRICE]],".",",")),"")</f>
        <v>1.06565</v>
      </c>
      <c r="Z116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6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6" s="9" t="str">
        <f>IF(IFERROR(_xlfn.XLOOKUP(Tableau47[[#This Row],[COMMENTAIRE]],'[1]Tickets (2)'!$J$6:$J$805,'[1]Tickets (2)'!$J$6:$J$805),"")&lt;&gt;"",1,"")</f>
        <v/>
      </c>
      <c r="AC116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6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6" s="9" t="str">
        <f>IFERROR(_xlfn.XLOOKUP(Tableau47[[#This Row],[INDEX]],Tableau47[COMPTE],Tableau47[COMPTE]),"")</f>
        <v/>
      </c>
      <c r="AF116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6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6" s="17">
        <f>IF(Tableau47[[#This Row],[COMMAND]]="BUYSTOP",IFERROR(ABS(Tableau47[[#This Row],[GO7]]-'[1]Deal ticket'!$B$15),""),"")</f>
        <v>2.1000000000004349E-4</v>
      </c>
      <c r="AI116" s="9" t="str">
        <f>IF(Tableau47[[#This Row],[COMMAND]]="SELLSTOP",IFERROR(ABS(Tableau47[[#This Row],[GO7]]-'[1]Deal ticket'!$B$16),""),"")</f>
        <v/>
      </c>
      <c r="AJ116" s="9" t="str">
        <f>IF(IFERROR(_xlfn.XLOOKUP(Tableau47[[#This Row],[COMMENTAIRE]],'[1]Tickets (2)'!$J$6:$J$805,'[1]Tickets (2)'!$J$6:$J$805),"")&lt;&gt;"",1,"")</f>
        <v/>
      </c>
      <c r="AK116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6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6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6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1.06565</v>
      </c>
      <c r="AO116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6" s="9" t="s">
        <v>97</v>
      </c>
      <c r="AQ116" s="9" t="str">
        <f>IFERROR(_xlfn.XLOOKUP(Tableau47[[#This Row],[COMMENTAIRE]],'[1]Tickets (2)'!$J$6:$J$805,'[1]Tickets (2)'!$C$6:$C$805),"")</f>
        <v/>
      </c>
      <c r="AR116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6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6" s="9" t="str">
        <f>IF(Tableau47[[#This Row],[GOUBLOP]]=1,Tableau47[[#This Row],[COMMENTAIRE]],"")</f>
        <v/>
      </c>
      <c r="AU116" s="9"/>
      <c r="AV116" s="9" t="str">
        <f>IFERROR(IF(_xlfn.XLOOKUP(Tableau47[[#This Row],[GOUBLOP2]],[1]!Tableau4849[ATTEINT],[1]!Tableau4849[ATTEINT])&lt;&gt;"",1,""),"")</f>
        <v/>
      </c>
      <c r="AW116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6" s="9" t="str">
        <f>IF(Tableau47[[#This Row],[COMMAND]]="","",IF(Tableau47[[#This Row],[INDEX]]&lt;3,"",LEFT(Tableau47[[#This Row],[COMMENTAIRE]],LEN(Tableau47[[#This Row],[COMMENTAIRE]])-2)))</f>
        <v>1 RBRB B 1.20221 M1</v>
      </c>
      <c r="AY116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6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6" s="9">
        <f>IF(Tableau47[[#This Row],[INDEX]]&lt;3,"",IF(Tableau47[[#This Row],[COMMAND]]="","",IFERROR(Tableau47[[#This Row],[DIS_BUY]]*$AX$30,"")))</f>
        <v>0</v>
      </c>
      <c r="BB116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6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6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6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6" s="9" t="str">
        <f>IF(AND(Tableau47[[#This Row],[GO]]="GO",ISNUMBER(SEARCH("BUY",Tableau47[[#This Row],[COMMAND]]))),1,"")</f>
        <v/>
      </c>
      <c r="BH116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6" s="9" t="str">
        <f>IF(OR(Tableau47[[#This Row],[GLOBAL BUY]]=1),Tableau47[[#This Row],[COMMENTAIRE]],"")</f>
        <v/>
      </c>
      <c r="BJ116" s="9" t="str">
        <f>IF(OR(Tableau47[[#This Row],[GLOBAL SELL]]=1),Tableau47[[#This Row],[COMMENTAIRE]],"")</f>
        <v/>
      </c>
      <c r="BK116" s="9">
        <f>IF(Tableau47[[#This Row],[INDEX]]&lt;3,"",IF(Tableau47[[#This Row],[COMMAND]]="","",SUMIFS(Tableau47[COMMENTAIRE],Tableau47[COMMENTAIRE],Tableau47[[#This Row],[COMMENTAIRE]])))</f>
        <v>0</v>
      </c>
      <c r="BL116" s="9" t="str">
        <f>IF(IFERROR(_xlfn.XLOOKUP(Tableau47[[#This Row],[COMMENTAIRE]],'[1]Tickets (2)'!$J$6:$J$805,'[1]Tickets (2)'!$J$6:$J$805),"")&lt;&gt;"",1,"")</f>
        <v/>
      </c>
      <c r="BM116" s="9">
        <f>IF(Tableau47[[#This Row],[INDEX]]&lt;3,"",IF(Tableau47[[#This Row],[COMMAND]]="","",IF('[1]Bar history'!$AA$33=1,1,"")))</f>
        <v>1</v>
      </c>
      <c r="BN116" s="9">
        <f>IFERROR(IFERROR(_xlfn.XLOOKUP(Tableau47[[#This Row],[COMMENTAIRE]],[1]!Tableau4849[IDENTITE],[1]!Tableau4849[0,5]),0),"")</f>
        <v>0</v>
      </c>
      <c r="BO116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6" s="9" t="str">
        <f>IF(IFERROR(_xlfn.XLOOKUP(Tableau47[[#This Row],[COMMENTAIRE]],'[1]Tickets (2)'!$J$6:$J$805,'[1]Tickets (2)'!$U$6:$U$805)," ")="","OK","")</f>
        <v/>
      </c>
      <c r="BQ116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6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6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6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6" s="9" t="str">
        <f>IF(IFERROR(_xlfn.XLOOKUP(Tableau47[[#This Row],[COMMENTAIRE]],'[1]Tickets (2)'!$J$6:$J$805,'[1]Tickets (2)'!$U$6:$U$805)," ")="","OK","")</f>
        <v/>
      </c>
      <c r="BV116" s="9" t="str">
        <f>IF(IFERROR(_xlfn.XLOOKUP(Tableau47[[#This Row],[COMMENTAIRE]],'[1]Tickets (2)'!$J$6:$J$805,'[1]Tickets (2)'!$V$6:$V$805)," ")="","OK","")</f>
        <v/>
      </c>
      <c r="BW116" s="9" t="e">
        <f>IF(Tableau47[[#This Row],[INDEX]]&lt;3,"",IF(Tableau47[[#This Row],[COMMAND]]="","",([1]FSI_TB!$F$12/10)*(Tableau47[[#This Row],[LOT]]/$BW$30)))</f>
        <v>#DIV/0!</v>
      </c>
      <c r="BX116" s="9" t="e">
        <f>IF(Tableau47[[#This Row],[INDEX]]&lt;3,"",IF(Tableau47[[#This Row],[COMMAND]]="","",-([1]FSI_TB!$D$12/10)*(Tableau47[[#This Row],[LOT]]/$BW$30)))</f>
        <v>#DIV/0!</v>
      </c>
      <c r="BY116" s="9" t="s">
        <v>97</v>
      </c>
      <c r="BZ116" s="9" t="str">
        <f>IF(AND(Tableau47[[#This Row],[CLOTURE]]="REPOSITIONNER"),"OK",IF(AND(Tableau47[[#This Row],[CLOTURE]]="GAGNANT"),"KO",IF(Tableau47[[#This Row],[NON]]="NON","NON","")))</f>
        <v>NON</v>
      </c>
      <c r="CA116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41000</v>
      </c>
      <c r="CB116" s="9" t="str">
        <f>IFERROR(_xlfn.XLOOKUP(Tableau47[[#This Row],[COMMENTAIRE]],'[1]Tickets (2)'!$J$6:$J$805,'[1]Tickets (2)'!$F$6:$F$805),"")</f>
        <v/>
      </c>
      <c r="CC116" s="9">
        <f>IF(Tableau47[[#This Row],[INDEX]]&lt;3,"",IF(Tableau47[[#This Row],[COMMAND]]="","",Tableau47[[#This Row],[LOT]]))</f>
        <v>41000</v>
      </c>
      <c r="CD116" s="9">
        <f>IF(Tableau47[[#This Row],[INDEX]]&lt;3,"",IF(Tableau47[[#This Row],[COMMAND]]="","",IFERROR(_xlfn.XLOOKUP(Tableau47[[#This Row],[COMMENTAIRE]],[1]!Tableau4849[IDENTITE],[1]!Tableau4849[0,5]),0)))</f>
        <v>0</v>
      </c>
      <c r="CE11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6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6" s="9" t="str" cm="1">
        <f t="array" ref="CG116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6" s="9"/>
      <c r="CI116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6" s="9"/>
      <c r="CK116" s="21"/>
      <c r="CL116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6" s="9"/>
      <c r="CN116" s="9" t="str">
        <f>IF(Tableau47[[#This Row],[INDEX]]&lt;3,"",IF(Tableau47[[#This Row],[COMMAND]]="","",IF(AND(Tableau47[[#This Row],[EN ATTENTES]]="NON",Tableau47[[#This Row],[EN COURS]]&lt;&gt;""),"OK","STOP")))</f>
        <v>STOP</v>
      </c>
      <c r="CO116" s="19">
        <f>Tableau47[[#This Row],[Cst TIME]]</f>
        <v>44923.036449305553</v>
      </c>
      <c r="CP116" s="9">
        <f>[1]analos!$Q$237</f>
        <v>926507</v>
      </c>
      <c r="CQ116" s="9" t="str">
        <f>[1]FSI_TB!$F$3</f>
        <v>EURUSD</v>
      </c>
      <c r="CR116" s="9" t="str">
        <f>Tableau47[[#This Row],[GO1]]</f>
        <v>BUY</v>
      </c>
      <c r="CS116" s="9" t="str">
        <f>Tableau47[[#This Row],[PRICE]]</f>
        <v>1.06565</v>
      </c>
      <c r="CT116" s="9">
        <f>Tableau47[[#This Row],[LOT]]</f>
        <v>41000</v>
      </c>
      <c r="CU116" s="9" t="str">
        <f>Tableau47[[#This Row],[COMMENTAIRE]]</f>
        <v>1 RBRB B 1.20221 M1M1</v>
      </c>
      <c r="CV116" s="9"/>
      <c r="CW116" s="9">
        <v>1</v>
      </c>
      <c r="CX116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6" s="16">
        <f t="shared" ca="1" si="1"/>
        <v>44929.316958449075</v>
      </c>
    </row>
    <row r="117" spans="3:103" ht="15.75" x14ac:dyDescent="0.25">
      <c r="C117" s="8"/>
      <c r="D117" s="9"/>
      <c r="L117" s="9">
        <v>85</v>
      </c>
      <c r="M117" s="9" t="s">
        <v>123</v>
      </c>
      <c r="N117" s="9" t="s">
        <v>251</v>
      </c>
      <c r="O117" s="8" t="s">
        <v>252</v>
      </c>
      <c r="P117" s="9" t="s">
        <v>0</v>
      </c>
      <c r="Q117" s="9">
        <v>40000</v>
      </c>
      <c r="R11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7" s="9" t="str">
        <f>IF(AND(ISNUMBER(SEARCH("BUY",Tableau47[[#This Row],[COMMAND]]))),"BUY",IF(AND(ISNUMBER(SEARCH("SELL",Tableau47[[#This Row],[COMMAND]]))),"SELL",""))</f>
        <v>BUY</v>
      </c>
      <c r="T117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7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7" s="9">
        <v>925832</v>
      </c>
      <c r="W117" s="22">
        <v>44923.036255324078</v>
      </c>
      <c r="X117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7" s="9">
        <f>IFERROR(VALUE(SUBSTITUTE(Tableau47[[#This Row],[PRICE]],".",",")),"")</f>
        <v>1.06559</v>
      </c>
      <c r="Z117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7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7" s="9" t="str">
        <f>IF(IFERROR(_xlfn.XLOOKUP(Tableau47[[#This Row],[COMMENTAIRE]],'[1]Tickets (2)'!$J$6:$J$805,'[1]Tickets (2)'!$J$6:$J$805),"")&lt;&gt;"",1,"")</f>
        <v/>
      </c>
      <c r="AC117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7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7" s="9" t="str">
        <f>IFERROR(_xlfn.XLOOKUP(Tableau47[[#This Row],[INDEX]],Tableau47[COMPTE],Tableau47[COMPTE]),"")</f>
        <v/>
      </c>
      <c r="AF117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7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7" s="17">
        <f>IF(Tableau47[[#This Row],[COMMAND]]="BUYSTOP",IFERROR(ABS(Tableau47[[#This Row],[GO7]]-'[1]Deal ticket'!$B$15),""),"")</f>
        <v>1.500000000000945E-4</v>
      </c>
      <c r="AI117" s="9" t="str">
        <f>IF(Tableau47[[#This Row],[COMMAND]]="SELLSTOP",IFERROR(ABS(Tableau47[[#This Row],[GO7]]-'[1]Deal ticket'!$B$16),""),"")</f>
        <v/>
      </c>
      <c r="AJ117" s="9" t="str">
        <f>IF(IFERROR(_xlfn.XLOOKUP(Tableau47[[#This Row],[COMMENTAIRE]],'[1]Tickets (2)'!$J$6:$J$805,'[1]Tickets (2)'!$J$6:$J$805),"")&lt;&gt;"",1,"")</f>
        <v/>
      </c>
      <c r="AK117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7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7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7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1.06559</v>
      </c>
      <c r="AO117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7" s="9" t="s">
        <v>97</v>
      </c>
      <c r="AQ117" s="9" t="str">
        <f>IFERROR(_xlfn.XLOOKUP(Tableau47[[#This Row],[COMMENTAIRE]],'[1]Tickets (2)'!$J$6:$J$805,'[1]Tickets (2)'!$C$6:$C$805),"")</f>
        <v/>
      </c>
      <c r="AR117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7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7" s="9" t="str">
        <f>IF(Tableau47[[#This Row],[GOUBLOP]]=1,Tableau47[[#This Row],[COMMENTAIRE]],"")</f>
        <v/>
      </c>
      <c r="AU117" s="9"/>
      <c r="AV117" s="9" t="str">
        <f>IFERROR(IF(_xlfn.XLOOKUP(Tableau47[[#This Row],[GOUBLOP2]],[1]!Tableau4849[ATTEINT],[1]!Tableau4849[ATTEINT])&lt;&gt;"",1,""),"")</f>
        <v/>
      </c>
      <c r="AW117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7" s="9" t="str">
        <f>IF(Tableau47[[#This Row],[COMMAND]]="","",IF(Tableau47[[#This Row],[INDEX]]&lt;3,"",LEFT(Tableau47[[#This Row],[COMMENTAIRE]],LEN(Tableau47[[#This Row],[COMMENTAIRE]])-2)))</f>
        <v>1 RBRB B 1.2015 M1</v>
      </c>
      <c r="AY117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7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7" s="9">
        <f>IF(Tableau47[[#This Row],[INDEX]]&lt;3,"",IF(Tableau47[[#This Row],[COMMAND]]="","",IFERROR(Tableau47[[#This Row],[DIS_BUY]]*$AX$30,"")))</f>
        <v>0</v>
      </c>
      <c r="BB117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7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7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7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7" s="9" t="str">
        <f>IF(AND(Tableau47[[#This Row],[GO]]="GO",ISNUMBER(SEARCH("BUY",Tableau47[[#This Row],[COMMAND]]))),1,"")</f>
        <v/>
      </c>
      <c r="BH117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7" s="9" t="str">
        <f>IF(OR(Tableau47[[#This Row],[GLOBAL BUY]]=1),Tableau47[[#This Row],[COMMENTAIRE]],"")</f>
        <v/>
      </c>
      <c r="BJ117" s="9" t="str">
        <f>IF(OR(Tableau47[[#This Row],[GLOBAL SELL]]=1),Tableau47[[#This Row],[COMMENTAIRE]],"")</f>
        <v/>
      </c>
      <c r="BK117" s="9">
        <f>IF(Tableau47[[#This Row],[INDEX]]&lt;3,"",IF(Tableau47[[#This Row],[COMMAND]]="","",SUMIFS(Tableau47[COMMENTAIRE],Tableau47[COMMENTAIRE],Tableau47[[#This Row],[COMMENTAIRE]])))</f>
        <v>0</v>
      </c>
      <c r="BL117" s="9" t="str">
        <f>IF(IFERROR(_xlfn.XLOOKUP(Tableau47[[#This Row],[COMMENTAIRE]],'[1]Tickets (2)'!$J$6:$J$805,'[1]Tickets (2)'!$J$6:$J$805),"")&lt;&gt;"",1,"")</f>
        <v/>
      </c>
      <c r="BM117" s="9">
        <f>IF(Tableau47[[#This Row],[INDEX]]&lt;3,"",IF(Tableau47[[#This Row],[COMMAND]]="","",IF('[1]Bar history'!$AA$33=1,1,"")))</f>
        <v>1</v>
      </c>
      <c r="BN117" s="9">
        <f>IFERROR(IFERROR(_xlfn.XLOOKUP(Tableau47[[#This Row],[COMMENTAIRE]],[1]!Tableau4849[IDENTITE],[1]!Tableau4849[0,5]),0),"")</f>
        <v>0</v>
      </c>
      <c r="BO117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7" s="9" t="str">
        <f>IF(IFERROR(_xlfn.XLOOKUP(Tableau47[[#This Row],[COMMENTAIRE]],'[1]Tickets (2)'!$J$6:$J$805,'[1]Tickets (2)'!$U$6:$U$805)," ")="","OK","")</f>
        <v/>
      </c>
      <c r="BQ117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7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7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7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7" s="9" t="str">
        <f>IF(IFERROR(_xlfn.XLOOKUP(Tableau47[[#This Row],[COMMENTAIRE]],'[1]Tickets (2)'!$J$6:$J$805,'[1]Tickets (2)'!$U$6:$U$805)," ")="","OK","")</f>
        <v/>
      </c>
      <c r="BV117" s="9" t="str">
        <f>IF(IFERROR(_xlfn.XLOOKUP(Tableau47[[#This Row],[COMMENTAIRE]],'[1]Tickets (2)'!$J$6:$J$805,'[1]Tickets (2)'!$V$6:$V$805)," ")="","OK","")</f>
        <v/>
      </c>
      <c r="BW117" s="9" t="e">
        <f>IF(Tableau47[[#This Row],[INDEX]]&lt;3,"",IF(Tableau47[[#This Row],[COMMAND]]="","",([1]FSI_TB!$F$12/10)*(Tableau47[[#This Row],[LOT]]/$BW$30)))</f>
        <v>#DIV/0!</v>
      </c>
      <c r="BX117" s="9" t="e">
        <f>IF(Tableau47[[#This Row],[INDEX]]&lt;3,"",IF(Tableau47[[#This Row],[COMMAND]]="","",-([1]FSI_TB!$D$12/10)*(Tableau47[[#This Row],[LOT]]/$BW$30)))</f>
        <v>#DIV/0!</v>
      </c>
      <c r="BY117" s="9" t="s">
        <v>97</v>
      </c>
      <c r="BZ117" s="9" t="str">
        <f>IF(AND(Tableau47[[#This Row],[CLOTURE]]="REPOSITIONNER"),"OK",IF(AND(Tableau47[[#This Row],[CLOTURE]]="GAGNANT"),"KO",IF(Tableau47[[#This Row],[NON]]="NON","NON","")))</f>
        <v>NON</v>
      </c>
      <c r="CA117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40000</v>
      </c>
      <c r="CB117" s="9" t="str">
        <f>IFERROR(_xlfn.XLOOKUP(Tableau47[[#This Row],[COMMENTAIRE]],'[1]Tickets (2)'!$J$6:$J$805,'[1]Tickets (2)'!$F$6:$F$805),"")</f>
        <v/>
      </c>
      <c r="CC117" s="9">
        <f>IF(Tableau47[[#This Row],[INDEX]]&lt;3,"",IF(Tableau47[[#This Row],[COMMAND]]="","",Tableau47[[#This Row],[LOT]]))</f>
        <v>40000</v>
      </c>
      <c r="CD117" s="9">
        <f>IF(Tableau47[[#This Row],[INDEX]]&lt;3,"",IF(Tableau47[[#This Row],[COMMAND]]="","",IFERROR(_xlfn.XLOOKUP(Tableau47[[#This Row],[COMMENTAIRE]],[1]!Tableau4849[IDENTITE],[1]!Tableau4849[0,5]),0)))</f>
        <v>0</v>
      </c>
      <c r="CE11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7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7" s="9" t="str" cm="1">
        <f t="array" ref="CG117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7" s="9"/>
      <c r="CI117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7" s="9"/>
      <c r="CK117" s="21"/>
      <c r="CL117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7" s="9"/>
      <c r="CN117" s="9" t="str">
        <f>IF(Tableau47[[#This Row],[INDEX]]&lt;3,"",IF(Tableau47[[#This Row],[COMMAND]]="","",IF(AND(Tableau47[[#This Row],[EN ATTENTES]]="NON",Tableau47[[#This Row],[EN COURS]]&lt;&gt;""),"OK","STOP")))</f>
        <v>STOP</v>
      </c>
      <c r="CO117" s="19">
        <f>Tableau47[[#This Row],[Cst TIME]]</f>
        <v>44923.036255324078</v>
      </c>
      <c r="CP117" s="9">
        <f>[1]analos!$Q$237</f>
        <v>926507</v>
      </c>
      <c r="CQ117" s="9" t="str">
        <f>[1]FSI_TB!$F$3</f>
        <v>EURUSD</v>
      </c>
      <c r="CR117" s="9" t="str">
        <f>Tableau47[[#This Row],[GO1]]</f>
        <v>BUY</v>
      </c>
      <c r="CS117" s="9" t="str">
        <f>Tableau47[[#This Row],[PRICE]]</f>
        <v>1.06559</v>
      </c>
      <c r="CT117" s="9">
        <f>Tableau47[[#This Row],[LOT]]</f>
        <v>40000</v>
      </c>
      <c r="CU117" s="9" t="str">
        <f>Tableau47[[#This Row],[COMMENTAIRE]]</f>
        <v>1 RBRB B 1.2015 M1M1</v>
      </c>
      <c r="CV117" s="9"/>
      <c r="CW117" s="9">
        <v>1</v>
      </c>
      <c r="CX117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7" s="16">
        <f t="shared" ca="1" si="1"/>
        <v>44929.316958449075</v>
      </c>
    </row>
    <row r="118" spans="3:103" ht="15.75" x14ac:dyDescent="0.25">
      <c r="C118" s="8"/>
      <c r="D118" s="9"/>
      <c r="L118" s="9">
        <v>86</v>
      </c>
      <c r="M118" s="9" t="s">
        <v>123</v>
      </c>
      <c r="N118" s="9" t="s">
        <v>23</v>
      </c>
      <c r="O118" s="8" t="s">
        <v>253</v>
      </c>
      <c r="P118" s="9" t="s">
        <v>0</v>
      </c>
      <c r="Q118" s="9">
        <v>31000</v>
      </c>
      <c r="R11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8" s="9" t="str">
        <f>IF(AND(ISNUMBER(SEARCH("BUY",Tableau47[[#This Row],[COMMAND]]))),"BUY",IF(AND(ISNUMBER(SEARCH("SELL",Tableau47[[#This Row],[COMMAND]]))),"SELL",""))</f>
        <v>BUY</v>
      </c>
      <c r="T118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8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8" s="9">
        <v>925832</v>
      </c>
      <c r="W118" s="22">
        <v>44923.036024421293</v>
      </c>
      <c r="X118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8" s="9">
        <f>IFERROR(VALUE(SUBSTITUTE(Tableau47[[#This Row],[PRICE]],".",",")),"")</f>
        <v>1.06565</v>
      </c>
      <c r="Z118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8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8" s="9" t="str">
        <f>IF(IFERROR(_xlfn.XLOOKUP(Tableau47[[#This Row],[COMMENTAIRE]],'[1]Tickets (2)'!$J$6:$J$805,'[1]Tickets (2)'!$J$6:$J$805),"")&lt;&gt;"",1,"")</f>
        <v/>
      </c>
      <c r="AC118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8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8" s="9" t="str">
        <f>IFERROR(_xlfn.XLOOKUP(Tableau47[[#This Row],[INDEX]],Tableau47[COMPTE],Tableau47[COMPTE]),"")</f>
        <v/>
      </c>
      <c r="AF118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8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8" s="17">
        <f>IF(Tableau47[[#This Row],[COMMAND]]="BUYSTOP",IFERROR(ABS(Tableau47[[#This Row],[GO7]]-'[1]Deal ticket'!$B$15),""),"")</f>
        <v>2.1000000000004349E-4</v>
      </c>
      <c r="AI118" s="9" t="str">
        <f>IF(Tableau47[[#This Row],[COMMAND]]="SELLSTOP",IFERROR(ABS(Tableau47[[#This Row],[GO7]]-'[1]Deal ticket'!$B$16),""),"")</f>
        <v/>
      </c>
      <c r="AJ118" s="9" t="str">
        <f>IF(IFERROR(_xlfn.XLOOKUP(Tableau47[[#This Row],[COMMENTAIRE]],'[1]Tickets (2)'!$J$6:$J$805,'[1]Tickets (2)'!$J$6:$J$805),"")&lt;&gt;"",1,"")</f>
        <v/>
      </c>
      <c r="AK118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8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8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8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1.06565</v>
      </c>
      <c r="AO118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8" s="9" t="s">
        <v>97</v>
      </c>
      <c r="AQ118" s="9" t="str">
        <f>IFERROR(_xlfn.XLOOKUP(Tableau47[[#This Row],[COMMENTAIRE]],'[1]Tickets (2)'!$J$6:$J$805,'[1]Tickets (2)'!$C$6:$C$805),"")</f>
        <v/>
      </c>
      <c r="AR118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8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8" s="9" t="str">
        <f>IF(Tableau47[[#This Row],[GOUBLOP]]=1,Tableau47[[#This Row],[COMMENTAIRE]],"")</f>
        <v/>
      </c>
      <c r="AU118" s="9"/>
      <c r="AV118" s="9" t="str">
        <f>IFERROR(IF(_xlfn.XLOOKUP(Tableau47[[#This Row],[GOUBLOP2]],[1]!Tableau4849[ATTEINT],[1]!Tableau4849[ATTEINT])&lt;&gt;"",1,""),"")</f>
        <v/>
      </c>
      <c r="AW118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8" s="9" t="str">
        <f>IF(Tableau47[[#This Row],[COMMAND]]="","",IF(Tableau47[[#This Row],[INDEX]]&lt;3,"",LEFT(Tableau47[[#This Row],[COMMENTAIRE]],LEN(Tableau47[[#This Row],[COMMENTAIRE]])-2)))</f>
        <v>1 RBRB B 1.20233 M1</v>
      </c>
      <c r="AY118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8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8" s="9">
        <f>IF(Tableau47[[#This Row],[INDEX]]&lt;3,"",IF(Tableau47[[#This Row],[COMMAND]]="","",IFERROR(Tableau47[[#This Row],[DIS_BUY]]*$AX$30,"")))</f>
        <v>0</v>
      </c>
      <c r="BB118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8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8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8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8" s="9" t="str">
        <f>IF(AND(Tableau47[[#This Row],[GO]]="GO",ISNUMBER(SEARCH("BUY",Tableau47[[#This Row],[COMMAND]]))),1,"")</f>
        <v/>
      </c>
      <c r="BH118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8" s="9" t="str">
        <f>IF(OR(Tableau47[[#This Row],[GLOBAL BUY]]=1),Tableau47[[#This Row],[COMMENTAIRE]],"")</f>
        <v/>
      </c>
      <c r="BJ118" s="9" t="str">
        <f>IF(OR(Tableau47[[#This Row],[GLOBAL SELL]]=1),Tableau47[[#This Row],[COMMENTAIRE]],"")</f>
        <v/>
      </c>
      <c r="BK118" s="9">
        <f>IF(Tableau47[[#This Row],[INDEX]]&lt;3,"",IF(Tableau47[[#This Row],[COMMAND]]="","",SUMIFS(Tableau47[COMMENTAIRE],Tableau47[COMMENTAIRE],Tableau47[[#This Row],[COMMENTAIRE]])))</f>
        <v>0</v>
      </c>
      <c r="BL118" s="9" t="str">
        <f>IF(IFERROR(_xlfn.XLOOKUP(Tableau47[[#This Row],[COMMENTAIRE]],'[1]Tickets (2)'!$J$6:$J$805,'[1]Tickets (2)'!$J$6:$J$805),"")&lt;&gt;"",1,"")</f>
        <v/>
      </c>
      <c r="BM118" s="9">
        <f>IF(Tableau47[[#This Row],[INDEX]]&lt;3,"",IF(Tableau47[[#This Row],[COMMAND]]="","",IF('[1]Bar history'!$AA$33=1,1,"")))</f>
        <v>1</v>
      </c>
      <c r="BN118" s="9">
        <f>IFERROR(IFERROR(_xlfn.XLOOKUP(Tableau47[[#This Row],[COMMENTAIRE]],[1]!Tableau4849[IDENTITE],[1]!Tableau4849[0,5]),0),"")</f>
        <v>0</v>
      </c>
      <c r="BO118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8" s="9" t="str">
        <f>IF(IFERROR(_xlfn.XLOOKUP(Tableau47[[#This Row],[COMMENTAIRE]],'[1]Tickets (2)'!$J$6:$J$805,'[1]Tickets (2)'!$U$6:$U$805)," ")="","OK","")</f>
        <v/>
      </c>
      <c r="BQ118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8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8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8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8" s="9" t="str">
        <f>IF(IFERROR(_xlfn.XLOOKUP(Tableau47[[#This Row],[COMMENTAIRE]],'[1]Tickets (2)'!$J$6:$J$805,'[1]Tickets (2)'!$U$6:$U$805)," ")="","OK","")</f>
        <v/>
      </c>
      <c r="BV118" s="9" t="str">
        <f>IF(IFERROR(_xlfn.XLOOKUP(Tableau47[[#This Row],[COMMENTAIRE]],'[1]Tickets (2)'!$J$6:$J$805,'[1]Tickets (2)'!$V$6:$V$805)," ")="","OK","")</f>
        <v/>
      </c>
      <c r="BW118" s="9" t="e">
        <f>IF(Tableau47[[#This Row],[INDEX]]&lt;3,"",IF(Tableau47[[#This Row],[COMMAND]]="","",([1]FSI_TB!$F$12/10)*(Tableau47[[#This Row],[LOT]]/$BW$30)))</f>
        <v>#DIV/0!</v>
      </c>
      <c r="BX118" s="9" t="e">
        <f>IF(Tableau47[[#This Row],[INDEX]]&lt;3,"",IF(Tableau47[[#This Row],[COMMAND]]="","",-([1]FSI_TB!$D$12/10)*(Tableau47[[#This Row],[LOT]]/$BW$30)))</f>
        <v>#DIV/0!</v>
      </c>
      <c r="BY118" s="9" t="s">
        <v>97</v>
      </c>
      <c r="BZ118" s="9" t="str">
        <f>IF(AND(Tableau47[[#This Row],[CLOTURE]]="REPOSITIONNER"),"OK",IF(AND(Tableau47[[#This Row],[CLOTURE]]="GAGNANT"),"KO",IF(Tableau47[[#This Row],[NON]]="NON","NON","")))</f>
        <v>NON</v>
      </c>
      <c r="CA118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31000</v>
      </c>
      <c r="CB118" s="9" t="str">
        <f>IFERROR(_xlfn.XLOOKUP(Tableau47[[#This Row],[COMMENTAIRE]],'[1]Tickets (2)'!$J$6:$J$805,'[1]Tickets (2)'!$F$6:$F$805),"")</f>
        <v/>
      </c>
      <c r="CC118" s="9">
        <f>IF(Tableau47[[#This Row],[INDEX]]&lt;3,"",IF(Tableau47[[#This Row],[COMMAND]]="","",Tableau47[[#This Row],[LOT]]))</f>
        <v>31000</v>
      </c>
      <c r="CD118" s="9">
        <f>IF(Tableau47[[#This Row],[INDEX]]&lt;3,"",IF(Tableau47[[#This Row],[COMMAND]]="","",IFERROR(_xlfn.XLOOKUP(Tableau47[[#This Row],[COMMENTAIRE]],[1]!Tableau4849[IDENTITE],[1]!Tableau4849[0,5]),0)))</f>
        <v>0</v>
      </c>
      <c r="CE11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8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8" s="9" t="str" cm="1">
        <f t="array" ref="CG118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8" s="9"/>
      <c r="CI118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8" s="9"/>
      <c r="CK118" s="21"/>
      <c r="CL118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8" s="9"/>
      <c r="CN118" s="9" t="str">
        <f>IF(Tableau47[[#This Row],[INDEX]]&lt;3,"",IF(Tableau47[[#This Row],[COMMAND]]="","",IF(AND(Tableau47[[#This Row],[EN ATTENTES]]="NON",Tableau47[[#This Row],[EN COURS]]&lt;&gt;""),"OK","STOP")))</f>
        <v>STOP</v>
      </c>
      <c r="CO118" s="19">
        <f>Tableau47[[#This Row],[Cst TIME]]</f>
        <v>44923.036024421293</v>
      </c>
      <c r="CP118" s="9">
        <f>[1]analos!$Q$237</f>
        <v>926507</v>
      </c>
      <c r="CQ118" s="9" t="str">
        <f>[1]FSI_TB!$F$3</f>
        <v>EURUSD</v>
      </c>
      <c r="CR118" s="9" t="str">
        <f>Tableau47[[#This Row],[GO1]]</f>
        <v>BUY</v>
      </c>
      <c r="CS118" s="9" t="str">
        <f>Tableau47[[#This Row],[PRICE]]</f>
        <v>1.06565</v>
      </c>
      <c r="CT118" s="9">
        <f>Tableau47[[#This Row],[LOT]]</f>
        <v>31000</v>
      </c>
      <c r="CU118" s="9" t="str">
        <f>Tableau47[[#This Row],[COMMENTAIRE]]</f>
        <v>1 RBRB B 1.20233 M1M1</v>
      </c>
      <c r="CV118" s="9"/>
      <c r="CW118" s="9">
        <v>1</v>
      </c>
      <c r="CX118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8" s="16">
        <f t="shared" ca="1" si="1"/>
        <v>44929.316958449075</v>
      </c>
    </row>
    <row r="119" spans="3:103" ht="15.75" x14ac:dyDescent="0.25">
      <c r="C119" s="8"/>
      <c r="D119" s="9"/>
      <c r="L119" s="9">
        <v>87</v>
      </c>
      <c r="M119" s="9" t="s">
        <v>123</v>
      </c>
      <c r="N119" s="9" t="s">
        <v>27</v>
      </c>
      <c r="O119" s="8" t="s">
        <v>254</v>
      </c>
      <c r="P119" s="9" t="s">
        <v>0</v>
      </c>
      <c r="Q119" s="9">
        <v>292000</v>
      </c>
      <c r="R11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19" s="9" t="str">
        <f>IF(AND(ISNUMBER(SEARCH("BUY",Tableau47[[#This Row],[COMMAND]]))),"BUY",IF(AND(ISNUMBER(SEARCH("SELL",Tableau47[[#This Row],[COMMAND]]))),"SELL",""))</f>
        <v>BUY</v>
      </c>
      <c r="T119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19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19" s="9">
        <v>925832</v>
      </c>
      <c r="W119" s="22">
        <v>44923.035814814815</v>
      </c>
      <c r="X119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19" s="9">
        <f>IFERROR(VALUE(SUBSTITUTE(Tableau47[[#This Row],[PRICE]],".",",")),"")</f>
        <v>1.0655600000000001</v>
      </c>
      <c r="Z119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19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19" s="9" t="str">
        <f>IF(IFERROR(_xlfn.XLOOKUP(Tableau47[[#This Row],[COMMENTAIRE]],'[1]Tickets (2)'!$J$6:$J$805,'[1]Tickets (2)'!$J$6:$J$805),"")&lt;&gt;"",1,"")</f>
        <v/>
      </c>
      <c r="AC119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19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19" s="9" t="str">
        <f>IFERROR(_xlfn.XLOOKUP(Tableau47[[#This Row],[INDEX]],Tableau47[COMPTE],Tableau47[COMPTE]),"")</f>
        <v/>
      </c>
      <c r="AF119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19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19" s="17">
        <f>IF(Tableau47[[#This Row],[COMMAND]]="BUYSTOP",IFERROR(ABS(Tableau47[[#This Row],[GO7]]-'[1]Deal ticket'!$B$15),""),"")</f>
        <v>1.2000000000012001E-4</v>
      </c>
      <c r="AI119" s="9" t="str">
        <f>IF(Tableau47[[#This Row],[COMMAND]]="SELLSTOP",IFERROR(ABS(Tableau47[[#This Row],[GO7]]-'[1]Deal ticket'!$B$16),""),"")</f>
        <v/>
      </c>
      <c r="AJ119" s="9" t="str">
        <f>IF(IFERROR(_xlfn.XLOOKUP(Tableau47[[#This Row],[COMMENTAIRE]],'[1]Tickets (2)'!$J$6:$J$805,'[1]Tickets (2)'!$J$6:$J$805),"")&lt;&gt;"",1,"")</f>
        <v/>
      </c>
      <c r="AK119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19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19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19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1.0655600000000001</v>
      </c>
      <c r="AO119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19" s="9" t="s">
        <v>97</v>
      </c>
      <c r="AQ119" s="9" t="str">
        <f>IFERROR(_xlfn.XLOOKUP(Tableau47[[#This Row],[COMMENTAIRE]],'[1]Tickets (2)'!$J$6:$J$805,'[1]Tickets (2)'!$C$6:$C$805),"")</f>
        <v/>
      </c>
      <c r="AR119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19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19" s="9" t="str">
        <f>IF(Tableau47[[#This Row],[GOUBLOP]]=1,Tableau47[[#This Row],[COMMENTAIRE]],"")</f>
        <v/>
      </c>
      <c r="AU119" s="9"/>
      <c r="AV119" s="9" t="str">
        <f>IFERROR(IF(_xlfn.XLOOKUP(Tableau47[[#This Row],[GOUBLOP2]],[1]!Tableau4849[ATTEINT],[1]!Tableau4849[ATTEINT])&lt;&gt;"",1,""),"")</f>
        <v/>
      </c>
      <c r="AW119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19" s="9" t="str">
        <f>IF(Tableau47[[#This Row],[COMMAND]]="","",IF(Tableau47[[#This Row],[INDEX]]&lt;3,"",LEFT(Tableau47[[#This Row],[COMMENTAIRE]],LEN(Tableau47[[#This Row],[COMMENTAIRE]])-2)))</f>
        <v>1 RBRB B 1.20059 M1</v>
      </c>
      <c r="AY119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19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19" s="9">
        <f>IF(Tableau47[[#This Row],[INDEX]]&lt;3,"",IF(Tableau47[[#This Row],[COMMAND]]="","",IFERROR(Tableau47[[#This Row],[DIS_BUY]]*$AX$30,"")))</f>
        <v>0</v>
      </c>
      <c r="BB119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19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1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19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19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19" s="9" t="str">
        <f>IF(AND(Tableau47[[#This Row],[GO]]="GO",ISNUMBER(SEARCH("BUY",Tableau47[[#This Row],[COMMAND]]))),1,"")</f>
        <v/>
      </c>
      <c r="BH119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19" s="9" t="str">
        <f>IF(OR(Tableau47[[#This Row],[GLOBAL BUY]]=1),Tableau47[[#This Row],[COMMENTAIRE]],"")</f>
        <v/>
      </c>
      <c r="BJ119" s="9" t="str">
        <f>IF(OR(Tableau47[[#This Row],[GLOBAL SELL]]=1),Tableau47[[#This Row],[COMMENTAIRE]],"")</f>
        <v/>
      </c>
      <c r="BK119" s="9">
        <f>IF(Tableau47[[#This Row],[INDEX]]&lt;3,"",IF(Tableau47[[#This Row],[COMMAND]]="","",SUMIFS(Tableau47[COMMENTAIRE],Tableau47[COMMENTAIRE],Tableau47[[#This Row],[COMMENTAIRE]])))</f>
        <v>0</v>
      </c>
      <c r="BL119" s="9" t="str">
        <f>IF(IFERROR(_xlfn.XLOOKUP(Tableau47[[#This Row],[COMMENTAIRE]],'[1]Tickets (2)'!$J$6:$J$805,'[1]Tickets (2)'!$J$6:$J$805),"")&lt;&gt;"",1,"")</f>
        <v/>
      </c>
      <c r="BM119" s="9">
        <f>IF(Tableau47[[#This Row],[INDEX]]&lt;3,"",IF(Tableau47[[#This Row],[COMMAND]]="","",IF('[1]Bar history'!$AA$33=1,1,"")))</f>
        <v>1</v>
      </c>
      <c r="BN119" s="9">
        <f>IFERROR(IFERROR(_xlfn.XLOOKUP(Tableau47[[#This Row],[COMMENTAIRE]],[1]!Tableau4849[IDENTITE],[1]!Tableau4849[0,5]),0),"")</f>
        <v>0</v>
      </c>
      <c r="BO119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19" s="9" t="str">
        <f>IF(IFERROR(_xlfn.XLOOKUP(Tableau47[[#This Row],[COMMENTAIRE]],'[1]Tickets (2)'!$J$6:$J$805,'[1]Tickets (2)'!$U$6:$U$805)," ")="","OK","")</f>
        <v/>
      </c>
      <c r="BQ119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19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19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19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19" s="9" t="str">
        <f>IF(IFERROR(_xlfn.XLOOKUP(Tableau47[[#This Row],[COMMENTAIRE]],'[1]Tickets (2)'!$J$6:$J$805,'[1]Tickets (2)'!$U$6:$U$805)," ")="","OK","")</f>
        <v/>
      </c>
      <c r="BV119" s="9" t="str">
        <f>IF(IFERROR(_xlfn.XLOOKUP(Tableau47[[#This Row],[COMMENTAIRE]],'[1]Tickets (2)'!$J$6:$J$805,'[1]Tickets (2)'!$V$6:$V$805)," ")="","OK","")</f>
        <v/>
      </c>
      <c r="BW119" s="9" t="e">
        <f>IF(Tableau47[[#This Row],[INDEX]]&lt;3,"",IF(Tableau47[[#This Row],[COMMAND]]="","",([1]FSI_TB!$F$12/10)*(Tableau47[[#This Row],[LOT]]/$BW$30)))</f>
        <v>#DIV/0!</v>
      </c>
      <c r="BX119" s="9" t="e">
        <f>IF(Tableau47[[#This Row],[INDEX]]&lt;3,"",IF(Tableau47[[#This Row],[COMMAND]]="","",-([1]FSI_TB!$D$12/10)*(Tableau47[[#This Row],[LOT]]/$BW$30)))</f>
        <v>#DIV/0!</v>
      </c>
      <c r="BY119" s="9" t="s">
        <v>97</v>
      </c>
      <c r="BZ119" s="9" t="str">
        <f>IF(AND(Tableau47[[#This Row],[CLOTURE]]="REPOSITIONNER"),"OK",IF(AND(Tableau47[[#This Row],[CLOTURE]]="GAGNANT"),"KO",IF(Tableau47[[#This Row],[NON]]="NON","NON","")))</f>
        <v>NON</v>
      </c>
      <c r="CA119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292000</v>
      </c>
      <c r="CB119" s="9" t="str">
        <f>IFERROR(_xlfn.XLOOKUP(Tableau47[[#This Row],[COMMENTAIRE]],'[1]Tickets (2)'!$J$6:$J$805,'[1]Tickets (2)'!$F$6:$F$805),"")</f>
        <v/>
      </c>
      <c r="CC119" s="9">
        <f>IF(Tableau47[[#This Row],[INDEX]]&lt;3,"",IF(Tableau47[[#This Row],[COMMAND]]="","",Tableau47[[#This Row],[LOT]]))</f>
        <v>292000</v>
      </c>
      <c r="CD119" s="9">
        <f>IF(Tableau47[[#This Row],[INDEX]]&lt;3,"",IF(Tableau47[[#This Row],[COMMAND]]="","",IFERROR(_xlfn.XLOOKUP(Tableau47[[#This Row],[COMMENTAIRE]],[1]!Tableau4849[IDENTITE],[1]!Tableau4849[0,5]),0)))</f>
        <v>0</v>
      </c>
      <c r="CE11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19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19" s="9" t="str" cm="1">
        <f t="array" ref="CG119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19" s="9"/>
      <c r="CI119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19" s="9"/>
      <c r="CK119" s="21"/>
      <c r="CL119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19" s="9"/>
      <c r="CN119" s="9" t="str">
        <f>IF(Tableau47[[#This Row],[INDEX]]&lt;3,"",IF(Tableau47[[#This Row],[COMMAND]]="","",IF(AND(Tableau47[[#This Row],[EN ATTENTES]]="NON",Tableau47[[#This Row],[EN COURS]]&lt;&gt;""),"OK","STOP")))</f>
        <v>STOP</v>
      </c>
      <c r="CO119" s="19">
        <f>Tableau47[[#This Row],[Cst TIME]]</f>
        <v>44923.035814814815</v>
      </c>
      <c r="CP119" s="9">
        <f>[1]analos!$Q$237</f>
        <v>926507</v>
      </c>
      <c r="CQ119" s="9" t="str">
        <f>[1]FSI_TB!$F$3</f>
        <v>EURUSD</v>
      </c>
      <c r="CR119" s="9" t="str">
        <f>Tableau47[[#This Row],[GO1]]</f>
        <v>BUY</v>
      </c>
      <c r="CS119" s="9" t="str">
        <f>Tableau47[[#This Row],[PRICE]]</f>
        <v>1.06556</v>
      </c>
      <c r="CT119" s="9">
        <f>Tableau47[[#This Row],[LOT]]</f>
        <v>292000</v>
      </c>
      <c r="CU119" s="9" t="str">
        <f>Tableau47[[#This Row],[COMMENTAIRE]]</f>
        <v>1 RBRB B 1.20059 M1M1</v>
      </c>
      <c r="CV119" s="9"/>
      <c r="CW119" s="9">
        <v>1</v>
      </c>
      <c r="CX119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19" s="16">
        <f t="shared" ca="1" si="1"/>
        <v>44929.316958449075</v>
      </c>
    </row>
    <row r="120" spans="3:103" ht="15.75" x14ac:dyDescent="0.25">
      <c r="C120" s="8"/>
      <c r="D120" s="9"/>
      <c r="L120" s="9">
        <v>88</v>
      </c>
      <c r="M120" s="9" t="s">
        <v>123</v>
      </c>
      <c r="N120" s="9" t="s">
        <v>255</v>
      </c>
      <c r="O120" s="8" t="s">
        <v>256</v>
      </c>
      <c r="P120" s="9" t="s">
        <v>0</v>
      </c>
      <c r="Q120" s="9">
        <v>43000</v>
      </c>
      <c r="R12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>WAIT</v>
      </c>
      <c r="S120" s="9" t="str">
        <f>IF(AND(ISNUMBER(SEARCH("BUY",Tableau47[[#This Row],[COMMAND]]))),"BUY",IF(AND(ISNUMBER(SEARCH("SELL",Tableau47[[#This Row],[COMMAND]]))),"SELL",""))</f>
        <v>BUY</v>
      </c>
      <c r="T120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>WAIT</v>
      </c>
      <c r="U120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20" s="9">
        <v>925832</v>
      </c>
      <c r="W120" s="22">
        <v>44923.035587152779</v>
      </c>
      <c r="X120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>WAIT</v>
      </c>
      <c r="Y120" s="9">
        <f>IFERROR(VALUE(SUBSTITUTE(Tableau47[[#This Row],[PRICE]],".",",")),"")</f>
        <v>1.0655399999999999</v>
      </c>
      <c r="Z120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20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20" s="9" t="str">
        <f>IF(IFERROR(_xlfn.XLOOKUP(Tableau47[[#This Row],[COMMENTAIRE]],'[1]Tickets (2)'!$J$6:$J$805,'[1]Tickets (2)'!$J$6:$J$805),"")&lt;&gt;"",1,"")</f>
        <v/>
      </c>
      <c r="AC120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20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20" s="9" t="str">
        <f>IFERROR(_xlfn.XLOOKUP(Tableau47[[#This Row],[INDEX]],Tableau47[COMPTE],Tableau47[COMPTE]),"")</f>
        <v/>
      </c>
      <c r="AF120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20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20" s="17">
        <f>IF(Tableau47[[#This Row],[COMMAND]]="BUYSTOP",IFERROR(ABS(Tableau47[[#This Row],[GO7]]-'[1]Deal ticket'!$B$15),""),"")</f>
        <v>9.9999999999988987E-5</v>
      </c>
      <c r="AI120" s="9" t="str">
        <f>IF(Tableau47[[#This Row],[COMMAND]]="SELLSTOP",IFERROR(ABS(Tableau47[[#This Row],[GO7]]-'[1]Deal ticket'!$B$16),""),"")</f>
        <v/>
      </c>
      <c r="AJ120" s="9" t="str">
        <f>IF(IFERROR(_xlfn.XLOOKUP(Tableau47[[#This Row],[COMMENTAIRE]],'[1]Tickets (2)'!$J$6:$J$805,'[1]Tickets (2)'!$J$6:$J$805),"")&lt;&gt;"",1,"")</f>
        <v/>
      </c>
      <c r="AK120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20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20" s="9">
        <f>IF(Tableau47[[#This Row],[COMMAND]]="","",IF(Tableau47[[#This Row],[INDEX]]&lt;3,"",IF(IFERROR(_xlfn.XLOOKUP(Tableau47[[#This Row],[EN COURS]],'[1]Tickets (2)'!$D$6:$D$805,'[1]Tickets (2)'!$E$6:$E$805),"")&lt;&gt;Tableau47[[#This Row],[GO4]],1,"")))</f>
        <v>1</v>
      </c>
      <c r="AN120" s="9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>1.0655399999999999</v>
      </c>
      <c r="AO120" s="9" t="str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/>
      </c>
      <c r="AP120" s="9" t="s">
        <v>97</v>
      </c>
      <c r="AQ120" s="9" t="str">
        <f>IFERROR(_xlfn.XLOOKUP(Tableau47[[#This Row],[COMMENTAIRE]],'[1]Tickets (2)'!$J$6:$J$805,'[1]Tickets (2)'!$C$6:$C$805),"")</f>
        <v/>
      </c>
      <c r="AR120" s="9">
        <f>IF(AND(IF(Tableau47[[#This Row],[COMMAND]]="","",IF(Tableau47[[#This Row],[INDEX]]&lt;3,"",IF(AND(ISNUMBER(SEARCH("STOP",Tableau47[[#This Row],[Colonne2]]))),"",1)))=1,Tableau47[[#This Row],[EN ATTENTES]]="NON"),1,"")</f>
        <v>1</v>
      </c>
      <c r="AS120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20" s="9" t="str">
        <f>IF(Tableau47[[#This Row],[GOUBLOP]]=1,Tableau47[[#This Row],[COMMENTAIRE]],"")</f>
        <v/>
      </c>
      <c r="AU120" s="9"/>
      <c r="AV120" s="9" t="str">
        <f>IFERROR(IF(_xlfn.XLOOKUP(Tableau47[[#This Row],[GOUBLOP2]],[1]!Tableau4849[ATTEINT],[1]!Tableau4849[ATTEINT])&lt;&gt;"",1,""),"")</f>
        <v/>
      </c>
      <c r="AW120" s="9" t="str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/>
      </c>
      <c r="AX120" s="9" t="str">
        <f>IF(Tableau47[[#This Row],[COMMAND]]="","",IF(Tableau47[[#This Row],[INDEX]]&lt;3,"",LEFT(Tableau47[[#This Row],[COMMENTAIRE]],LEN(Tableau47[[#This Row],[COMMENTAIRE]])-2)))</f>
        <v>1 RBRB B 1.0637 M1</v>
      </c>
      <c r="AY120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ticket'!B15),1,IF(AND(Tableau47[[#This Row],[GO1]]="BUY",Tableau47[[#This Row],[TP]]&lt;'[1]Deal ticket'!B16),1,""))=1),1,"")))</f>
        <v/>
      </c>
      <c r="AZ120" s="9" t="e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>#DIV/0!</v>
      </c>
      <c r="BA120" s="9">
        <f>IF(Tableau47[[#This Row],[INDEX]]&lt;3,"",IF(Tableau47[[#This Row],[COMMAND]]="","",IFERROR(Tableau47[[#This Row],[DIS_BUY]]*$AX$30,"")))</f>
        <v>0</v>
      </c>
      <c r="BB120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20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2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20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20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20" s="9" t="str">
        <f>IF(AND(Tableau47[[#This Row],[GO]]="GO",ISNUMBER(SEARCH("BUY",Tableau47[[#This Row],[COMMAND]]))),1,"")</f>
        <v/>
      </c>
      <c r="BH120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20" s="9" t="str">
        <f>IF(OR(Tableau47[[#This Row],[GLOBAL BUY]]=1),Tableau47[[#This Row],[COMMENTAIRE]],"")</f>
        <v/>
      </c>
      <c r="BJ120" s="9" t="str">
        <f>IF(OR(Tableau47[[#This Row],[GLOBAL SELL]]=1),Tableau47[[#This Row],[COMMENTAIRE]],"")</f>
        <v/>
      </c>
      <c r="BK120" s="9">
        <f>IF(Tableau47[[#This Row],[INDEX]]&lt;3,"",IF(Tableau47[[#This Row],[COMMAND]]="","",SUMIFS(Tableau47[COMMENTAIRE],Tableau47[COMMENTAIRE],Tableau47[[#This Row],[COMMENTAIRE]])))</f>
        <v>0</v>
      </c>
      <c r="BL120" s="9" t="str">
        <f>IF(IFERROR(_xlfn.XLOOKUP(Tableau47[[#This Row],[COMMENTAIRE]],'[1]Tickets (2)'!$J$6:$J$805,'[1]Tickets (2)'!$J$6:$J$805),"")&lt;&gt;"",1,"")</f>
        <v/>
      </c>
      <c r="BM120" s="9">
        <f>IF(Tableau47[[#This Row],[INDEX]]&lt;3,"",IF(Tableau47[[#This Row],[COMMAND]]="","",IF('[1]Bar history'!$AA$33=1,1,"")))</f>
        <v>1</v>
      </c>
      <c r="BN120" s="9">
        <f>IFERROR(IFERROR(_xlfn.XLOOKUP(Tableau47[[#This Row],[COMMENTAIRE]],[1]!Tableau4849[IDENTITE],[1]!Tableau4849[0,5]),0),"")</f>
        <v>0</v>
      </c>
      <c r="BO120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20" s="9" t="str">
        <f>IF(IFERROR(_xlfn.XLOOKUP(Tableau47[[#This Row],[COMMENTAIRE]],'[1]Tickets (2)'!$J$6:$J$805,'[1]Tickets (2)'!$U$6:$U$805)," ")="","OK","")</f>
        <v/>
      </c>
      <c r="BQ120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20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20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20" s="9" t="e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>#DIV/0!</v>
      </c>
      <c r="BU120" s="9" t="str">
        <f>IF(IFERROR(_xlfn.XLOOKUP(Tableau47[[#This Row],[COMMENTAIRE]],'[1]Tickets (2)'!$J$6:$J$805,'[1]Tickets (2)'!$U$6:$U$805)," ")="","OK","")</f>
        <v/>
      </c>
      <c r="BV120" s="9" t="str">
        <f>IF(IFERROR(_xlfn.XLOOKUP(Tableau47[[#This Row],[COMMENTAIRE]],'[1]Tickets (2)'!$J$6:$J$805,'[1]Tickets (2)'!$V$6:$V$805)," ")="","OK","")</f>
        <v/>
      </c>
      <c r="BW120" s="9" t="e">
        <f>IF(Tableau47[[#This Row],[INDEX]]&lt;3,"",IF(Tableau47[[#This Row],[COMMAND]]="","",([1]FSI_TB!$F$12/10)*(Tableau47[[#This Row],[LOT]]/$BW$30)))</f>
        <v>#DIV/0!</v>
      </c>
      <c r="BX120" s="9" t="e">
        <f>IF(Tableau47[[#This Row],[INDEX]]&lt;3,"",IF(Tableau47[[#This Row],[COMMAND]]="","",-([1]FSI_TB!$D$12/10)*(Tableau47[[#This Row],[LOT]]/$BW$30)))</f>
        <v>#DIV/0!</v>
      </c>
      <c r="BY120" s="9" t="s">
        <v>97</v>
      </c>
      <c r="BZ120" s="9" t="str">
        <f>IF(AND(Tableau47[[#This Row],[CLOTURE]]="REPOSITIONNER"),"OK",IF(AND(Tableau47[[#This Row],[CLOTURE]]="GAGNANT"),"KO",IF(Tableau47[[#This Row],[NON]]="NON","NON","")))</f>
        <v>NON</v>
      </c>
      <c r="CA120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43000</v>
      </c>
      <c r="CB120" s="9" t="str">
        <f>IFERROR(_xlfn.XLOOKUP(Tableau47[[#This Row],[COMMENTAIRE]],'[1]Tickets (2)'!$J$6:$J$805,'[1]Tickets (2)'!$F$6:$F$805),"")</f>
        <v/>
      </c>
      <c r="CC120" s="9">
        <f>IF(Tableau47[[#This Row],[INDEX]]&lt;3,"",IF(Tableau47[[#This Row],[COMMAND]]="","",Tableau47[[#This Row],[LOT]]))</f>
        <v>43000</v>
      </c>
      <c r="CD120" s="9">
        <f>IF(Tableau47[[#This Row],[INDEX]]&lt;3,"",IF(Tableau47[[#This Row],[COMMAND]]="","",IFERROR(_xlfn.XLOOKUP(Tableau47[[#This Row],[COMMENTAIRE]],[1]!Tableau4849[IDENTITE],[1]!Tableau4849[0,5]),0)))</f>
        <v>0</v>
      </c>
      <c r="CE12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20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20" s="9" t="str" cm="1">
        <f t="array" ref="CG120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20" s="9"/>
      <c r="CI120" s="9">
        <f>IFERROR(IF(Tableau47[[#This Row],[INDEX]]&lt;3,"",IF(Tableau47[[#This Row],[COMMAND]]="","",IF(Tableau47[[#This Row],[NBRE DE REPRISE PAR POSITION2]]="",1,Tableau47[[#This Row],[NBRE DE REPRISE PAR POSITION2]]+1))),"")</f>
        <v>1</v>
      </c>
      <c r="CJ120" s="9"/>
      <c r="CK120" s="21"/>
      <c r="CL120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20" s="9"/>
      <c r="CN120" s="9" t="str">
        <f>IF(Tableau47[[#This Row],[INDEX]]&lt;3,"",IF(Tableau47[[#This Row],[COMMAND]]="","",IF(AND(Tableau47[[#This Row],[EN ATTENTES]]="NON",Tableau47[[#This Row],[EN COURS]]&lt;&gt;""),"OK","STOP")))</f>
        <v>STOP</v>
      </c>
      <c r="CO120" s="19">
        <f>Tableau47[[#This Row],[Cst TIME]]</f>
        <v>44923.035587152779</v>
      </c>
      <c r="CP120" s="9">
        <f>[1]analos!$Q$237</f>
        <v>926507</v>
      </c>
      <c r="CQ120" s="9" t="str">
        <f>[1]FSI_TB!$F$3</f>
        <v>EURUSD</v>
      </c>
      <c r="CR120" s="9" t="str">
        <f>Tableau47[[#This Row],[GO1]]</f>
        <v>BUY</v>
      </c>
      <c r="CS120" s="9" t="str">
        <f>Tableau47[[#This Row],[PRICE]]</f>
        <v>1.06554</v>
      </c>
      <c r="CT120" s="9">
        <f>Tableau47[[#This Row],[LOT]]</f>
        <v>43000</v>
      </c>
      <c r="CU120" s="9" t="str">
        <f>Tableau47[[#This Row],[COMMENTAIRE]]</f>
        <v>1 RBRB B 1.0637 M1M1</v>
      </c>
      <c r="CV120" s="9"/>
      <c r="CW120" s="9">
        <v>1</v>
      </c>
      <c r="CX120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20" s="16">
        <f t="shared" ca="1" si="1"/>
        <v>44929.316958449075</v>
      </c>
    </row>
    <row r="121" spans="3:103" ht="15.75" x14ac:dyDescent="0.25">
      <c r="C121" s="8"/>
      <c r="D121" s="9"/>
      <c r="L121" s="9">
        <v>89</v>
      </c>
      <c r="M121" s="9" t="s">
        <v>122</v>
      </c>
      <c r="N121" s="9" t="s">
        <v>257</v>
      </c>
      <c r="O121" s="8" t="s">
        <v>258</v>
      </c>
      <c r="P121" s="9" t="s">
        <v>0</v>
      </c>
      <c r="Q121" s="9">
        <v>1000</v>
      </c>
      <c r="R12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/>
      </c>
      <c r="S121" s="9" t="str">
        <f>IF(AND(ISNUMBER(SEARCH("BUY",Tableau47[[#This Row],[COMMAND]]))),"BUY",IF(AND(ISNUMBER(SEARCH("SELL",Tableau47[[#This Row],[COMMAND]]))),"SELL",""))</f>
        <v/>
      </c>
      <c r="T121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/>
      </c>
      <c r="U121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21" s="9">
        <v>925832</v>
      </c>
      <c r="W121" s="16">
        <v>44917.608655208336</v>
      </c>
      <c r="X121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/>
      </c>
      <c r="Y121" s="9">
        <f>IFERROR(VALUE(SUBSTITUTE(Tableau47[[#This Row],[PRICE]],".",",")),"")</f>
        <v>1.06071</v>
      </c>
      <c r="Z121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21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21" s="9" t="str">
        <f>IF(IFERROR(_xlfn.XLOOKUP(Tableau47[[#This Row],[COMMENTAIRE]],'[1]Tickets (2)'!$J$6:$J$805,'[1]Tickets (2)'!$J$6:$J$805),"")&lt;&gt;"",1,"")</f>
        <v/>
      </c>
      <c r="AC121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21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21" s="9" t="str">
        <f>IFERROR(_xlfn.XLOOKUP(Tableau47[[#This Row],[INDEX]],Tableau47[COMPTE],Tableau47[COMPTE]),"")</f>
        <v/>
      </c>
      <c r="AF121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21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21" s="17" t="str">
        <f>IF(Tableau47[[#This Row],[COMMAND]]="BUYSTOP",IFERROR(ABS(Tableau47[[#This Row],[GO7]]-'[1]Deal ticket'!$B$15),""),"")</f>
        <v/>
      </c>
      <c r="AI121" s="9" t="str">
        <f>IF(Tableau47[[#This Row],[COMMAND]]="SELLSTOP",IFERROR(ABS(Tableau47[[#This Row],[GO7]]-'[1]Deal ticket'!$B$16),""),"")</f>
        <v/>
      </c>
      <c r="AJ121" s="9" t="str">
        <f>IF(IFERROR(_xlfn.XLOOKUP(Tableau47[[#This Row],[COMMENTAIRE]],'[1]Tickets (2)'!$J$6:$J$805,'[1]Tickets (2)'!$J$6:$J$805),"")&lt;&gt;"",1,"")</f>
        <v/>
      </c>
      <c r="AK121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21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21" s="9" t="str">
        <f>IF(Tableau47[[#This Row],[COMMAND]]="","",IF(Tableau47[[#This Row],[INDEX]]&lt;3,"",IF(IFERROR(_xlfn.XLOOKUP(Tableau47[[#This Row],[EN COURS]],'[1]Tickets (2)'!$D$6:$D$805,'[1]Tickets (2)'!$E$6:$E$805),"")&lt;&gt;Tableau47[[#This Row],[GO4]],1,"")))</f>
        <v/>
      </c>
      <c r="AN121" s="9" t="str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/>
      </c>
      <c r="AO121" s="9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>1</v>
      </c>
      <c r="AP121" s="9"/>
      <c r="AQ121" s="9" t="str">
        <f>IFERROR(_xlfn.XLOOKUP(Tableau47[[#This Row],[COMMENTAIRE]],'[1]Tickets (2)'!$J$6:$J$805,'[1]Tickets (2)'!$C$6:$C$805),"")</f>
        <v/>
      </c>
      <c r="AR121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121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21" s="9" t="str">
        <f>IF(Tableau47[[#This Row],[GOUBLOP]]=1,Tableau47[[#This Row],[COMMENTAIRE]],"")</f>
        <v>[sl 1.06071]</v>
      </c>
      <c r="AU121" s="9"/>
      <c r="AV121" s="9" t="str">
        <f>IFERROR(IF(_xlfn.XLOOKUP(Tableau47[[#This Row],[GOUBLOP2]],[1]!Tableau4849[ATTEINT],[1]!Tableau4849[ATTEINT])&lt;&gt;"",1,""),"")</f>
        <v/>
      </c>
      <c r="AW121" s="9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>1</v>
      </c>
      <c r="AX121" s="9" t="str">
        <f>IF(Tableau47[[#This Row],[COMMAND]]="","",IF(Tableau47[[#This Row],[INDEX]]&lt;3,"",LEFT(Tableau47[[#This Row],[COMMENTAIRE]],LEN(Tableau47[[#This Row],[COMMENTAIRE]])-2)))</f>
        <v/>
      </c>
      <c r="AY121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ticket'!B14),1,IF(AND(Tableau47[[#This Row],[GO1]]="BUY",Tableau47[[#This Row],[TP]]&lt;'[1]Deal ticket'!B15),1,""))=1),1,"")))</f>
        <v/>
      </c>
      <c r="AZ121" s="9" t="str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/>
      </c>
      <c r="BA121" s="9" t="str">
        <f>IF(Tableau47[[#This Row],[INDEX]]&lt;3,"",IF(Tableau47[[#This Row],[COMMAND]]="","",IFERROR(Tableau47[[#This Row],[DIS_BUY]]*$AX$30,"")))</f>
        <v/>
      </c>
      <c r="BB121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21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2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21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21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21" s="9" t="str">
        <f>IF(AND(Tableau47[[#This Row],[GO]]="GO",ISNUMBER(SEARCH("BUY",Tableau47[[#This Row],[COMMAND]]))),1,"")</f>
        <v/>
      </c>
      <c r="BH121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21" s="9" t="str">
        <f>IF(OR(Tableau47[[#This Row],[GLOBAL BUY]]=1),Tableau47[[#This Row],[COMMENTAIRE]],"")</f>
        <v/>
      </c>
      <c r="BJ121" s="9" t="str">
        <f>IF(OR(Tableau47[[#This Row],[GLOBAL SELL]]=1),Tableau47[[#This Row],[COMMENTAIRE]],"")</f>
        <v/>
      </c>
      <c r="BK121" s="9" t="str">
        <f>IF(Tableau47[[#This Row],[INDEX]]&lt;3,"",IF(Tableau47[[#This Row],[COMMAND]]="","",SUMIFS(Tableau47[COMMENTAIRE],Tableau47[COMMENTAIRE],Tableau47[[#This Row],[COMMENTAIRE]])))</f>
        <v/>
      </c>
      <c r="BL121" s="9" t="str">
        <f>IF(IFERROR(_xlfn.XLOOKUP(Tableau47[[#This Row],[COMMENTAIRE]],'[1]Tickets (2)'!$J$6:$J$805,'[1]Tickets (2)'!$J$6:$J$805),"")&lt;&gt;"",1,"")</f>
        <v/>
      </c>
      <c r="BM121" s="9" t="str">
        <f>IF(Tableau47[[#This Row],[INDEX]]&lt;3,"",IF(Tableau47[[#This Row],[COMMAND]]="","",IF('[1]Bar history'!$AA$33=1,1,"")))</f>
        <v/>
      </c>
      <c r="BN121" s="9">
        <f>IFERROR(IFERROR(_xlfn.XLOOKUP(Tableau47[[#This Row],[COMMENTAIRE]],[1]!Tableau4849[IDENTITE],[1]!Tableau4849[0,5]),0),"")</f>
        <v>0</v>
      </c>
      <c r="BO121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21" s="9" t="str">
        <f>IF(IFERROR(_xlfn.XLOOKUP(Tableau47[[#This Row],[COMMENTAIRE]],'[1]Tickets (2)'!$J$6:$J$805,'[1]Tickets (2)'!$U$6:$U$805)," ")="","OK","")</f>
        <v/>
      </c>
      <c r="BQ121" s="9" t="s">
        <v>75</v>
      </c>
      <c r="BR121" s="9" t="str">
        <f>IFERROR(IF(AND(IFERROR(VALUE(SUBSTITUTE(Tableau47[[#This Row],[PRICE]],".",",")),"")+$J$2&lt;=$G$2),"POSITIF",IF(AND(IFERROR(VALUE(SUBSTITUTE(Tableau47[[#This Row],[PRICE]],".",",")),"")+$J$2&gt;=$G$2),"NEGATIF","")),"")</f>
        <v>NEGATIF</v>
      </c>
      <c r="BS121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21" s="9" t="str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/>
      </c>
      <c r="BU121" s="9" t="str">
        <f>IF(IFERROR(_xlfn.XLOOKUP(Tableau47[[#This Row],[COMMENTAIRE]],'[1]Tickets (2)'!$J$6:$J$805,'[1]Tickets (2)'!$U$6:$U$805)," ")="","OK","")</f>
        <v/>
      </c>
      <c r="BV121" s="9" t="s">
        <v>75</v>
      </c>
      <c r="BW121" s="9" t="str">
        <f>IF(Tableau47[[#This Row],[INDEX]]&lt;3,"",IF(Tableau47[[#This Row],[COMMAND]]="","",([1]FSI_TB!$F$12/10)*(Tableau47[[#This Row],[LOT]]/$BW$30)))</f>
        <v/>
      </c>
      <c r="BX121" s="9" t="str">
        <f>IF(Tableau47[[#This Row],[INDEX]]&lt;3,"",IF(Tableau47[[#This Row],[COMMAND]]="","",-([1]FSI_TB!$D$12/10)*(Tableau47[[#This Row],[LOT]]/$BW$30)))</f>
        <v/>
      </c>
      <c r="BY121" s="9"/>
      <c r="BZ121" s="9" t="str">
        <f>IF(AND(Tableau47[[#This Row],[CLOTURE]]="REPOSITIONNER"),"OK",IF(AND(Tableau47[[#This Row],[CLOTURE]]="GAGNANT"),"KO",IF(Tableau47[[#This Row],[NON]]="NON","NON","")))</f>
        <v/>
      </c>
      <c r="CA121" s="18" t="str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/>
      </c>
      <c r="CB121" s="9" t="str">
        <f>IFERROR(_xlfn.XLOOKUP(Tableau47[[#This Row],[COMMENTAIRE]],'[1]Tickets (2)'!$J$6:$J$805,'[1]Tickets (2)'!$F$6:$F$805),"")</f>
        <v/>
      </c>
      <c r="CC121" s="9" t="str">
        <f>IF(Tableau47[[#This Row],[INDEX]]&lt;3,"",IF(Tableau47[[#This Row],[COMMAND]]="","",Tableau47[[#This Row],[LOT]]))</f>
        <v/>
      </c>
      <c r="CD121" s="9" t="str">
        <f>IF(Tableau47[[#This Row],[INDEX]]&lt;3,"",IF(Tableau47[[#This Row],[COMMAND]]="","",IFERROR(_xlfn.XLOOKUP(Tableau47[[#This Row],[COMMENTAIRE]],[1]!Tableau4849[IDENTITE],[1]!Tableau4849[0,5]),0)))</f>
        <v/>
      </c>
      <c r="CE12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21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21" s="9" t="str" cm="1">
        <f t="array" ref="CG121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21" s="9"/>
      <c r="CI121" s="9" t="str">
        <f>IFERROR(IF(Tableau47[[#This Row],[INDEX]]&lt;3,"",IF(Tableau47[[#This Row],[COMMAND]]="","",IF(Tableau47[[#This Row],[NBRE DE REPRISE PAR POSITION2]]="",1,Tableau47[[#This Row],[NBRE DE REPRISE PAR POSITION2]]+1))),"")</f>
        <v/>
      </c>
      <c r="CJ121" s="9"/>
      <c r="CK121" s="21"/>
      <c r="CL121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21" s="9"/>
      <c r="CN121" s="9" t="str">
        <f>IF(Tableau47[[#This Row],[INDEX]]&lt;3,"",IF(Tableau47[[#This Row],[COMMAND]]="","",IF(AND(Tableau47[[#This Row],[EN ATTENTES]]="NON",Tableau47[[#This Row],[EN COURS]]&lt;&gt;""),"OK","STOP")))</f>
        <v/>
      </c>
      <c r="CO121" s="16">
        <f>Tableau47[[#This Row],[Cst TIME]]</f>
        <v>44917.608655208336</v>
      </c>
      <c r="CP121" s="9">
        <f>[1]analos!$Q$237</f>
        <v>926507</v>
      </c>
      <c r="CQ121" s="9" t="str">
        <f>[1]FSI_TB!$F$3</f>
        <v>EURUSD</v>
      </c>
      <c r="CR121" s="9" t="str">
        <f>Tableau47[[#This Row],[GO1]]</f>
        <v/>
      </c>
      <c r="CS121" s="9" t="str">
        <f>Tableau47[[#This Row],[PRICE]]</f>
        <v>1.06071</v>
      </c>
      <c r="CT121" s="9">
        <f>Tableau47[[#This Row],[LOT]]</f>
        <v>1000</v>
      </c>
      <c r="CU121" s="9" t="str">
        <f>Tableau47[[#This Row],[COMMENTAIRE]]</f>
        <v>[sl 1.06071]</v>
      </c>
      <c r="CV121" s="9"/>
      <c r="CW121" s="9">
        <v>1</v>
      </c>
      <c r="CX121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21" s="16">
        <f t="shared" ca="1" si="1"/>
        <v>44929.316958449075</v>
      </c>
    </row>
    <row r="122" spans="3:103" ht="15.75" x14ac:dyDescent="0.25">
      <c r="C122" s="8"/>
      <c r="D122" s="9"/>
      <c r="L122" s="9">
        <v>90</v>
      </c>
      <c r="M122" s="9"/>
      <c r="N122" s="9" t="str">
        <f>IFERROR(SUBSTITUTE(#REF!,",","."),"")</f>
        <v/>
      </c>
      <c r="O122" s="8"/>
      <c r="P122" s="9"/>
      <c r="Q122" s="9">
        <v>65000</v>
      </c>
      <c r="R12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COURS]]=""),[1]PARAMETRE!$CI$31,IF(Tableau47[[#This Row],[INDEX]]&lt;3,"",IF(Tableau47[[#This Row],[COMMAND]]="","",IF(AND(Tableau47[[#This Row],[CLOTURE]]=$BI$31),"WAIT",IFERROR(IF(Tableau47[[#This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ticket'!$B$16)*1000,"")&lt;=$Q$31,"GO","WAIT"))),"WAIT"))))))</f>
        <v/>
      </c>
      <c r="S122" s="9" t="str">
        <f>IF(AND(ISNUMBER(SEARCH("BUY",Tableau47[[#This Row],[COMMAND]]))),"BUY",IF(AND(ISNUMBER(SEARCH("SELL",Tableau47[[#This Row],[COMMAND]]))),"SELL",""))</f>
        <v/>
      </c>
      <c r="T122" s="9" t="str">
        <f>IF(Tableau47[[#This Row],[INDEX]]&lt;3,"",IF(Tableau47[[#This Row],[COMMAND]]="","",IF(AND(Tableau47[[#This Row],[CLOTURE]]=$BI$31),"WAIT",IF(Tableau47[[#This Row],[GOUBLOP]]=1,"WAIT",IFERROR(IF(AND(IF(AND(ISNUMBER(SEARCH("BUY",Tableau47[[#This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ticket'!$B$16),"GO","WAIT")),"")))))</f>
        <v/>
      </c>
      <c r="U122" s="9" t="str">
        <f>IFERROR(IF(AND('[1]Deal ticket'!$B$15&gt;VALUE(SUBSTITUTE(Tableau47[[#This Row],[PRICE]],".",",")),Tableau47[[#This Row],[COMMAND]]="BUYSTOP"),"BUY",IF(AND('[1]Deal ticket'!$B$16&lt;VALUE(SUBSTITUTE(Tableau47[[#This Row],[PRICE]],".",",")),Tableau47[[#This Row],[COMMAND]]="SELLSTOP"),"SELL","")),"")</f>
        <v/>
      </c>
      <c r="V122" s="9"/>
      <c r="W122" s="20">
        <f t="shared" ref="W122" ca="1" si="2">NOW()</f>
        <v>44929.316958449075</v>
      </c>
      <c r="X122" s="9" t="str">
        <f>IF(Tableau47[[#This Row],[INDEX]]&lt;3,"",IF(Tableau47[[#This Row],[COMMAND]]="","",IFERROR(IF(Tableau47[[#This Row],[DÉJÀ]]=1,"WAIT",IF(IF(IFERROR(ABS(SUBSTITUTE(Tableau47[[#This Row],[PRICE]],".",",")-'[1]Deal ticket'!$B$16)*1000,"")&lt;=$Q$31,"GO","WAIT")="WAIT",IF(AND(IF(AND(ISNUMBER(SEARCH("BUY",Tableau47[[#This Row],[COMMAND]]))),"BUY",IF(AND(ISNUMBER(SEARCH("SELL",Tableau47[[#This Row],[COMMAND]]))),"SELL",""))="BUY",IFERROR(VALUE(SUBSTITUTE(Tableau47[[#This Row],[PRICE]],".",",")),"")&lt;'[1]Deal ticket'!$B$15),"GO",IF(AND(IF(AND(ISNUMBER(SEARCH("BUY",Tableau47[[#This Row],[COMMAND]]))),"BUY",IF(AND(ISNUMBER(SEARCH("SELL",Tableau47[[#This Row],[COMMAND]]))),"SELL",""))="SELL",IFERROR(VALUE(SUBSTITUTE(Tableau47[[#This Row],[PRICE]],".",",")),"")&gt;'[1]Deal ticket'!$B$16),"GO","WAIT")),IF(IFERROR(ABS(SUBSTITUTE(Tableau47[[#This Row],[PRICE]],".",",")-'[1]Deal ticket'!$B$16)*1000,"")&lt;=$Q$31,"GO","WAIT"))),"WAIT")))</f>
        <v/>
      </c>
      <c r="Y122" s="9" t="str">
        <f>IFERROR(VALUE(SUBSTITUTE(Tableau47[[#This Row],[PRICE]],".",",")),"")</f>
        <v/>
      </c>
      <c r="Z122" s="9" t="str">
        <f>IFERROR(IF(Tableau47[[#This Row],[DÉJÀ]]=1,"",IF(AND(Tableau47[[#This Row],[GO]]="GO",Tableau47[[#This Row],[GO1]]="SELL"),"S",IF(AND(Tableau47[[#This Row],[GO]]="GO",Tableau47[[#This Row],[GO1]]="BUY"),"B",""))),"")</f>
        <v/>
      </c>
      <c r="AA122" s="9" t="str">
        <f>IF(Tableau47[[#This Row],[DÉJÀ]]=1,"",IF(IF(IFERROR(_xlfn.XLOOKUP(Tableau47[[#This Row],[COMMENTAIRE]],[1]!Tableau48[Commentaire],[1]!Tableau48[Commentaire]),"")=0,"",IFERROR(_xlfn.XLOOKUP(Tableau47[[#This Row],[COMMENTAIRE]],[1]!Tableau48[Commentaire],[1]!Tableau48[Commentaire]),""))&lt;&gt;"",Tableau47[[#This Row],[INDEX]],""))</f>
        <v/>
      </c>
      <c r="AB122" s="9" t="str">
        <f>IF(IFERROR(_xlfn.XLOOKUP(Tableau47[[#This Row],[COMMENTAIRE]],'[1]Tickets (2)'!$J$6:$J$805,'[1]Tickets (2)'!$J$6:$J$805),"")&lt;&gt;"",1,"")</f>
        <v/>
      </c>
      <c r="AC122" s="9" t="str">
        <f>IF(Tableau47[[#This Row],[EN COURS]]&lt;&gt;"","",IF(OR(Tableau47[[#This Row],[COMMAND]]&lt;&gt;"BUYSTOP",Tableau47[[#This Row],[COMMAND]]&lt;&gt;"SELLSTOP"),"",IF(Tableau47[[#This Row],[COMMAND]]="SELLSTOP","",IF(Tableau47[[#This Row],[COMMAND]]="","",IF(AND([1]Tickets!$BB$1="",Tableau47[[#This Row],[COMMAND]],"BUYSTOP"),Tableau47[[#This Row],[INDEX]],IFERROR(IF(AND(Tableau47[[#This Row],[GO2]]="GO",Tableau47[[#This Row],[GO1]]="BUY"),Tableau47[[#This Row],[INDEX]],""),""))))))</f>
        <v/>
      </c>
      <c r="AD122" s="9" t="str">
        <f>IF(Tableau47[[#This Row],[EN COURS]]&lt;&gt;"","",IF(OR(Tableau47[[#This Row],[COMMAND]]&lt;&gt;"BUYSTOP",Tableau47[[#This Row],[COMMAND]]&lt;&gt;"SELLSTOP"),"",IF(Tableau47[[#This Row],[COMMAND]]="BUYSTOP","",IF(Tableau47[[#This Row],[COMMAND]]="","",IF(AND([1]Tickets!$BC$1="",Tableau47[[#This Row],[COMMAND]],"SELLSTOP"),Tableau47[[#This Row],[INDEX]],IFERROR(IF(AND(Tableau47[[#This Row],[GO2]]="GO",Tableau47[[#This Row],[GO1]]="SELL"),Tableau47[[#This Row],[INDEX]],""),""))))))</f>
        <v/>
      </c>
      <c r="AE122" s="9" t="str">
        <f>IFERROR(_xlfn.XLOOKUP(Tableau47[[#This Row],[INDEX]],Tableau47[COMPTE],Tableau47[COMPTE]),"")</f>
        <v/>
      </c>
      <c r="AF122" s="9" t="str">
        <f>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</f>
        <v/>
      </c>
      <c r="AG122" s="9" t="str">
        <f>IF(Tableau47[[#This Row],[COMMAND]]="","",IF(Tableau47[[#This Row],[INDEX]]&lt;3,"",IF(OR(Tableau47[[#This Row],[COMMAND]]="BUYSTOP",Tableau47[[#This Row],[COMMAND]]="SELLSTOP"),"",Tableau47[[#This Row],[INDEX]])))</f>
        <v/>
      </c>
      <c r="AH122" s="17" t="str">
        <f>IF(Tableau47[[#This Row],[COMMAND]]="BUYSTOP",IFERROR(ABS(Tableau47[[#This Row],[GO7]]-'[1]Deal ticket'!$B$15),""),"")</f>
        <v/>
      </c>
      <c r="AI122" s="9" t="str">
        <f>IF(Tableau47[[#This Row],[COMMAND]]="SELLSTOP",IFERROR(ABS(Tableau47[[#This Row],[GO7]]-'[1]Deal ticket'!$B$16),""),"")</f>
        <v/>
      </c>
      <c r="AJ122" s="9" t="str">
        <f>IF(IFERROR(_xlfn.XLOOKUP(Tableau47[[#This Row],[COMMENTAIRE]],'[1]Tickets (2)'!$J$6:$J$805,'[1]Tickets (2)'!$J$6:$J$805),"")&lt;&gt;"",1,"")</f>
        <v/>
      </c>
      <c r="AK122" s="9" t="str">
        <f>IF(IF(Tableau47[[#This Row],[COMMAND]]="","",IF(COUNTIF(Tableau47[COMMENTAIRE],Tableau47[[#This Row],[COMMENTAIRE]])&gt;1,1,""))=1,Tableau47[[#This Row],[INDEX]],IF(IFERROR(_xlfn.XLOOKUP(LEFT(Tableau47[[#This Row],[COMMENTAIRE]],LEN(Tableau47[[#This Row],[COMMENTAIRE]])-2),Tableau47[COMMENTAIRE],Tableau47[COMMENTAIRE]),"")&lt;&gt;"",IFERROR(_xlfn.XLOOKUP(LEFT(Tableau47[[#This Row],[COMMENTAIRE]],LEN(Tableau47[[#This Row],[COMMENTAIRE]])-2),Tableau47[COMMENTAIRE],Tableau47[INDEX]),""),""))</f>
        <v/>
      </c>
      <c r="AL122" s="9" t="str">
        <f>IF(IFERROR(_xlfn.XLOOKUP(Tableau47[[#This Row],[COMMENTAIRE]],'[1]Tickets (2)'!$J$6:$J$805,'[1]Tickets (2)'!$D$6:$D$805),"")&lt;&gt;"",IFERROR(_xlfn.XLOOKUP(Tableau47[[#This Row],[COMMENTAIRE]],'[1]Tickets (2)'!$J$6:$J$805,'[1]Tickets (2)'!$D$6:$D$805),""),"")</f>
        <v/>
      </c>
      <c r="AM122" s="9" t="str">
        <f>IF(Tableau47[[#This Row],[COMMAND]]="","",IF(Tableau47[[#This Row],[INDEX]]&lt;3,"",IF(IFERROR(_xlfn.XLOOKUP(Tableau47[[#This Row],[EN COURS]],'[1]Tickets (2)'!$D$6:$D$805,'[1]Tickets (2)'!$E$6:$E$805),"")&lt;&gt;Tableau47[[#This Row],[GO4]],1,"")))</f>
        <v/>
      </c>
      <c r="AN122" s="9" t="str">
        <f>IF(AND(ISNUMBER(SEARCH("SELL",Tableau47[[#This Row],[COMMAND]]))),Tableau47[[#This Row],[GO7]]-($AL$28/IFERROR(VALUE(LEFT(Tableau47[[#This Row],[COMMENTAIRE]],1)),1)),IF(AND(ISNUMBER(SEARCH("BUY",Tableau47[[#This Row],[COMMAND]]))),Tableau47[[#This Row],[GO7]]+($AL$28/IFERROR(VALUE(LEFT(Tableau47[[#This Row],[COMMENTAIRE]],1)),1)),""))</f>
        <v/>
      </c>
      <c r="AO122" s="9">
        <f>IFERROR(IF(Tableau47[[#This Row],[NDONG]]=1,1,IF(IF(Tableau47[[#This Row],[COMMAND]]="","",IF(Tableau47[[#This Row],[INDEX]]&lt;3,"",_xlfn.XLOOKUP(Tableau47[[#This Row],[COMMENTAIRE]],'[1]Tickets (2)'!$J$6:$J$805,'[1]Tickets (2)'!$F$6:$F$805)))&lt;&gt;Tableau47[[#This Row],[LOT]],1,IF(Tableau47[[#This Row],[COMMAND]]="","",IF(Tableau47[[#This Row],[INDEX]]&lt;3,"",IF(Tableau47[[#This Row],[GO7]]&gt;3,1,IF(Tableau47[[#This Row],[ATTEINT]]=1,1,IF(Tableau47[[#This Row],[GOUBLOP]]=1,1,IF(Tableau47[[#This Row],[DEVISE]]&lt;&gt;"",1,IF(Tableau47[[#This Row],[COMMAND]]="","",IF(Tableau47[[#This Row],[INDEX]]&lt;3,"",IF(AND(ISNUMBER(SEARCH("STOP",Tableau47[[#This Row],[Colonne2]])),Tableau47[[#This Row],[EN ATTENTES]]&lt;&gt;"NON"),1,IF(IF(Tableau47[[#This Row],[EN COURS]]="","",IF(IF(IFERROR(_xlfn.XLOOKUP(Tableau47[[#This Row],[EN COURS]],'[1]Tickets (2)'!$D$6:$D$805,'[1]Tickets (2)'!$F$6:$F$805),"")&lt;&gt;Tableau47[[#This Row],[LOT]],1,"")=1,1,""))=1,1,"")))))))))))),"")</f>
        <v>1</v>
      </c>
      <c r="AP122" s="9"/>
      <c r="AQ122" s="9" t="str">
        <f>IFERROR(_xlfn.XLOOKUP(Tableau47[[#This Row],[COMMENTAIRE]],'[1]Tickets (2)'!$J$6:$J$805,'[1]Tickets (2)'!$C$6:$C$805),"")</f>
        <v/>
      </c>
      <c r="AR122" s="9" t="str">
        <f>IF(AND(IF(Tableau47[[#This Row],[COMMAND]]="","",IF(Tableau47[[#This Row],[INDEX]]&lt;3,"",IF(AND(ISNUMBER(SEARCH("STOP",Tableau47[[#This Row],[Colonne2]]))),"",1)))=1,Tableau47[[#This Row],[EN ATTENTES]]="NON"),1,"")</f>
        <v/>
      </c>
      <c r="AS122" s="9" t="str">
        <f>IF(Tableau47[[#This Row],[EN COURS]]="","",IF(IF(IFERROR(_xlfn.XLOOKUP(Tableau47[[#This Row],[EN COURS]],'[1]Tickets (2)'!$D$6:$D$805,'[1]Tickets (2)'!$F$6:$F$805),"")&lt;&gt;Tableau47[[#This Row],[LOT]],1,"")=1,1,""))</f>
        <v/>
      </c>
      <c r="AT122" s="9">
        <f>IF(Tableau47[[#This Row],[GOUBLOP]]=1,Tableau47[[#This Row],[COMMENTAIRE]],"")</f>
        <v>0</v>
      </c>
      <c r="AU122" s="9"/>
      <c r="AV122" s="9" t="str">
        <f>IFERROR(IF(_xlfn.XLOOKUP(Tableau47[[#This Row],[GOUBLOP2]],[1]!Tableau4849[ATTEINT],[1]!Tableau4849[ATTEINT])&lt;&gt;"",1,""),"")</f>
        <v/>
      </c>
      <c r="AW122" s="9">
        <f>IF(Tableau47[[#This Row],[ATTEINT]]=1,1,IF(AND(Tableau47[[#This Row],[LOT]]=IF(Tableau47[[#This Row],[COMMAND]]="","",IF(Tableau47[[#This Row],[INDEX]]&lt;3,"",_xlfn.MAXIFS(Tableau47[LOT],Tableau47[GOUBLOP2],Tableau47[[#This Row],[GOUBLOP2]]))),IF(Tableau47[[#This Row],[COMMAND]]="","",IF(Tableau47[[#This Row],[INDEX]]&lt;3,"",LEFT(Tableau47[[#This Row],[COMMENTAIRE]],LEN(Tableau47[[#This Row],[COMMENTAIRE]])-2)))=Tableau47[[#This Row],[GOUBLOP2]]),"",1))</f>
        <v>1</v>
      </c>
      <c r="AX122" s="9" t="str">
        <f>IF(Tableau47[[#This Row],[COMMAND]]="","",IF(Tableau47[[#This Row],[INDEX]]&lt;3,"",LEFT(Tableau47[[#This Row],[COMMENTAIRE]],LEN(Tableau47[[#This Row],[COMMENTAIRE]])-2)))</f>
        <v/>
      </c>
      <c r="AY122" s="9" t="str">
        <f>IF(Tableau47[[#This Row],[COMMAND]]="","",IF(Tableau47[[#This Row],[INDEX]]&lt;3,"",IF(AND(Tableau47[[#This Row],[EN ATTENTES]]="",Tableau47[[#This Row],[EN COURS]]="",IF(AND(Tableau47[[#This Row],[GO1]]="SELL",Tableau47[[#This Row],[TP]]&gt;'[1]Deal ticket'!B285),1,IF(AND(Tableau47[[#This Row],[GO1]]="BUY",Tableau47[[#This Row],[TP]]&lt;'[1]Deal ticket'!B286),1,""))=1),1,"")))</f>
        <v/>
      </c>
      <c r="AZ122" s="9" t="str">
        <f>IF(Tableau47[[#This Row],[INDEX]]&lt;3,"",IF(Tableau47[[#This Row],[COMMAND]]="","",IF(AND(ISNUMBER(SEARCH("SELL",Tableau47[[#This Row],[COMMAND]])),VALUE(SUBSTITUTE(Tableau47[[#This Row],[PRICE]],".",","))&lt;'[1]Deal ticket'!$B$15),-IF(Tableau47[[#This Row],[INDEX]]&lt;3,"",IF(Tableau47[[#This Row],[COMMAND]]="","",Tableau47[[#This Row],[LOT]]/$AX$30)),IF(AND(ISNUMBER(SEARCH("BUY",Tableau47[[#This Row],[COMMAND]])),'[1]Deal ticket'!$B$15&lt;VALUE(SUBSTITUTE(Tableau47[[#This Row],[PRICE]],".",","))),-IF(Tableau47[[#This Row],[INDEX]]&lt;3,"",IF(Tableau47[[#This Row],[COMMAND]]="","",Tableau47[[#This Row],[LOT]]/$AX$30)),IF(Tableau47[[#This Row],[INDEX]]&lt;3,"",IF(Tableau47[[#This Row],[COMMAND]]="","",Tableau47[[#This Row],[LOT]]/$AX$30))))))</f>
        <v/>
      </c>
      <c r="BA122" s="9" t="str">
        <f>IF(Tableau47[[#This Row],[INDEX]]&lt;3,"",IF(Tableau47[[#This Row],[COMMAND]]="","",IFERROR(Tableau47[[#This Row],[DIS_BUY]]*$AX$30,"")))</f>
        <v/>
      </c>
      <c r="BB122" s="9" t="str">
        <f>IF(Tableau47[[#This Row],[FIAL]]=$BT$31,"",IF($BB$31="DESACTIVE",IF(Tableau47[[#This Row],[EN ATTENTES]]="NON","",IFERROR(IF(AND(Tableau47[[#This Row],[SL]]&lt;&gt;""),Tableau47[[#This Row],[INDEX]],""),"")),IF(OR(Tableau47[[#This Row],[CLOTURE]]="GAGNANT"),"",IF(Tableau47[[#This Row],[EN ATTENTES]]="NON","",IFERROR(IF(AND(Tableau47[[#This Row],[SL]]&lt;&gt;""),Tableau47[[#This Row],[INDEX]],""),"")))))</f>
        <v/>
      </c>
      <c r="BC122" s="9" t="str">
        <f>IF(Tableau47[[#This Row],[EN ATTENTES]]="NON","",IFERROR(IF(Tableau47[[#This Row],[COMMAND]]="","",IF(Tableau47[[#This Row],[INDEX]]&lt;3,"",IF(AND(Tableau47[[#This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ticket'!$B$16,""),"")),""),""))&lt;0),-'[1]Bar history'!$V$40,IF(AND(Tableau47[[#This Row],[Colonne2]]="",IF(IF(Tableau47[[#This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ticket'!$B$16,""),"")),""),"")="",IF(Tableau47[[#This Row],[COMMAND]]="BUYSTOP",IFERROR(IF(AND('[1]Deal ticket'!$B$16&gt; Tableau47[[#This Row],[GO7]]),IF(Tableau47[[#This Row],[COMMAND]]="BUYSTOP",IFERROR(Tableau47[[#This Row],[GO7]]-'[1]Deal ticket'!$B$15,""),""),-IF(Tableau47[[#This Row],[COMMAND]]="BUYSTOP",IFERROR(Tableau47[[#This Row],[GO7]]-'[1]Deal ticket'!$B$15,""),"")),""),""),IF(Tableau47[[#This Row],[COMMAND]]="SELLSTOP",IFERROR(IF(AND('[1]Deal ticket'!$B$16 &lt; Tableau47[[#This Row],[GO7]]),IF(Tableau47[[#This Row],[COMMAND]]="SELLSTOP",IFERROR(Tableau47[[#This Row],[GO7]]-'[1]Deal ticket'!$B$16,""),""),-IF(Tableau47[[#This Row],[COMMAND]]="SELLSTOP",IFERROR(Tableau47[[#This Row],[GO7]]-'[1]Deal ticket'!$B$16,""),"")),""),""))&gt;0),'[1]Bar history'!$U$40,"")))),""))</f>
        <v/>
      </c>
      <c r="BD12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E122" s="9" t="str">
        <f>IF(Tableau47[[#This Row],[SL]]="","",IFERROR(IF(Tableau47[[#This Row],[INDEX]]&lt;3,"",IF(Tableau47[[#This Row],[COMMAND]]="","",IF(AND(ISNUMBER(SEARCH("BUY",Tableau47[[#This Row],[COMMAND]]))),IFERROR(Tableau47[[#This Row],[DIS_BUY]]*$AX$30,"")*Tableau47[[#This Row],[NDONNG]],IF(AND(ISNUMBER(SEARCH("SELL",Tableau47[[#This Row],[COMMAND]]))),IFERROR(Tableau47[[#This Row],[DIS_SELL]]*$AX$30,"")*Tableau47[[#This Row],[NDONNG]],"")))),""))</f>
        <v/>
      </c>
      <c r="BF122" s="9" t="str">
        <f>IFERROR(IF(Tableau47[[#This Row],[INDEX]]&lt;3,"",IF(Tableau47[[#This Row],[COMMAND]]="","",IF(AND(ABS(IFERROR(IF(Tableau47[[#This Row],[COMMAND]]="","",IF(Tableau47[[#This Row],[INDEX]]&lt;3,"",Tableau47[[#This Row],[LOT]]/$AY$30))*Tableau47[[#This Row],[SL]],""))&lt;IF(Tableau47[[#This Row],[INDEX]]&lt;3,"",IF(Tableau47[[#This Row],[COMMAND]]="","",IFERROR(IF(Tableau47[[#This Row],[INDEX]]&lt;3,"",IF(Tableau47[[#This Row],[COMMAND]]="","",IFERROR(Tableau47[[#This Row],[DIS_BUY]]*$AX$30,""))),"")))),IFERROR(IF(Tableau47[[#This Row],[COMMAND]]="","",IF(Tableau47[[#This Row],[INDEX]]&lt;3,"",Tableau47[[#This Row],[LOT]]/$AY$30))*Tableau47[[#This Row],[SL]],"")*IF(Tableau47[[#This Row],[INDEX]]&lt;3,"",IF(Tableau47[[#This Row],[COMMAND]]="","",IFERROR(IF(Tableau47[[#This Row],[INDEX]]&lt;3,"",IF(Tableau47[[#This Row],[COMMAND]]="","",IFERROR(Tableau47[[#This Row],[DIS_BUY]]*$AX$30,""))),""))),1))),"")</f>
        <v/>
      </c>
      <c r="BG122" s="9" t="str">
        <f>IF(AND(Tableau47[[#This Row],[GO]]="GO",ISNUMBER(SEARCH("BUY",Tableau47[[#This Row],[COMMAND]]))),1,"")</f>
        <v/>
      </c>
      <c r="BH122" s="9" t="str">
        <f>IFERROR(IF(Tableau47[[#This Row],[PRICE]]&lt;3,"",IF(Tableau47[[#This Row],[COMMENTAIRE]]="","",IF(AND(ABS(IFERROR(IF(Tableau47[[#This Row],[COMMENTAIRE]]="","",IF(Tableau47[[#This Row],[PRICE]]&lt;3,"",Tableau47[[#This Row],[GO1]]/$AY$30))*Tableau47[[#This Row],[Colonne7]],""))&lt;IF(Tableau47[[#This Row],[PRICE]]&lt;3,"",IF(Tableau47[[#This Row],[COMMENTAIRE]]="","",IFERROR(IF(Tableau47[[#This Row],[PRICE]]&lt;3,"",IF(Tableau47[[#This Row],[COMMENTAIRE]]="","",IFERROR(Tableau47[[#This Row],[doublons]]*$AX$30,""))),"")))),IFERROR(IF(Tableau47[[#This Row],[COMMENTAIRE]]="","",IF(Tableau47[[#This Row],[PRICE]]&lt;3,"",Tableau47[[#This Row],[GO1]]/$AY$30))*Tableau47[[#This Row],[Colonne7]],"")*IF(Tableau47[[#This Row],[PRICE]]&lt;3,"",IF(Tableau47[[#This Row],[COMMENTAIRE]]="","",IFERROR(IF(Tableau47[[#This Row],[PRICE]]&lt;3,"",IF(Tableau47[[#This Row],[COMMENTAIRE]]="","",IFERROR(Tableau47[[#This Row],[doublons]]*$AX$30,""))),""))),1))),"")</f>
        <v/>
      </c>
      <c r="BI122" s="9" t="str">
        <f>IF(OR(Tableau47[[#This Row],[GLOBAL BUY]]=1),Tableau47[[#This Row],[COMMENTAIRE]],"")</f>
        <v/>
      </c>
      <c r="BJ122" s="9" t="str">
        <f>IF(OR(Tableau47[[#This Row],[GLOBAL SELL]]=1),Tableau47[[#This Row],[COMMENTAIRE]],"")</f>
        <v/>
      </c>
      <c r="BK122" s="9" t="str">
        <f>IF(Tableau47[[#This Row],[INDEX]]&lt;3,"",IF(Tableau47[[#This Row],[COMMAND]]="","",SUMIFS(Tableau47[COMMENTAIRE],Tableau47[COMMENTAIRE],Tableau47[[#This Row],[COMMENTAIRE]])))</f>
        <v/>
      </c>
      <c r="BL122" s="9" t="str">
        <f>IF(IFERROR(_xlfn.XLOOKUP(Tableau47[[#This Row],[COMMENTAIRE]],'[1]Tickets (2)'!$J$6:$J$805,'[1]Tickets (2)'!$J$6:$J$805),"")&lt;&gt;"",1,"")</f>
        <v/>
      </c>
      <c r="BM122" s="9" t="str">
        <f>IF(Tableau47[[#This Row],[INDEX]]&lt;3,"",IF(Tableau47[[#This Row],[COMMAND]]="","",IF('[1]Bar history'!$AA$33=1,1,"")))</f>
        <v/>
      </c>
      <c r="BN122" s="9" t="str">
        <f>IFERROR(IFERROR(_xlfn.XLOOKUP(Tableau47[[#This Row],[COMMENTAIRE]],[1]!Tableau4849[IDENTITE],[1]!Tableau4849[0,5]),0),"")</f>
        <v/>
      </c>
      <c r="BO122" s="9" t="str">
        <f>IF(AND(IF(OR(IFERROR(IFERROR(_xlfn.XLOOKUP(Tableau47[[#This Row],[COMMENTAIRE]],'[1]Tickets (2)'!$J$6:$J$805,'[1]Tickets (2)'!$C$6:$C$805),0),"")="SELL",IFERROR(IFERROR(_xlfn.XLOOKUP(Tableau47[[#This Row],[COMMENTAIRE]],'[1]Tickets (2)'!$J$6:$J$805,'[1]Tickets (2)'!$C$6:$C$805),0),"")="BUY"),1,"")=1,Tableau47[[#This Row],[EN ATTENTES]]="NON"),1,"")</f>
        <v/>
      </c>
      <c r="BP122" s="9" t="str">
        <f>IF(IFERROR(_xlfn.XLOOKUP(Tableau47[[#This Row],[COMMENTAIRE]],'[1]Tickets (2)'!$J$6:$J$805,'[1]Tickets (2)'!$U$6:$U$805)," ")="","OK","")</f>
        <v/>
      </c>
      <c r="BQ122" s="9" t="str">
        <f>IFERROR(IF(IFERROR(_xlfn.XLOOKUP(Tableau47[[#This Row],[COMMENTAIRE]],'[1]Tickets (2)'!$J$6:$J$805,'[1]Tickets (2)'!$V$6:$V$805)," ")="","OK",Tableau47[[#This Row],[NDONNG]]*Tableau47[[#This Row],[ATEINTESS]]),"")</f>
        <v/>
      </c>
      <c r="BR122" s="9" t="str">
        <f>IFERROR(IF(AND(IFERROR(VALUE(SUBSTITUTE(Tableau47[[#This Row],[PRICE]],".",",")),"")+$J$2&lt;=$G$2),"POSITIF",IF(AND(IFERROR(VALUE(SUBSTITUTE(Tableau47[[#This Row],[PRICE]],".",",")),"")+$J$2&gt;=$G$2),"NEGATIF","")),"")</f>
        <v/>
      </c>
      <c r="BS122" s="9" t="str">
        <f>IF(Tableau47[[#This Row],[FIAL]]=$BT$31,"",IF(Tableau47[[#This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Row],[NDONNG]]&lt;0),$BO$31,"")))))</f>
        <v/>
      </c>
      <c r="BT122" s="9" t="str">
        <f>IF(Tableau47[[#This Row],[INDEX]]&lt;3,"",IF(Tableau47[[#This Row],[COMMAND]]="","",IF(AND(IFERROR(_xlfn.XLOOKUP(Tableau47[[#This Row],[COMMENTAIRE]],'[1]Tickets (2)'!$J$6:$J$805,'[1]Tickets (2)'!$U$6:$U$805),"")="",Tableau47[[#This Row],[EN ATTENTES]]="",Tableau47[[#This Row],[EN COURS]]="",Tableau47[[#This Row],[NDONNG]]&gt;0),$BP$31,IF(AND(IFERROR(_xlfn.XLOOKUP(Tableau47[[#This Row],[COMMENTAIRE]],'[1]Tickets (2)'!$J$6:$J$805,'[1]Tickets (2)'!$V$6:$V$805),"")="",Tableau47[[#This Row],[EN ATTENTES]]="",Tableau47[[#This Row],[EN COURS]]="",Tableau47[[#This Row],[NDONNG]]&lt;0),$BO$31,""))))</f>
        <v/>
      </c>
      <c r="BU122" s="9" t="str">
        <f>IF(IFERROR(_xlfn.XLOOKUP(Tableau47[[#This Row],[COMMENTAIRE]],'[1]Tickets (2)'!$J$6:$J$805,'[1]Tickets (2)'!$U$6:$U$805)," ")="","OK","")</f>
        <v/>
      </c>
      <c r="BV122" s="9" t="str">
        <f>IF(IFERROR(_xlfn.XLOOKUP(Tableau47[[#This Row],[COMMENTAIRE]],'[1]Tickets (2)'!$J$6:$J$805,'[1]Tickets (2)'!$V$6:$V$805)," ")="","OK","")</f>
        <v/>
      </c>
      <c r="BW122" s="9" t="str">
        <f>IF(Tableau47[[#This Row],[INDEX]]&lt;3,"",IF(Tableau47[[#This Row],[COMMAND]]="","",([1]FSI_TB!$F$12/10)*(Tableau47[[#This Row],[LOT]]/$BW$30)))</f>
        <v/>
      </c>
      <c r="BX122" s="9" t="str">
        <f>IF(Tableau47[[#This Row],[INDEX]]&lt;3,"",IF(Tableau47[[#This Row],[COMMAND]]="","",-([1]FSI_TB!$D$12/10)*(Tableau47[[#This Row],[LOT]]/$BW$30)))</f>
        <v/>
      </c>
      <c r="BY122" s="9"/>
      <c r="BZ122" s="9" t="str">
        <f>IF(AND(Tableau47[[#This Row],[CLOTURE]]="REPOSITIONNER"),"OK",IF(AND(Tableau47[[#This Row],[CLOTURE]]="GAGNANT"),"KO",IF(Tableau47[[#This Row],[NON]]="NON","NON","")))</f>
        <v/>
      </c>
      <c r="CA122" s="18">
        <f>IF(Tableau47[[#This Row],[CLOTURE]]=$BK$31,Tableau47[[#This Row],[LOT]]*$BX$30+[1]PARAMETRE!$D$4,IFERROR(IF(Tableau47[[#This Row],[NON]]="NON",Tableau47[[#This Row],[LOT]],IF(Tableau47[[#This Row],[INDEX]]&lt;3,"",IF(Tableau47[[#This Row],[COMMAND]]="","",Tableau47[[#This Row],[LOT]]*$BX$30))+[1]PARAMETRE!$D$4),""))</f>
        <v>1000</v>
      </c>
      <c r="CB122" s="9"/>
      <c r="CC122" s="9" t="str">
        <f>IF(Tableau47[[#This Row],[INDEX]]&lt;3,"",IF(Tableau47[[#This Row],[COMMAND]]="","",Tableau47[[#This Row],[LOT]]))</f>
        <v/>
      </c>
      <c r="CD122" s="9" t="str">
        <f>IF(Tableau47[[#This Row],[INDEX]]&lt;3,"",IF(Tableau47[[#This Row],[COMMAND]]="","",IFERROR(_xlfn.XLOOKUP(Tableau47[[#This Row],[COMMENTAIRE]],[1]!Tableau4849[IDENTITE],[1]!Tableau4849[0,5]),0)))</f>
        <v/>
      </c>
      <c r="CE12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ATTENTES]]="NON",$CG$31="OK",Tableau47[[#This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ATTENTES]]="NON",$CH$31="OK",Tableau47[[#This Row],[EN COURS]]=""),[1]PARAMETRE!$CI$31,""))</f>
        <v/>
      </c>
      <c r="CF122" s="9" t="str">
        <f>IF(AND($CF$31&lt;IF(Tableau47[[#This Row],[INDEX]]&lt;3,"",IF(Tableau47[[#This Row],[COMMAND]]="","",IF(AND(Tableau47[[#This Row],[DIS_BUY]]=""),Tableau47[[#This Row],[DIS_SELL]]*$CE$31,Tableau47[[#This Row],[DIS_BUY]]*$CE$31))),Tableau47[[#This Row],[GO1]]="BUY",Tableau47[[#This Row],[EN ATTENTES]]="NON",$CK$31="OK",Tableau47[[#This Row],[EN COURS]]=""),[1]PARAMETRE!$CI$31,IF(AND($CF$31&lt;IF(Tableau47[[#This Row],[INDEX]]&lt;3,"",IF(Tableau47[[#This Row],[COMMAND]]="","",IF(AND(Tableau47[[#This Row],[DIS_BUY]]=""),Tableau47[[#This Row],[DIS_SELL]]*$CE$31,Tableau47[[#This Row],[DIS_BUY]]*$CE$31))),Tableau47[[#This Row],[GO1]]="SELL",Tableau47[[#This Row],[EN ATTENTES]]="NON",$CL$31="OK",Tableau47[[#This Row],[EN COURS]]=""),[1]PARAMETRE!$CI$31,""))</f>
        <v/>
      </c>
      <c r="CG122" s="9" t="str" cm="1">
        <f t="array" ref="CG122">IFERROR(IFERROR(IF(Tableau47[[#This Row],[INDEX]]&lt;3,"",IF(Tableau47[[#This Row],[COMMAND]]="","",IF(AND(Tableau47[FIAL]=BT$31),IF(Tableau47[[#This Row],[INDEX]]&lt;3,"",IF(Tableau47[[#This Row],[COMMAND]]="","",([1]FSI_TB!$F$12/10)*(Tableau47[[#This Row],[LOT]]/$BW$30)))+Tableau47[[#This Row],[P/L TOTAL]],IF(AND(Tableau47[FIAL]=$BK$31),IF(Tableau47[[#This Row],[INDEX]]&lt;3,"",IF(Tableau47[[#This Row],[COMMAND]]="","",-([1]FSI_TB!$D$12/10)*(Tableau47[[#This Row],[LOT]]/$BW$30))),""))))+Tableau47[[#This Row],[P/L TOTAL]],Tableau47[[#This Row],[NDONNG]]*Tableau47[[#This Row],[ATEINTESS]])+Tableau47[[#This Row],[P/L TOTAL]],"")</f>
        <v/>
      </c>
      <c r="CH122" s="9" t="s">
        <v>122</v>
      </c>
      <c r="CI122" s="9" t="str">
        <f>IFERROR(IF(Tableau47[[#This Row],[INDEX]]&lt;3,"",IF(Tableau47[[#This Row],[COMMAND]]="","",IF(Tableau47[[#This Row],[NBRE DE REPRISE PAR POSITION2]]="",1,Tableau47[[#This Row],[NBRE DE REPRISE PAR POSITION2]]+1))),"")</f>
        <v/>
      </c>
      <c r="CJ122" s="9" t="s">
        <v>122</v>
      </c>
      <c r="CK122" s="21"/>
      <c r="CL122" s="9" t="str">
        <f>IF(Tableau47[[#This Row],[INDEX]]&lt;3,"",IF(Tableau47[[#This Row],[COMMAND]]="","",IF(AND(Tableau47[[#This Row],[EN ATTENTES]]="",Tableau47[[#This Row],[EN COURS]]="",Tableau47[[#This Row],[CLOTURE]]=$BO$31),"OK",IF(AND(Tableau47[[#This Row],[EN ATTENTES]]="",Tableau47[[#This Row],[EN COURS]]="",Tableau47[[#This Row],[CLOTURE]]=$BP$31),"OK",""))))</f>
        <v/>
      </c>
      <c r="CM122" s="9"/>
      <c r="CN122" s="9" t="str">
        <f>IF(Tableau47[[#This Row],[INDEX]]&lt;3,"",IF(Tableau47[[#This Row],[COMMAND]]="","",IF(AND(Tableau47[[#This Row],[EN ATTENTES]]="NON",Tableau47[[#This Row],[EN COURS]]&lt;&gt;""),"OK","STOP")))</f>
        <v/>
      </c>
      <c r="CO122" s="16">
        <f ca="1">Tableau47[[#This Row],[Cst TIME]]</f>
        <v>44929.316958449075</v>
      </c>
      <c r="CP122" s="9">
        <f>[1]analos!$Q$237</f>
        <v>926507</v>
      </c>
      <c r="CQ122" s="9" t="str">
        <f>[1]FSI_TB!$F$3</f>
        <v>EURUSD</v>
      </c>
      <c r="CR122" s="9" t="str">
        <f>Tableau47[[#This Row],[GO1]]</f>
        <v/>
      </c>
      <c r="CS122" s="9" t="str">
        <f>Tableau47[[#This Row],[PRICE]]</f>
        <v/>
      </c>
      <c r="CT122" s="9">
        <f>Tableau47[[#This Row],[LOT]]</f>
        <v>65000</v>
      </c>
      <c r="CU122" s="9">
        <f>Tableau47[[#This Row],[COMMENTAIRE]]</f>
        <v>0</v>
      </c>
      <c r="CV122" s="9"/>
      <c r="CW122" s="9">
        <v>1</v>
      </c>
      <c r="CX122" s="9" t="str">
        <f>IF([1]!Tableau4849[[#This Row],[SL]]="","WINE",IF(AND(IF(AND(ISNUMBER(SEARCH("BUY",[1]!Tableau4849[[#This Row],[COMPTE]]))),"BUY",IF(AND(ISNUMBER(SEARCH("SELL",[1]!Tableau4849[[#This Row],[COMPTE]]))),"SELL",""))="BUY",_xlfn.MAXIFS('[1]Live (2)'!$DF$360:$DF$526,'[1]Live (2)'!$DD$360:$DD$526,$P$2&amp;[1]!Tableau4849[[#This Row],[open T]])&gt;IF(AND(ISNUMBER(SEARCH("SELL",[1]!Tableau4849[[#This Row],[COMPTE]]))),[1]!Tableau4849[[#This Row],[IDENTITE]]-#REF!,IF(AND(ISNUMBER(SEARCH("BUY",[1]!Tableau4849[[#This Row],[COMPTE]]))),[1]!Tableau4849[[#This Row],[IDENTITE]]+#REF!,"")),IFERROR(_xlfn.XLOOKUP(_xlfn.MAXIFS('[1]Live (2)'!$DF$360:$DF$526,'[1]Live (2)'!GQ$360:GQ$526,$P$2&amp;[1]!Tableau4849[[#This Row],[open T]]),'[1]Live (2)'!$DF$360:$DF$526,'[1]Live (2)'!GQ$360:GQ$526),"")&lt;IFERROR(_xlfn.XLOOKUP(_xlfn.MINIFS('[1]Live (2)'!$DG$360:$DG$526,'[1]Live (2)'!GQ$360:GQ$526,"&gt;"&amp;[1]!Tableau4849[[#This Row],[open T]]),'[1]Live (2)'!$DG$360:$DG$526,'[1]Live (2)'!$DD$360:$DD$526),"")),"WIN",IF(AND(IF(AND(ISNUMBER(SEARCH("BUY",[1]!Tableau4849[[#This Row],[COMPTE]]))),"BUY",IF(AND(ISNUMBER(SEARCH("SELL",[1]!Tableau4849[[#This Row],[COMPTE]]))),"SELL",""))="SELL",_xlfn.MINIFS('[1]Live (2)'!$DG$360:$DG$526,'[1]Live (2)'!$DD$360:$DD$526,"&gt;"&amp;[1]!Tableau4849[[#This Row],[open T]])&lt;IF(AND(ISNUMBER(SEARCH("SELL",[1]!Tableau4849[[#This Row],[COMPTE]]))),[1]!Tableau4849[[#This Row],[IDENTITE]]-#REF!,IF(AND(ISNUMBER(SEARCH("BUY",[1]!Tableau4849[[#This Row],[COMPTE]]))),[1]!Tableau4849[[#This Row],[IDENTITE]]+#REF!,"")),IFERROR(_xlfn.XLOOKUP(_xlfn.MINIFS('[1]Live (2)'!$DG$360:$DG$526,'[1]Live (2)'!GQ$360:GQ$526,"&gt;"&amp;[1]!Tableau4849[[#This Row],[open T]]),'[1]Live (2)'!$DG$360:$DG$526,'[1]Live (2)'!$DD$360:$DD$526),"")&lt;IFERROR(_xlfn.XLOOKUP(_xlfn.MAXIFS('[1]Live (2)'!$DF$360:$DF$526,'[1]Live (2)'!GQ$360:GQ$526,$P$2&amp;[1]!Tableau4849[[#This Row],[open T]]),'[1]Live (2)'!$DF$360:$DF$526,'[1]Live (2)'!GQ$360:GQ$526),"")),"WIN","")))</f>
        <v/>
      </c>
      <c r="CY122" s="16">
        <f t="shared" ca="1" si="1"/>
        <v>44929.316958449075</v>
      </c>
    </row>
    <row r="123" spans="3:103" ht="15.75" x14ac:dyDescent="0.25">
      <c r="C123" s="8"/>
      <c r="D123" s="9"/>
      <c r="M123" s="3"/>
      <c r="Q123"/>
    </row>
    <row r="124" spans="3:103" ht="15.75" x14ac:dyDescent="0.25">
      <c r="C124" s="8"/>
      <c r="D124" s="9"/>
      <c r="M124" s="3"/>
      <c r="Q124"/>
    </row>
    <row r="125" spans="3:103" ht="15.75" x14ac:dyDescent="0.25">
      <c r="C125" s="8"/>
      <c r="D125" s="9"/>
      <c r="M125" s="3"/>
      <c r="Q125"/>
    </row>
    <row r="126" spans="3:103" ht="15.75" x14ac:dyDescent="0.25">
      <c r="C126" s="8"/>
      <c r="D126" s="9"/>
      <c r="M126" s="3"/>
      <c r="Q126"/>
    </row>
    <row r="127" spans="3:103" ht="15.75" x14ac:dyDescent="0.25">
      <c r="C127" s="8"/>
      <c r="D127" s="9"/>
      <c r="M127" s="3"/>
      <c r="Q127"/>
    </row>
    <row r="128" spans="3:103" ht="15.75" x14ac:dyDescent="0.25">
      <c r="C128" s="8"/>
      <c r="D128" s="9"/>
      <c r="M128" s="3"/>
      <c r="Q128"/>
    </row>
    <row r="129" spans="3:17" ht="15.75" x14ac:dyDescent="0.25">
      <c r="C129" s="8"/>
      <c r="D129" s="9"/>
      <c r="M129" s="3"/>
      <c r="Q129"/>
    </row>
    <row r="130" spans="3:17" ht="15.75" x14ac:dyDescent="0.25">
      <c r="C130" s="8"/>
      <c r="D130" s="9"/>
      <c r="M130" s="3"/>
      <c r="Q130"/>
    </row>
    <row r="131" spans="3:17" ht="15.75" x14ac:dyDescent="0.25">
      <c r="C131" s="8"/>
      <c r="D131" s="9"/>
      <c r="M131" s="3"/>
      <c r="Q131"/>
    </row>
    <row r="132" spans="3:17" ht="15.75" x14ac:dyDescent="0.25">
      <c r="C132" s="8"/>
      <c r="D132" s="9"/>
      <c r="M132" s="3"/>
      <c r="Q132"/>
    </row>
    <row r="133" spans="3:17" ht="15.75" x14ac:dyDescent="0.25">
      <c r="C133" s="8"/>
      <c r="D133" s="9"/>
      <c r="M133" s="3"/>
      <c r="Q133"/>
    </row>
    <row r="134" spans="3:17" ht="15.75" x14ac:dyDescent="0.25">
      <c r="C134" s="8"/>
      <c r="D134" s="9"/>
      <c r="M134" s="3"/>
      <c r="Q134"/>
    </row>
    <row r="135" spans="3:17" ht="15.75" x14ac:dyDescent="0.25">
      <c r="C135" s="8"/>
      <c r="D135" s="9"/>
      <c r="M135" s="3"/>
      <c r="Q135"/>
    </row>
    <row r="136" spans="3:17" ht="15.75" x14ac:dyDescent="0.25">
      <c r="C136" s="8"/>
      <c r="D136" s="9"/>
      <c r="M136" s="3"/>
      <c r="Q136"/>
    </row>
    <row r="137" spans="3:17" ht="15.75" x14ac:dyDescent="0.25">
      <c r="C137" s="8"/>
      <c r="D137" s="9"/>
      <c r="M137" s="3"/>
      <c r="Q137"/>
    </row>
    <row r="138" spans="3:17" ht="15.75" x14ac:dyDescent="0.25">
      <c r="C138" s="8"/>
      <c r="D138" s="9"/>
      <c r="M138" s="3"/>
      <c r="Q138"/>
    </row>
    <row r="139" spans="3:17" ht="15.75" x14ac:dyDescent="0.25">
      <c r="C139" s="8"/>
      <c r="D139" s="9"/>
      <c r="M139" s="3"/>
      <c r="Q139"/>
    </row>
    <row r="140" spans="3:17" ht="15.75" x14ac:dyDescent="0.25">
      <c r="C140" s="8"/>
      <c r="D140" s="9"/>
      <c r="M140" s="3"/>
      <c r="Q140"/>
    </row>
    <row r="141" spans="3:17" ht="15.75" x14ac:dyDescent="0.25">
      <c r="C141" s="8"/>
      <c r="D141" s="9"/>
      <c r="M141" s="3"/>
      <c r="Q141"/>
    </row>
    <row r="142" spans="3:17" ht="15.75" x14ac:dyDescent="0.25">
      <c r="C142" s="8"/>
      <c r="D142" s="9"/>
      <c r="M142" s="3"/>
      <c r="Q142"/>
    </row>
    <row r="143" spans="3:17" ht="15.75" x14ac:dyDescent="0.25">
      <c r="C143" s="8"/>
      <c r="D143" s="9"/>
      <c r="M143" s="3"/>
      <c r="Q143"/>
    </row>
    <row r="144" spans="3:17" ht="15.75" x14ac:dyDescent="0.25">
      <c r="C144" s="8"/>
      <c r="D144" s="9"/>
      <c r="M144" s="3"/>
      <c r="Q144"/>
    </row>
    <row r="145" spans="3:17" ht="15.75" x14ac:dyDescent="0.25">
      <c r="C145" s="8"/>
      <c r="D145" s="9"/>
      <c r="M145" s="3"/>
      <c r="Q145"/>
    </row>
    <row r="146" spans="3:17" ht="15.75" x14ac:dyDescent="0.25">
      <c r="C146" s="8"/>
      <c r="D146" s="9"/>
      <c r="M146" s="3"/>
      <c r="Q146"/>
    </row>
    <row r="147" spans="3:17" ht="15.75" x14ac:dyDescent="0.25">
      <c r="C147" s="8"/>
      <c r="D147" s="9"/>
      <c r="M147" s="3"/>
      <c r="Q147"/>
    </row>
    <row r="148" spans="3:17" ht="15.75" x14ac:dyDescent="0.25">
      <c r="C148" s="8"/>
      <c r="D148" s="9"/>
      <c r="M148" s="3"/>
      <c r="Q148"/>
    </row>
    <row r="149" spans="3:17" ht="15.75" x14ac:dyDescent="0.25">
      <c r="C149" s="8"/>
      <c r="D149" s="9"/>
      <c r="M149" s="3"/>
      <c r="Q149"/>
    </row>
    <row r="150" spans="3:17" ht="15.75" x14ac:dyDescent="0.25">
      <c r="C150" s="8"/>
      <c r="D150" s="9"/>
      <c r="M150" s="3"/>
      <c r="Q150"/>
    </row>
    <row r="151" spans="3:17" ht="15.75" x14ac:dyDescent="0.25">
      <c r="C151" s="8"/>
      <c r="D151" s="9"/>
      <c r="M151" s="3"/>
      <c r="Q151"/>
    </row>
    <row r="152" spans="3:17" ht="15.75" x14ac:dyDescent="0.25">
      <c r="C152" s="8"/>
      <c r="D152" s="9"/>
      <c r="M152" s="3"/>
      <c r="Q152"/>
    </row>
    <row r="153" spans="3:17" ht="15.75" x14ac:dyDescent="0.25">
      <c r="C153" s="8"/>
      <c r="D153" s="9"/>
      <c r="M153" s="3"/>
      <c r="Q153"/>
    </row>
    <row r="154" spans="3:17" ht="15.75" x14ac:dyDescent="0.25">
      <c r="C154" s="8"/>
      <c r="D154" s="9"/>
      <c r="M154" s="3"/>
      <c r="Q154"/>
    </row>
    <row r="155" spans="3:17" ht="15.75" x14ac:dyDescent="0.25">
      <c r="C155" s="8"/>
      <c r="D155" s="9"/>
      <c r="M155" s="3"/>
      <c r="Q155"/>
    </row>
    <row r="156" spans="3:17" ht="15.75" x14ac:dyDescent="0.25">
      <c r="C156" s="8"/>
      <c r="D156" s="9"/>
      <c r="M156" s="3"/>
      <c r="Q156"/>
    </row>
    <row r="157" spans="3:17" ht="15.75" x14ac:dyDescent="0.25">
      <c r="C157" s="8"/>
      <c r="D157" s="9"/>
      <c r="M157" s="3"/>
      <c r="Q157"/>
    </row>
    <row r="158" spans="3:17" ht="15.75" x14ac:dyDescent="0.25">
      <c r="C158" s="8"/>
      <c r="D158" s="9"/>
      <c r="M158" s="3"/>
      <c r="Q158"/>
    </row>
    <row r="159" spans="3:17" ht="15.75" x14ac:dyDescent="0.25">
      <c r="C159" s="8"/>
      <c r="D159" s="9"/>
      <c r="M159" s="3"/>
      <c r="Q159"/>
    </row>
    <row r="160" spans="3:17" ht="15.75" x14ac:dyDescent="0.25">
      <c r="C160" s="8"/>
      <c r="D160" s="9"/>
      <c r="M160" s="3"/>
      <c r="Q160"/>
    </row>
    <row r="161" spans="3:17" ht="15.75" x14ac:dyDescent="0.25">
      <c r="C161" s="8"/>
      <c r="D161" s="9"/>
      <c r="M161" s="3"/>
      <c r="Q161"/>
    </row>
    <row r="162" spans="3:17" ht="15.75" x14ac:dyDescent="0.25">
      <c r="C162" s="8"/>
      <c r="D162" s="9"/>
      <c r="M162" s="3"/>
      <c r="Q162"/>
    </row>
    <row r="163" spans="3:17" ht="15.75" x14ac:dyDescent="0.25">
      <c r="C163" s="8"/>
      <c r="D163" s="9"/>
      <c r="M163" s="3"/>
      <c r="Q163"/>
    </row>
    <row r="164" spans="3:17" ht="15.75" x14ac:dyDescent="0.25">
      <c r="C164" s="8"/>
      <c r="D164" s="9"/>
      <c r="M164" s="3"/>
      <c r="Q164"/>
    </row>
    <row r="165" spans="3:17" ht="15.75" x14ac:dyDescent="0.25">
      <c r="C165" s="8"/>
      <c r="D165" s="9"/>
      <c r="M165" s="3"/>
      <c r="Q165"/>
    </row>
    <row r="166" spans="3:17" ht="15.75" x14ac:dyDescent="0.25">
      <c r="C166" s="8"/>
      <c r="D166" s="9"/>
      <c r="M166" s="3"/>
      <c r="Q166"/>
    </row>
    <row r="167" spans="3:17" ht="15.75" x14ac:dyDescent="0.25">
      <c r="C167" s="8"/>
      <c r="D167" s="9"/>
      <c r="M167" s="3"/>
      <c r="Q167"/>
    </row>
    <row r="168" spans="3:17" ht="15.75" x14ac:dyDescent="0.25">
      <c r="C168" s="8"/>
      <c r="D168" s="9"/>
      <c r="M168" s="3"/>
      <c r="Q168"/>
    </row>
    <row r="169" spans="3:17" ht="15.75" x14ac:dyDescent="0.25">
      <c r="C169" s="8"/>
      <c r="D169" s="9"/>
      <c r="M169" s="3"/>
      <c r="Q169"/>
    </row>
    <row r="170" spans="3:17" ht="15.75" x14ac:dyDescent="0.25">
      <c r="C170" s="8"/>
      <c r="D170" s="9"/>
      <c r="M170" s="3"/>
      <c r="Q170"/>
    </row>
    <row r="171" spans="3:17" ht="15.75" x14ac:dyDescent="0.25">
      <c r="C171" s="8"/>
      <c r="D171" s="9"/>
      <c r="M171" s="3"/>
      <c r="Q171"/>
    </row>
    <row r="172" spans="3:17" ht="15.75" x14ac:dyDescent="0.25">
      <c r="C172" s="8"/>
      <c r="D172" s="9"/>
      <c r="M172" s="3"/>
      <c r="Q172"/>
    </row>
    <row r="173" spans="3:17" ht="15.75" x14ac:dyDescent="0.25">
      <c r="C173" s="8"/>
      <c r="D173" s="9"/>
      <c r="M173" s="3"/>
      <c r="Q173"/>
    </row>
    <row r="174" spans="3:17" ht="15.75" x14ac:dyDescent="0.25">
      <c r="C174" s="8"/>
      <c r="D174" s="9"/>
      <c r="M174" s="3"/>
      <c r="Q174"/>
    </row>
    <row r="175" spans="3:17" ht="15.75" x14ac:dyDescent="0.25">
      <c r="C175" s="8"/>
      <c r="D175" s="9"/>
      <c r="M175" s="3"/>
      <c r="Q175"/>
    </row>
    <row r="176" spans="3:17" ht="15.75" x14ac:dyDescent="0.25">
      <c r="C176" s="8"/>
      <c r="D176" s="9"/>
      <c r="M176" s="3"/>
      <c r="Q176"/>
    </row>
    <row r="177" spans="3:17" ht="15.75" x14ac:dyDescent="0.25">
      <c r="C177" s="8"/>
      <c r="D177" s="9"/>
      <c r="M177" s="3"/>
      <c r="Q177"/>
    </row>
    <row r="178" spans="3:17" ht="15.75" x14ac:dyDescent="0.25">
      <c r="C178" s="8"/>
      <c r="D178" s="9"/>
      <c r="M178" s="3"/>
      <c r="Q178"/>
    </row>
    <row r="179" spans="3:17" ht="15.75" x14ac:dyDescent="0.25">
      <c r="C179" s="8"/>
      <c r="D179" s="9"/>
      <c r="M179" s="3"/>
      <c r="Q179"/>
    </row>
    <row r="180" spans="3:17" ht="15.75" x14ac:dyDescent="0.25">
      <c r="C180" s="8"/>
      <c r="D180" s="9"/>
      <c r="M180" s="3"/>
      <c r="Q180"/>
    </row>
    <row r="181" spans="3:17" ht="15.75" x14ac:dyDescent="0.25">
      <c r="C181" s="8"/>
      <c r="D181" s="9"/>
      <c r="M181" s="3"/>
      <c r="Q181"/>
    </row>
    <row r="182" spans="3:17" ht="15.75" x14ac:dyDescent="0.25">
      <c r="C182" s="8"/>
      <c r="D182" s="9"/>
      <c r="M182" s="3"/>
      <c r="Q182"/>
    </row>
    <row r="183" spans="3:17" ht="15.75" x14ac:dyDescent="0.25">
      <c r="C183" s="8"/>
      <c r="D183" s="9"/>
      <c r="M183" s="3"/>
      <c r="Q183"/>
    </row>
    <row r="184" spans="3:17" ht="15.75" x14ac:dyDescent="0.25">
      <c r="C184" s="8"/>
      <c r="D184" s="9"/>
      <c r="M184" s="3"/>
      <c r="Q184"/>
    </row>
    <row r="185" spans="3:17" ht="15.75" x14ac:dyDescent="0.25">
      <c r="C185" s="8"/>
      <c r="D185" s="9"/>
      <c r="M185" s="3"/>
      <c r="Q185"/>
    </row>
    <row r="186" spans="3:17" ht="15.75" x14ac:dyDescent="0.25">
      <c r="C186" s="8"/>
      <c r="D186" s="9"/>
      <c r="M186" s="3"/>
      <c r="Q186"/>
    </row>
    <row r="187" spans="3:17" ht="15.75" x14ac:dyDescent="0.25">
      <c r="C187" s="8"/>
      <c r="D187" s="9"/>
      <c r="M187" s="3"/>
      <c r="Q187"/>
    </row>
    <row r="188" spans="3:17" ht="15.75" x14ac:dyDescent="0.25">
      <c r="C188" s="8"/>
      <c r="D188" s="9"/>
      <c r="M188" s="3"/>
      <c r="Q188"/>
    </row>
    <row r="189" spans="3:17" ht="15.75" x14ac:dyDescent="0.25">
      <c r="C189" s="8"/>
      <c r="D189" s="9"/>
      <c r="M189" s="3"/>
      <c r="Q189"/>
    </row>
    <row r="190" spans="3:17" ht="15.75" x14ac:dyDescent="0.25">
      <c r="C190" s="8"/>
      <c r="D190" s="9"/>
      <c r="M190" s="3"/>
      <c r="Q190"/>
    </row>
    <row r="191" spans="3:17" ht="15.75" x14ac:dyDescent="0.25">
      <c r="C191" s="8"/>
      <c r="D191" s="9"/>
      <c r="M191" s="3"/>
      <c r="Q191"/>
    </row>
    <row r="192" spans="3:17" ht="15.75" x14ac:dyDescent="0.25">
      <c r="C192" s="8"/>
      <c r="D192" s="9"/>
      <c r="M192" s="3"/>
      <c r="Q192"/>
    </row>
    <row r="193" spans="3:17" ht="15.75" x14ac:dyDescent="0.25">
      <c r="C193" s="8"/>
      <c r="D193" s="9"/>
      <c r="M193" s="3"/>
      <c r="Q193"/>
    </row>
    <row r="194" spans="3:17" ht="15.75" x14ac:dyDescent="0.25">
      <c r="C194" s="8"/>
      <c r="D194" s="9"/>
      <c r="M194" s="3"/>
      <c r="Q194"/>
    </row>
    <row r="195" spans="3:17" ht="15.75" x14ac:dyDescent="0.25">
      <c r="C195" s="8"/>
      <c r="D195" s="9"/>
      <c r="M195" s="3"/>
      <c r="Q195"/>
    </row>
    <row r="196" spans="3:17" ht="15.75" x14ac:dyDescent="0.25">
      <c r="C196" s="8"/>
      <c r="D196" s="9"/>
      <c r="M196" s="3"/>
      <c r="Q196"/>
    </row>
    <row r="197" spans="3:17" ht="15.75" x14ac:dyDescent="0.25">
      <c r="C197" s="8"/>
      <c r="D197" s="9"/>
      <c r="F197" s="2"/>
      <c r="H197" s="2"/>
      <c r="I197" s="2"/>
      <c r="J197" s="2"/>
      <c r="K197" s="2"/>
      <c r="M197" s="3"/>
      <c r="Q197"/>
    </row>
    <row r="198" spans="3:17" ht="15.75" x14ac:dyDescent="0.25">
      <c r="C198" s="8"/>
      <c r="D198" s="9"/>
      <c r="F198" s="2"/>
      <c r="H198" s="2"/>
      <c r="I198" s="2"/>
      <c r="J198" s="2"/>
      <c r="K198" s="2"/>
      <c r="M198" s="3"/>
      <c r="Q198"/>
    </row>
    <row r="199" spans="3:17" ht="15.75" x14ac:dyDescent="0.25">
      <c r="C199" s="8"/>
      <c r="D199" s="9"/>
      <c r="F199" s="2"/>
      <c r="H199" s="2"/>
      <c r="I199" s="2"/>
      <c r="J199" s="2"/>
      <c r="K199" s="2"/>
      <c r="M199" s="3"/>
      <c r="Q199"/>
    </row>
    <row r="200" spans="3:17" ht="15.75" x14ac:dyDescent="0.25">
      <c r="C200" s="8"/>
      <c r="D200" s="9"/>
      <c r="M200" s="3"/>
      <c r="Q200"/>
    </row>
    <row r="201" spans="3:17" ht="15.75" x14ac:dyDescent="0.25">
      <c r="C201" s="8"/>
      <c r="D201" s="9"/>
      <c r="M201" s="3"/>
      <c r="Q201"/>
    </row>
    <row r="202" spans="3:17" ht="15.75" x14ac:dyDescent="0.25">
      <c r="C202" s="8"/>
      <c r="D202" s="9"/>
      <c r="M202" s="3"/>
      <c r="Q202"/>
    </row>
    <row r="203" spans="3:17" ht="15.75" x14ac:dyDescent="0.25">
      <c r="C203" s="8"/>
      <c r="D203" s="9"/>
      <c r="M203" s="3"/>
      <c r="Q203"/>
    </row>
    <row r="204" spans="3:17" ht="15.75" x14ac:dyDescent="0.25">
      <c r="C204" s="8"/>
      <c r="D204" s="9"/>
      <c r="M204" s="3"/>
      <c r="Q204"/>
    </row>
    <row r="205" spans="3:17" ht="15.75" x14ac:dyDescent="0.25">
      <c r="C205" s="8"/>
      <c r="D205" s="9"/>
      <c r="M205" s="3"/>
      <c r="Q205"/>
    </row>
    <row r="206" spans="3:17" ht="15.75" x14ac:dyDescent="0.25">
      <c r="C206" s="8"/>
      <c r="D206" s="9"/>
      <c r="M206" s="3"/>
      <c r="Q206"/>
    </row>
    <row r="207" spans="3:17" ht="15.75" x14ac:dyDescent="0.25">
      <c r="C207" s="8"/>
      <c r="D207" s="9"/>
      <c r="M207" s="3"/>
      <c r="Q207"/>
    </row>
    <row r="208" spans="3:17" ht="15.75" x14ac:dyDescent="0.25">
      <c r="C208" s="8"/>
      <c r="D208" s="9"/>
      <c r="M208" s="3"/>
      <c r="Q208"/>
    </row>
    <row r="209" spans="3:17" ht="15.75" x14ac:dyDescent="0.25">
      <c r="C209" s="8"/>
      <c r="D209" s="9"/>
      <c r="M209" s="3"/>
      <c r="Q209"/>
    </row>
    <row r="210" spans="3:17" ht="15.75" x14ac:dyDescent="0.25">
      <c r="C210" s="8"/>
      <c r="D210" s="9"/>
      <c r="M210" s="3"/>
      <c r="Q210"/>
    </row>
    <row r="211" spans="3:17" ht="15.75" x14ac:dyDescent="0.25">
      <c r="C211" s="8"/>
      <c r="D211" s="9"/>
      <c r="M211" s="3"/>
      <c r="Q211"/>
    </row>
    <row r="212" spans="3:17" ht="15.75" x14ac:dyDescent="0.25">
      <c r="C212" s="8"/>
      <c r="D212" s="9"/>
      <c r="M212" s="3"/>
      <c r="Q212"/>
    </row>
    <row r="213" spans="3:17" ht="15.75" x14ac:dyDescent="0.25">
      <c r="C213" s="8"/>
      <c r="D213" s="9"/>
      <c r="M213" s="3"/>
      <c r="Q213"/>
    </row>
    <row r="214" spans="3:17" ht="15.75" x14ac:dyDescent="0.25">
      <c r="C214" s="8"/>
      <c r="D214" s="9"/>
      <c r="F214" s="2"/>
      <c r="M214" s="3"/>
      <c r="Q214"/>
    </row>
    <row r="215" spans="3:17" ht="15.75" x14ac:dyDescent="0.25">
      <c r="C215" s="8"/>
      <c r="D215" s="9"/>
      <c r="F215" s="2"/>
      <c r="M215" s="3"/>
      <c r="Q215"/>
    </row>
    <row r="216" spans="3:17" ht="15.75" x14ac:dyDescent="0.25">
      <c r="C216" s="8"/>
      <c r="D216" s="9"/>
      <c r="F216" s="2"/>
      <c r="M216" s="3"/>
      <c r="Q216"/>
    </row>
    <row r="217" spans="3:17" ht="15.75" x14ac:dyDescent="0.25">
      <c r="C217" s="8"/>
      <c r="D217" s="9"/>
      <c r="M217" s="3"/>
      <c r="Q217"/>
    </row>
    <row r="218" spans="3:17" ht="15.75" x14ac:dyDescent="0.25">
      <c r="C218" s="8"/>
      <c r="D218" s="9"/>
      <c r="M218" s="3"/>
      <c r="Q218"/>
    </row>
    <row r="219" spans="3:17" ht="15.75" x14ac:dyDescent="0.25">
      <c r="C219" s="8"/>
      <c r="D219" s="9"/>
      <c r="M219" s="3"/>
      <c r="Q219"/>
    </row>
    <row r="220" spans="3:17" ht="15.75" x14ac:dyDescent="0.25">
      <c r="C220" s="8"/>
      <c r="D220" s="9"/>
      <c r="M220" s="3"/>
      <c r="Q220"/>
    </row>
    <row r="221" spans="3:17" ht="15.75" x14ac:dyDescent="0.25">
      <c r="C221" s="8"/>
      <c r="D221" s="9"/>
      <c r="M221" s="3"/>
      <c r="Q221"/>
    </row>
    <row r="222" spans="3:17" ht="15.75" x14ac:dyDescent="0.25">
      <c r="C222" s="8"/>
      <c r="D222" s="9"/>
      <c r="M222" s="3"/>
      <c r="Q222"/>
    </row>
    <row r="223" spans="3:17" ht="15.75" x14ac:dyDescent="0.25">
      <c r="C223" s="8"/>
      <c r="D223" s="9"/>
      <c r="M223" s="3"/>
      <c r="Q223"/>
    </row>
    <row r="224" spans="3:17" ht="15.75" x14ac:dyDescent="0.25">
      <c r="C224" s="8"/>
      <c r="D224" s="9"/>
      <c r="M224" s="3"/>
      <c r="Q224"/>
    </row>
    <row r="225" spans="3:17" ht="15.75" x14ac:dyDescent="0.25">
      <c r="C225" s="8"/>
      <c r="D225" s="9"/>
      <c r="M225" s="3"/>
      <c r="Q225"/>
    </row>
    <row r="226" spans="3:17" ht="15.75" x14ac:dyDescent="0.25">
      <c r="C226" s="8"/>
      <c r="D226" s="9"/>
      <c r="M226" s="3"/>
      <c r="Q226"/>
    </row>
    <row r="227" spans="3:17" ht="15.75" x14ac:dyDescent="0.25">
      <c r="C227" s="8"/>
      <c r="D227" s="9"/>
      <c r="M227" s="3"/>
      <c r="Q227"/>
    </row>
    <row r="228" spans="3:17" ht="15.75" x14ac:dyDescent="0.25">
      <c r="C228" s="8"/>
      <c r="D228" s="9"/>
      <c r="M228" s="3"/>
      <c r="Q228"/>
    </row>
    <row r="229" spans="3:17" ht="15.75" x14ac:dyDescent="0.25">
      <c r="C229" s="8"/>
      <c r="D229" s="9"/>
      <c r="M229" s="3"/>
      <c r="Q229"/>
    </row>
    <row r="230" spans="3:17" ht="15.75" x14ac:dyDescent="0.25">
      <c r="C230" s="8"/>
      <c r="D230" s="9"/>
      <c r="M230" s="3"/>
      <c r="Q230"/>
    </row>
    <row r="231" spans="3:17" ht="15.75" x14ac:dyDescent="0.25">
      <c r="C231" s="8"/>
      <c r="D231" s="9"/>
      <c r="F231" s="2"/>
      <c r="M231" s="3"/>
      <c r="Q231"/>
    </row>
    <row r="232" spans="3:17" ht="15.75" x14ac:dyDescent="0.25">
      <c r="C232" s="8"/>
      <c r="D232" s="9"/>
      <c r="F232" s="2"/>
      <c r="M232" s="3"/>
      <c r="Q232"/>
    </row>
    <row r="233" spans="3:17" ht="15.75" x14ac:dyDescent="0.25">
      <c r="C233" s="8"/>
      <c r="D233" s="9"/>
      <c r="F233" s="2"/>
      <c r="M233" s="3"/>
      <c r="Q233"/>
    </row>
    <row r="234" spans="3:17" ht="15.75" x14ac:dyDescent="0.25">
      <c r="C234" s="8"/>
      <c r="D234" s="9"/>
      <c r="M234" s="3"/>
      <c r="Q234"/>
    </row>
    <row r="235" spans="3:17" ht="15.75" x14ac:dyDescent="0.25">
      <c r="C235" s="8"/>
      <c r="D235" s="9"/>
      <c r="M235" s="3"/>
      <c r="Q235"/>
    </row>
    <row r="236" spans="3:17" ht="15.75" x14ac:dyDescent="0.25">
      <c r="C236" s="8"/>
      <c r="D236" s="9"/>
      <c r="M236" s="3"/>
      <c r="Q236"/>
    </row>
    <row r="237" spans="3:17" ht="15.75" x14ac:dyDescent="0.25">
      <c r="C237" s="8"/>
      <c r="D237" s="9"/>
      <c r="M237" s="3"/>
      <c r="Q237"/>
    </row>
    <row r="238" spans="3:17" ht="15.75" x14ac:dyDescent="0.25">
      <c r="C238" s="8"/>
      <c r="D238" s="9"/>
      <c r="M238" s="3"/>
      <c r="Q238"/>
    </row>
    <row r="239" spans="3:17" ht="15.75" x14ac:dyDescent="0.25">
      <c r="C239" s="8"/>
      <c r="D239" s="9"/>
      <c r="M239" s="3"/>
      <c r="Q239"/>
    </row>
    <row r="240" spans="3:17" ht="15.75" x14ac:dyDescent="0.25">
      <c r="C240" s="8"/>
      <c r="D240" s="9"/>
      <c r="M240" s="3"/>
      <c r="Q240"/>
    </row>
    <row r="241" spans="3:17" ht="15.75" x14ac:dyDescent="0.25">
      <c r="C241" s="8"/>
      <c r="D241" s="9"/>
      <c r="M241" s="3"/>
      <c r="Q241"/>
    </row>
    <row r="242" spans="3:17" ht="15.75" x14ac:dyDescent="0.25">
      <c r="C242" s="8"/>
      <c r="D242" s="9"/>
      <c r="M242" s="3"/>
      <c r="Q242"/>
    </row>
    <row r="243" spans="3:17" ht="15.75" x14ac:dyDescent="0.25">
      <c r="C243" s="8"/>
      <c r="D243" s="9"/>
      <c r="M243" s="3"/>
      <c r="Q243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HISTORQUE</vt:lpstr>
      <vt:lpstr>Feuil2</vt:lpstr>
    </vt:vector>
  </TitlesOfParts>
  <Company>Euro Information client principal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Utilisateur Windows</cp:lastModifiedBy>
  <cp:lastPrinted>2022-12-15T06:41:53Z</cp:lastPrinted>
  <dcterms:created xsi:type="dcterms:W3CDTF">2017-01-02T09:33:19Z</dcterms:created>
  <dcterms:modified xsi:type="dcterms:W3CDTF">2023-01-03T06:36:47Z</dcterms:modified>
</cp:coreProperties>
</file>